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85" windowWidth="14400" windowHeight="8025" activeTab="0"/>
  </bookViews>
  <sheets>
    <sheet name="Results" sheetId="1" r:id="rId1"/>
    <sheet name="RefData" sheetId="2" r:id="rId2"/>
    <sheet name="NetFuelProdn" sheetId="3" r:id="rId3"/>
    <sheet name="T17" sheetId="4" r:id="rId4"/>
    <sheet name="T18" sheetId="5" r:id="rId5"/>
    <sheet name="T21" sheetId="6" r:id="rId6"/>
    <sheet name="Calc_Checks" sheetId="7" r:id="rId7"/>
    <sheet name="Composition_data" sheetId="8" r:id="rId8"/>
  </sheets>
  <externalReferences>
    <externalReference r:id="rId11"/>
    <externalReference r:id="rId12"/>
    <externalReference r:id="rId13"/>
  </externalReferences>
  <definedNames>
    <definedName name="AOC_idle">'RefData'!$CJ$12</definedName>
    <definedName name="AOC_large">'RefData'!$CJ$15</definedName>
    <definedName name="AOC_med">'RefData'!$CJ$14</definedName>
    <definedName name="AOC_small">'RefData'!$CJ$13</definedName>
    <definedName name="BzFacID">#REF!</definedName>
    <definedName name="CreditF">'RefData'!$BV$1</definedName>
    <definedName name="CRF">'RefData'!$BY$4</definedName>
    <definedName name="CT_idle">'RefData'!$CB$8</definedName>
    <definedName name="CT_large">'RefData'!$CB$11</definedName>
    <definedName name="CT_med">'RefData'!$CB$10</definedName>
    <definedName name="CT_small">'RefData'!$CB$9</definedName>
    <definedName name="d">'[3]Home'!$C$3</definedName>
    <definedName name="Effic">'RefData'!#REF!</definedName>
    <definedName name="FacData">'[1]Unique_facility_names'!$A$2:$F$369</definedName>
    <definedName name="FacRatios">#REF!</definedName>
    <definedName name="FAM_idle">'RefData'!#REF!</definedName>
    <definedName name="FAM_large">'RefData'!#REF!</definedName>
    <definedName name="FAM_med">'RefData'!#REF!</definedName>
    <definedName name="FAM_small">'RefData'!#REF!</definedName>
    <definedName name="FuelProd">'NetFuelProdn'!$C$34:$P$42</definedName>
    <definedName name="Large_cutoff">'RefData'!$CB$7</definedName>
    <definedName name="PSM_Month">'[3]Home'!$C$8</definedName>
    <definedName name="pub_month">'[2]Home'!$C$3</definedName>
    <definedName name="qry_FuelImportTotals2005">#REF!</definedName>
    <definedName name="Small_cutoff">'RefData'!$CB$6</definedName>
    <definedName name="TCI_idle">'RefData'!$CJ$8</definedName>
    <definedName name="TCI_large">'RefData'!$CJ$11</definedName>
    <definedName name="TCI_med">'RefData'!$CJ$10</definedName>
    <definedName name="TCI_small">'RefData'!$CJ$9</definedName>
    <definedName name="WW_density">'RefData'!$CT$1</definedName>
    <definedName name="yields">'T21'!$Y$5:$AJ$21</definedName>
  </definedNames>
  <calcPr fullCalcOnLoad="1"/>
</workbook>
</file>

<file path=xl/comments1.xml><?xml version="1.0" encoding="utf-8"?>
<comments xmlns="http://schemas.openxmlformats.org/spreadsheetml/2006/main">
  <authors>
    <author>Jeff Coburn</author>
    <author>Kristin Parrish</author>
  </authors>
  <commentList>
    <comment ref="B75" authorId="0">
      <text>
        <r>
          <rPr>
            <b/>
            <sz val="8"/>
            <rFont val="Tahoma"/>
            <family val="0"/>
          </rPr>
          <t>Jeff Coburn:</t>
        </r>
        <r>
          <rPr>
            <sz val="8"/>
            <rFont val="Tahoma"/>
            <family val="0"/>
          </rPr>
          <t xml:space="preserve">
Citgo bought out Conoco's share of the Cit-Con joint venture in Dec. 2001.</t>
        </r>
      </text>
    </comment>
    <comment ref="B130" authorId="1">
      <text>
        <r>
          <rPr>
            <b/>
            <sz val="8"/>
            <rFont val="Tahoma"/>
            <family val="0"/>
          </rPr>
          <t>Kristin Parrish:</t>
        </r>
        <r>
          <rPr>
            <sz val="8"/>
            <rFont val="Tahoma"/>
            <family val="0"/>
          </rPr>
          <t xml:space="preserve">
Purchased in Sept. 2006 by Alon USA Energy, Inc., who plans to combine it with Paramount (26)</t>
        </r>
      </text>
    </comment>
    <comment ref="B135" authorId="1">
      <text>
        <r>
          <rPr>
            <b/>
            <sz val="8"/>
            <rFont val="Tahoma"/>
            <family val="0"/>
          </rPr>
          <t>Kristin Parrish:</t>
        </r>
        <r>
          <rPr>
            <sz val="8"/>
            <rFont val="Tahoma"/>
            <family val="0"/>
          </rPr>
          <t xml:space="preserve">
Purchased in Aug. 2006 by Alon USA Energy, Inc., who plans to combine it with Edgington (RTI # 19.5)</t>
        </r>
      </text>
    </comment>
  </commentList>
</comments>
</file>

<file path=xl/comments2.xml><?xml version="1.0" encoding="utf-8"?>
<comments xmlns="http://schemas.openxmlformats.org/spreadsheetml/2006/main">
  <authors>
    <author>Kristin Parrish</author>
    <author>Jeff Coburn</author>
  </authors>
  <commentList>
    <comment ref="P7" authorId="0">
      <text>
        <r>
          <rPr>
            <b/>
            <sz val="8"/>
            <rFont val="Tahoma"/>
            <family val="0"/>
          </rPr>
          <t>Kristin Parrish:</t>
        </r>
        <r>
          <rPr>
            <sz val="8"/>
            <rFont val="Tahoma"/>
            <family val="0"/>
          </rPr>
          <t xml:space="preserve">
Does not process crude - takes intermidiates for FCCU to make fuels.</t>
        </r>
      </text>
    </comment>
    <comment ref="G16" authorId="0">
      <text>
        <r>
          <rPr>
            <b/>
            <sz val="8"/>
            <rFont val="Tahoma"/>
            <family val="0"/>
          </rPr>
          <t>Kristin Parrish:</t>
        </r>
        <r>
          <rPr>
            <sz val="8"/>
            <rFont val="Tahoma"/>
            <family val="0"/>
          </rPr>
          <t xml:space="preserve">
EIA listed as idle. Plant was shut down due to fire in Nov. 2005 and is now operating.</t>
        </r>
      </text>
    </comment>
    <comment ref="G54" authorId="0">
      <text>
        <r>
          <rPr>
            <b/>
            <sz val="8"/>
            <rFont val="Tahoma"/>
            <family val="0"/>
          </rPr>
          <t>Kristin Parrish:</t>
        </r>
        <r>
          <rPr>
            <sz val="8"/>
            <rFont val="Tahoma"/>
            <family val="0"/>
          </rPr>
          <t xml:space="preserve">
EIA listed as idle. Plant was shut down due to Hurricane Rita and extensive safety review and is now operating.</t>
        </r>
      </text>
    </comment>
    <comment ref="P68" authorId="0">
      <text>
        <r>
          <rPr>
            <b/>
            <sz val="8"/>
            <rFont val="Tahoma"/>
            <family val="0"/>
          </rPr>
          <t>Kristin Parrish:</t>
        </r>
        <r>
          <rPr>
            <sz val="8"/>
            <rFont val="Tahoma"/>
            <family val="0"/>
          </rPr>
          <t xml:space="preserve">
Kristin Parrish:
Should include both a West and an East plant (East formerly Coastal Refining &amp; Marketing, RTI # 116), which have a combined crude capacity of more than 200,000 BPD</t>
        </r>
      </text>
    </comment>
    <comment ref="B75" authorId="1">
      <text>
        <r>
          <rPr>
            <b/>
            <sz val="8"/>
            <rFont val="Tahoma"/>
            <family val="0"/>
          </rPr>
          <t>Jeff Coburn:</t>
        </r>
        <r>
          <rPr>
            <sz val="8"/>
            <rFont val="Tahoma"/>
            <family val="0"/>
          </rPr>
          <t xml:space="preserve">
Citgo bought out Conoco's share of the Cit-Con joint venture in Dec. 2001.</t>
        </r>
      </text>
    </comment>
    <comment ref="G82" authorId="1">
      <text>
        <r>
          <rPr>
            <b/>
            <sz val="8"/>
            <rFont val="Tahoma"/>
            <family val="0"/>
          </rPr>
          <t>Jeff Coburn:</t>
        </r>
        <r>
          <rPr>
            <sz val="8"/>
            <rFont val="Tahoma"/>
            <family val="0"/>
          </rPr>
          <t xml:space="preserve">
EIA listed as idle.  Plant was shutdown due to hurricane Katrina, but is now operating.</t>
        </r>
      </text>
    </comment>
    <comment ref="G86" authorId="1">
      <text>
        <r>
          <rPr>
            <b/>
            <sz val="8"/>
            <rFont val="Tahoma"/>
            <family val="0"/>
          </rPr>
          <t>Jeff Coburn:</t>
        </r>
        <r>
          <rPr>
            <sz val="8"/>
            <rFont val="Tahoma"/>
            <family val="0"/>
          </rPr>
          <t xml:space="preserve">
EIA listed as idle.  Plant was shutdown due to hurricane Katrina, but is now operating.</t>
        </r>
      </text>
    </comment>
    <comment ref="P97" authorId="1">
      <text>
        <r>
          <rPr>
            <b/>
            <sz val="8"/>
            <rFont val="Tahoma"/>
            <family val="0"/>
          </rPr>
          <t>Jeff Coburn:</t>
        </r>
        <r>
          <rPr>
            <sz val="8"/>
            <rFont val="Tahoma"/>
            <family val="0"/>
          </rPr>
          <t xml:space="preserve">
Listed as idle; from company website, appears to use Lumberton as terminal.  Crude cap = 5800 bcd</t>
        </r>
      </text>
    </comment>
    <comment ref="B130" authorId="0">
      <text>
        <r>
          <rPr>
            <b/>
            <sz val="8"/>
            <rFont val="Tahoma"/>
            <family val="0"/>
          </rPr>
          <t>Kristin Parrish:</t>
        </r>
        <r>
          <rPr>
            <sz val="8"/>
            <rFont val="Tahoma"/>
            <family val="0"/>
          </rPr>
          <t xml:space="preserve">
Purchased in Sept. 2006 by Alon USA Energy, Inc., who plans to combine it with Paramount (26)</t>
        </r>
      </text>
    </comment>
    <comment ref="P130" authorId="0">
      <text>
        <r>
          <rPr>
            <b/>
            <sz val="8"/>
            <rFont val="Tahoma"/>
            <family val="0"/>
          </rPr>
          <t>Kristin Parrish:</t>
        </r>
        <r>
          <rPr>
            <sz val="8"/>
            <rFont val="Tahoma"/>
            <family val="0"/>
          </rPr>
          <t xml:space="preserve">
EIA reports 14,000 bpd as operating and 12,000 bpd as idle.  March 2006 listing of CA refineries lists  capacity as 26,000 bcd.</t>
        </r>
      </text>
    </comment>
    <comment ref="Q130" authorId="0">
      <text>
        <r>
          <rPr>
            <b/>
            <sz val="8"/>
            <rFont val="Tahoma"/>
            <family val="0"/>
          </rPr>
          <t>Kristin Parrish:</t>
        </r>
        <r>
          <rPr>
            <sz val="8"/>
            <rFont val="Tahoma"/>
            <family val="0"/>
          </rPr>
          <t xml:space="preserve">
EIA reports 25,000 bpd as operating and 15,000 bpd as idle</t>
        </r>
      </text>
    </comment>
    <comment ref="B135" authorId="0">
      <text>
        <r>
          <rPr>
            <b/>
            <sz val="8"/>
            <rFont val="Tahoma"/>
            <family val="0"/>
          </rPr>
          <t>Kristin Parrish:</t>
        </r>
        <r>
          <rPr>
            <sz val="8"/>
            <rFont val="Tahoma"/>
            <family val="0"/>
          </rPr>
          <t xml:space="preserve">
Purchased in Aug. 2006 by Alon USA Energy, Inc., who plans to combine it with Edgington (RTI # 19.5)</t>
        </r>
      </text>
    </comment>
  </commentList>
</comments>
</file>

<file path=xl/comments8.xml><?xml version="1.0" encoding="utf-8"?>
<comments xmlns="http://schemas.openxmlformats.org/spreadsheetml/2006/main">
  <authors>
    <author>Jeff Coburn</author>
  </authors>
  <commentList>
    <comment ref="E29" authorId="0">
      <text>
        <r>
          <rPr>
            <b/>
            <sz val="8"/>
            <rFont val="Tahoma"/>
            <family val="0"/>
          </rPr>
          <t>Jeff Coburn:</t>
        </r>
        <r>
          <rPr>
            <sz val="8"/>
            <rFont val="Tahoma"/>
            <family val="0"/>
          </rPr>
          <t xml:space="preserve">
Density of 2,2,4-trimethylpentane</t>
        </r>
      </text>
    </comment>
    <comment ref="C29" authorId="0">
      <text>
        <r>
          <rPr>
            <b/>
            <sz val="8"/>
            <rFont val="Tahoma"/>
            <family val="0"/>
          </rPr>
          <t>Jeff Coburn:</t>
        </r>
        <r>
          <rPr>
            <sz val="8"/>
            <rFont val="Tahoma"/>
            <family val="0"/>
          </rPr>
          <t xml:space="preserve">
ExxonMobil MSDS for gasoline.</t>
        </r>
      </text>
    </comment>
  </commentList>
</comments>
</file>

<file path=xl/sharedStrings.xml><?xml version="1.0" encoding="utf-8"?>
<sst xmlns="http://schemas.openxmlformats.org/spreadsheetml/2006/main" count="2306" uniqueCount="704">
  <si>
    <r>
      <t xml:space="preserve">Equipment Leak Unit Type -&gt; </t>
    </r>
    <r>
      <rPr>
        <sz val="10"/>
        <rFont val="Arial"/>
        <family val="0"/>
      </rPr>
      <t>                                                                                                            </t>
    </r>
    <r>
      <rPr>
        <sz val="10"/>
        <rFont val="Arial"/>
        <family val="0"/>
      </rPr>
      <t xml:space="preserve">   </t>
    </r>
    <r>
      <rPr>
        <sz val="10"/>
        <rFont val="Arial"/>
        <family val="0"/>
      </rPr>
      <t>Model plant</t>
    </r>
    <r>
      <rPr>
        <sz val="10"/>
        <rFont val="Arial"/>
        <family val="0"/>
      </rPr>
      <t xml:space="preserve">  threshold (bbl/sd) ---&gt;</t>
    </r>
  </si>
  <si>
    <t>Crude</t>
  </si>
  <si>
    <t>Vacuum</t>
  </si>
  <si>
    <t>DelayCoking</t>
  </si>
  <si>
    <t>FluidCoking</t>
  </si>
  <si>
    <t>Visbreaking</t>
  </si>
  <si>
    <t>Other</t>
  </si>
  <si>
    <t>fresh</t>
  </si>
  <si>
    <t>recycle</t>
  </si>
  <si>
    <t>distillate</t>
  </si>
  <si>
    <t>gas oil</t>
  </si>
  <si>
    <t>resid</t>
  </si>
  <si>
    <t>low P</t>
  </si>
  <si>
    <t>high P</t>
  </si>
  <si>
    <t>deasphalt</t>
  </si>
  <si>
    <t>Naphtha</t>
  </si>
  <si>
    <t>gasoline</t>
  </si>
  <si>
    <t>Ker/JetF</t>
  </si>
  <si>
    <t>Diesel</t>
  </si>
  <si>
    <t>OtherDist</t>
  </si>
  <si>
    <t>Resid</t>
  </si>
  <si>
    <t>HGasOil</t>
  </si>
  <si>
    <t>Alkylate</t>
  </si>
  <si>
    <t>Aromatics</t>
  </si>
  <si>
    <t>Asphalt</t>
  </si>
  <si>
    <t>Isobutane</t>
  </si>
  <si>
    <t>Iso C5,C6</t>
  </si>
  <si>
    <t>Lubricants</t>
  </si>
  <si>
    <t>Pet. Coke</t>
  </si>
  <si>
    <t>Hydrogen</t>
  </si>
  <si>
    <t>Sulfur</t>
  </si>
  <si>
    <t>Fuel Gas</t>
  </si>
  <si>
    <t>(Primary data source:  EIA, Refinery Capacity 2006 Tables 3 and 4; secondary source: "2005 Worldwide Refining Survey," OGJ, Dec. 19, 2005)</t>
  </si>
  <si>
    <t>(bbl/cd)</t>
  </si>
  <si>
    <t xml:space="preserve">     &lt;-------------------------------------  Charge capacity (bbl/sd)  -----------------------------------------------  Charge capacity (bbl/sd)  -----------------------------------------  Charge capacity (bbl/sd)  ----------------------------------------  Charge capacity (bbl/sd)  ------------------------------&gt;</t>
  </si>
  <si>
    <t xml:space="preserve">  &lt;------------------------------  Production capacity (bbl/sd)  ------------------------------&gt;</t>
  </si>
  <si>
    <t>(MMcfd)</t>
  </si>
  <si>
    <t>(short tons/d)</t>
  </si>
  <si>
    <t>Distillate Prod'n</t>
  </si>
  <si>
    <t>Transport'n fuels production</t>
  </si>
  <si>
    <t>Sum Methane Emiss. from Fug.</t>
  </si>
  <si>
    <t>Crude Cap for Calcs</t>
  </si>
  <si>
    <t>CrudeCapacity</t>
  </si>
  <si>
    <t>Thermal Cracking</t>
  </si>
  <si>
    <t>FCCU</t>
  </si>
  <si>
    <t>Cat. Hydrocracking</t>
  </si>
  <si>
    <t>CRU</t>
  </si>
  <si>
    <t>Fuel/Solv</t>
  </si>
  <si>
    <t>Desulfurization / Cat. Hydrotreat</t>
  </si>
  <si>
    <t>Isomerization</t>
  </si>
  <si>
    <t>Est1</t>
  </si>
  <si>
    <t>Est.Final</t>
  </si>
  <si>
    <t>CH4 Emiss (Mg/yr) small unit</t>
  </si>
  <si>
    <t>FacNum</t>
  </si>
  <si>
    <t>FacName</t>
  </si>
  <si>
    <t>City</t>
  </si>
  <si>
    <t>State</t>
  </si>
  <si>
    <t>PADD</t>
  </si>
  <si>
    <t>SubPADD</t>
  </si>
  <si>
    <t>Source</t>
  </si>
  <si>
    <t>EqL_Code</t>
  </si>
  <si>
    <t>CD_flag</t>
  </si>
  <si>
    <t>UpgradeF</t>
  </si>
  <si>
    <t>CRU_AromF</t>
  </si>
  <si>
    <t>Lat</t>
  </si>
  <si>
    <t>Long</t>
  </si>
  <si>
    <t>(bbl/sd)</t>
  </si>
  <si>
    <t>Dist</t>
  </si>
  <si>
    <t>CH4 Emiss (Mg/yr) large unit</t>
  </si>
  <si>
    <t>(Mg/yr)</t>
  </si>
  <si>
    <t>Valero Energy (formerly Premcor (formerly Motiva Enterprises, formerly Star)</t>
  </si>
  <si>
    <t>Delaware City</t>
  </si>
  <si>
    <t>DE</t>
  </si>
  <si>
    <t>1A</t>
  </si>
  <si>
    <t>EIA</t>
  </si>
  <si>
    <t>no</t>
  </si>
  <si>
    <t>Citgo Petroleum</t>
  </si>
  <si>
    <t>Savannah</t>
  </si>
  <si>
    <t>GA</t>
  </si>
  <si>
    <t>yes</t>
  </si>
  <si>
    <t>For complete detail on how the model plant emissions were estimated, see this file:</t>
  </si>
  <si>
    <t>Hess Corporation (formerly Amerada-Hess Corp.)</t>
  </si>
  <si>
    <t>Port Reading</t>
  </si>
  <si>
    <t>NJ</t>
  </si>
  <si>
    <t>Chevron USA</t>
  </si>
  <si>
    <t>Perth Amboy</t>
  </si>
  <si>
    <t>Citgo Asphalt Refining Co.</t>
  </si>
  <si>
    <t>Paulsboro</t>
  </si>
  <si>
    <t>Sunoco (formerly Coastal Eagle Point Oil Co.)</t>
  </si>
  <si>
    <t>Westville</t>
  </si>
  <si>
    <t>ConocoPhillips (formerly Tosco Refining Co., formerly Bayway)</t>
  </si>
  <si>
    <t>Linden</t>
  </si>
  <si>
    <t>Valero Energy Corp. (formerly Mobil Oil)</t>
  </si>
  <si>
    <t>Sunoco, Inc.</t>
  </si>
  <si>
    <t>Marcus Hook</t>
  </si>
  <si>
    <t>PA</t>
  </si>
  <si>
    <t>Sunoco, Inc. (combined Sun &amp; Chevron)</t>
  </si>
  <si>
    <t>Phil. (Girard Pt &amp; Pt Breeze)</t>
  </si>
  <si>
    <t>ConocoPhillips (formerlyTosco Refining Co., formerly BP)</t>
  </si>
  <si>
    <t>Trainer (Marcus Hook)</t>
  </si>
  <si>
    <t>Giant Refining (formerly BP, formerly Amoco Oil Co.)</t>
  </si>
  <si>
    <t>Yorktown</t>
  </si>
  <si>
    <t>VA</t>
  </si>
  <si>
    <t>American Refining Group (formerly Witco Chemical Co.)</t>
  </si>
  <si>
    <t>Bradford</t>
  </si>
  <si>
    <t>1B</t>
  </si>
  <si>
    <t>United Refining Co.</t>
  </si>
  <si>
    <t>Warren</t>
  </si>
  <si>
    <t>Ergon-West Virginia Inc. (formerly Quaker State Oil Refining Corp.)</t>
  </si>
  <si>
    <t>Newell (Congo)</t>
  </si>
  <si>
    <t>WV</t>
  </si>
  <si>
    <t>PDV Midwest Refining (OGJ lists as Citgo Petroleum; formerly UNO-VEN)</t>
  </si>
  <si>
    <t>Lemont</t>
  </si>
  <si>
    <t>IL</t>
  </si>
  <si>
    <t>2A</t>
  </si>
  <si>
    <t>ExxonMobil Corp. (formerly Mobil)</t>
  </si>
  <si>
    <t>Joliet</t>
  </si>
  <si>
    <t>Marathon Petroleum Co. LLC (formerly Marathon Ashland Petroleum LLC)</t>
  </si>
  <si>
    <t>Robinson</t>
  </si>
  <si>
    <t>ConocoPhillips (formerly Tosco Refining, Equilon, Wood River, &amp; Shell Oil)</t>
  </si>
  <si>
    <t>Wood River</t>
  </si>
  <si>
    <t>BP (formerly Amoco Oil Co.)</t>
  </si>
  <si>
    <t>Whiting</t>
  </si>
  <si>
    <t>IN</t>
  </si>
  <si>
    <t>Countrymark Cooperative, Inc.</t>
  </si>
  <si>
    <t>Mt. Vernon</t>
  </si>
  <si>
    <t>Catlettsburg</t>
  </si>
  <si>
    <t>KY</t>
  </si>
  <si>
    <t>Somerset Refinery Inc.</t>
  </si>
  <si>
    <t>Somerset</t>
  </si>
  <si>
    <t>Detroit</t>
  </si>
  <si>
    <t>MI</t>
  </si>
  <si>
    <t>BP PLC</t>
  </si>
  <si>
    <t>Toledo</t>
  </si>
  <si>
    <t>OH</t>
  </si>
  <si>
    <t>Canton</t>
  </si>
  <si>
    <t>Valero Energy (formerly Premcor Refining Group, formerly Clark Refining &amp; Mrktg, formerly BP Oil Co.)</t>
  </si>
  <si>
    <t>Lima</t>
  </si>
  <si>
    <t>Valero Energy (formerly Premcor, formerly Williams Energy Srvcs., formerly Mapco Petroleum Inc.)</t>
  </si>
  <si>
    <t>Memphis</t>
  </si>
  <si>
    <t>TN</t>
  </si>
  <si>
    <t>Flint Hills Resourses (formerly Koch Refining Co.)</t>
  </si>
  <si>
    <t>Rosemount</t>
  </si>
  <si>
    <t>MN</t>
  </si>
  <si>
    <t>2B</t>
  </si>
  <si>
    <t>St. Paul Park</t>
  </si>
  <si>
    <t>Tesoro (formerly BP, (formerly Amoco Oil Co.)</t>
  </si>
  <si>
    <t>Mandan</t>
  </si>
  <si>
    <t>ND</t>
  </si>
  <si>
    <t>Murphy Oil USA Inc.</t>
  </si>
  <si>
    <t>Superior</t>
  </si>
  <si>
    <t>WI</t>
  </si>
  <si>
    <t>Coffeyville Refining (formerly Farmland Industries Inc.)</t>
  </si>
  <si>
    <t>Coffeyville</t>
  </si>
  <si>
    <t>KS</t>
  </si>
  <si>
    <t>2C</t>
  </si>
  <si>
    <t>National Cooperative Refinery Association</t>
  </si>
  <si>
    <t>McPherson</t>
  </si>
  <si>
    <t>Frontier Oil Corp. (formerly El Dorado Refining, formerly Texaco Refining &amp; Marketing Inc.)</t>
  </si>
  <si>
    <t>El Dorado</t>
  </si>
  <si>
    <t>ConocoPhillips (formerly Conoco Inc.)</t>
  </si>
  <si>
    <t>Ponca City</t>
  </si>
  <si>
    <t>OK</t>
  </si>
  <si>
    <t>Wynnewood Refining Co. (formerly Gary-Williams Energy Corp.)</t>
  </si>
  <si>
    <t>Wynnewood</t>
  </si>
  <si>
    <t>Sinclair Oil Corp.</t>
  </si>
  <si>
    <t>Tulsa</t>
  </si>
  <si>
    <t>Valero Energy (formerly Ultramar/Diamond Shamrock, formerly Total Petroleum Inc.)</t>
  </si>
  <si>
    <t>Ardmore</t>
  </si>
  <si>
    <t>AGE Refining &amp; Manufacturing</t>
  </si>
  <si>
    <t>San Antonio</t>
  </si>
  <si>
    <t>TX</t>
  </si>
  <si>
    <t>3A</t>
  </si>
  <si>
    <t>Alon USA Energy Inc. (formerly Fina Oil &amp; Chemical Co.)</t>
  </si>
  <si>
    <t>Big Spring</t>
  </si>
  <si>
    <t>Western Refining (formerly Chevron USA Inc.)</t>
  </si>
  <si>
    <t>El Paso</t>
  </si>
  <si>
    <t>Delek Refining Ltd (formerly LaGloria Oil &amp; Gas Co.)</t>
  </si>
  <si>
    <t>Tyler</t>
  </si>
  <si>
    <t>ConocoPhillips (formerly Phillips Petroleum Co.)</t>
  </si>
  <si>
    <t>Borger</t>
  </si>
  <si>
    <t>Valero Energy (formerly Ultramar/Diamond Shamrock Corp.)</t>
  </si>
  <si>
    <t>Three Rivers</t>
  </si>
  <si>
    <t>Sunray</t>
  </si>
  <si>
    <t>Total SA (formerly Atofina Petrochemicals, Inc., formerly Fina Oil &amp; Chemical Co.)</t>
  </si>
  <si>
    <t>Port Arthur</t>
  </si>
  <si>
    <t>3B</t>
  </si>
  <si>
    <t>Texas City</t>
  </si>
  <si>
    <t>Citgo</t>
  </si>
  <si>
    <t>Corpus Christi</t>
  </si>
  <si>
    <t>Pasadena Refining Systems Inc. (formerly Crown Central Petroleum Corp.)</t>
  </si>
  <si>
    <t>Pasadena</t>
  </si>
  <si>
    <t>ExxonMobil Oil Corp (formerly Exxon Co. USA)</t>
  </si>
  <si>
    <t>Baytown</t>
  </si>
  <si>
    <t>Beaumont</t>
  </si>
  <si>
    <t>Flint Hills Resources (formerly Koch Petroleum Group, includes SWest Refining)</t>
  </si>
  <si>
    <t>Lyondell-Citgo Refining Co.</t>
  </si>
  <si>
    <t>Houston</t>
  </si>
  <si>
    <t>Motiva Enterprises (formerly Star)</t>
  </si>
  <si>
    <t>Sweeny</t>
  </si>
  <si>
    <t>Valero Energy Corp. (formerly Premcor Refining Group, formerly Clark Oil and Refining Corp.)</t>
  </si>
  <si>
    <t>Shell Oil Products US - Deer Park Refining Limited Partnership</t>
  </si>
  <si>
    <t>Deer Park</t>
  </si>
  <si>
    <t>Trigeant Ltd. (formerly Trifinery Petrol. Srvc., formerly Neste Trifinery)</t>
  </si>
  <si>
    <t>South Hampton Resources Inc. (formerly South Hampton Refining Co.)</t>
  </si>
  <si>
    <t>Silsbee</t>
  </si>
  <si>
    <t>Valero Energy</t>
  </si>
  <si>
    <t>Valero Energy (formerly Basis Petroleum, Inc.)</t>
  </si>
  <si>
    <t>Gulf Atlantic Operations LLC (formerly Trigeant Petroleum; formerly Coastal Mobile)</t>
  </si>
  <si>
    <t>Mobile Bay</t>
  </si>
  <si>
    <t>AL</t>
  </si>
  <si>
    <t>3C</t>
  </si>
  <si>
    <t>Shell Chemical LP</t>
  </si>
  <si>
    <t>Saraland</t>
  </si>
  <si>
    <t>Pelican Refining Co. LLC (formerly American International Refining Inc.)</t>
  </si>
  <si>
    <t>Lake Charles</t>
  </si>
  <si>
    <t>LA</t>
  </si>
  <si>
    <t>Calcasieu Refining Co.</t>
  </si>
  <si>
    <t>Citgo Petroleum Corp. (EIA includes OGJ list for Cit-Con Oil, RTI#60)</t>
  </si>
  <si>
    <t>ConocoPhillips</t>
  </si>
  <si>
    <t>Westlake</t>
  </si>
  <si>
    <t>ExxonMobil Corp. (formerly Exxon)</t>
  </si>
  <si>
    <t>Baton Rouge</t>
  </si>
  <si>
    <t>ExxonMobil Corp.- Chalmette (formerly Mobil)</t>
  </si>
  <si>
    <t>Chalmette</t>
  </si>
  <si>
    <t>Garyville</t>
  </si>
  <si>
    <t>Convent</t>
  </si>
  <si>
    <t>Motiva Enterprises (formerly Shell Oil Co.)</t>
  </si>
  <si>
    <t>Norco</t>
  </si>
  <si>
    <t>Meraux</t>
  </si>
  <si>
    <t>Valero Energy (formerly Orion Refining Corp, formerly TransAmerican Refining Corp)</t>
  </si>
  <si>
    <t>Placid Refining Inc.</t>
  </si>
  <si>
    <t>Port Allen</t>
  </si>
  <si>
    <t>Shell Chemical Co.</t>
  </si>
  <si>
    <t>St. Rose</t>
  </si>
  <si>
    <t>ConocoPhillips (formerly, Tosco Refining Co., formerly BP Oil Co.)</t>
  </si>
  <si>
    <t>Belle Chasse</t>
  </si>
  <si>
    <t>Krotz Springs</t>
  </si>
  <si>
    <t>Chevron USA Inc.</t>
  </si>
  <si>
    <t>Pascagoula</t>
  </si>
  <si>
    <t>MS</t>
  </si>
  <si>
    <t>Goodway Refining LLC</t>
  </si>
  <si>
    <t>Atmore</t>
  </si>
  <si>
    <t>3D</t>
  </si>
  <si>
    <t>Hunt Refining Co.</t>
  </si>
  <si>
    <t>Tuscaloosa</t>
  </si>
  <si>
    <t>Cross Oil &amp; Refining Co. Inc.</t>
  </si>
  <si>
    <t>Smackover</t>
  </si>
  <si>
    <t>AR</t>
  </si>
  <si>
    <t>Lion Oil Co.</t>
  </si>
  <si>
    <t>Calumet Lubricants Co.</t>
  </si>
  <si>
    <t>Cotton Valley</t>
  </si>
  <si>
    <t>Princeton</t>
  </si>
  <si>
    <t>Calumet Lubricants (formerly Pennzoil Products Co., formerly Atlas Div. of)</t>
  </si>
  <si>
    <t>Shreveport</t>
  </si>
  <si>
    <t>Ergon Refining Inc.</t>
  </si>
  <si>
    <t>Vicksburg</t>
  </si>
  <si>
    <t>Hunt Southland Refining (formery Southland Oil Co.)</t>
  </si>
  <si>
    <t>Lumberton</t>
  </si>
  <si>
    <t>Sandersville</t>
  </si>
  <si>
    <t>Giant Refining Co.</t>
  </si>
  <si>
    <t>Bloomfield</t>
  </si>
  <si>
    <t>NM</t>
  </si>
  <si>
    <t>3E</t>
  </si>
  <si>
    <t>Gallup</t>
  </si>
  <si>
    <t>Navajo Refining Co.</t>
  </si>
  <si>
    <t>Artesia + Lovington</t>
  </si>
  <si>
    <t>Suncor Energy (formerly Conoco Inc.)</t>
  </si>
  <si>
    <t>Commerce City</t>
  </si>
  <si>
    <t>CO</t>
  </si>
  <si>
    <t>4A</t>
  </si>
  <si>
    <t>Suncor Energy (formerly Valero Energy, formerly Ultramar, formerly Total Petroleum)</t>
  </si>
  <si>
    <t>Denver</t>
  </si>
  <si>
    <t>Cenex Harvest States</t>
  </si>
  <si>
    <t>Laurel</t>
  </si>
  <si>
    <t>MT</t>
  </si>
  <si>
    <t>Billings</t>
  </si>
  <si>
    <t>Montana Refining Co.</t>
  </si>
  <si>
    <t>Great Falls</t>
  </si>
  <si>
    <t>Tesoro (formerly BP, formerly Amoco Oil Co.)</t>
  </si>
  <si>
    <t>Salt Lake City</t>
  </si>
  <si>
    <t>UT</t>
  </si>
  <si>
    <t>Silver Eagle Refining Inc. (formerly Inland Refining, formerly Crysen Refining)</t>
  </si>
  <si>
    <t>Woods Cross</t>
  </si>
  <si>
    <t>Big West Oil Co. (formerly Flying J)</t>
  </si>
  <si>
    <t>Holly Corp. (formerly ConocoPhillips, formerly Phillips Petroleum Co.)</t>
  </si>
  <si>
    <t>Frontier Oil &amp; Refining Co.</t>
  </si>
  <si>
    <t>Cheyenne</t>
  </si>
  <si>
    <t>WY</t>
  </si>
  <si>
    <t>Little America Refining Co.</t>
  </si>
  <si>
    <t>Evansville (Casper)</t>
  </si>
  <si>
    <t>Silver Eagle Refining Inc.</t>
  </si>
  <si>
    <t>Evanston</t>
  </si>
  <si>
    <t>Sinclair</t>
  </si>
  <si>
    <t>Wyoming Refining Co.</t>
  </si>
  <si>
    <t>Newcastle</t>
  </si>
  <si>
    <t>BP (formerly ARCO Alaska Inc.)</t>
  </si>
  <si>
    <t>Prudhoe Bay</t>
  </si>
  <si>
    <t>AK</t>
  </si>
  <si>
    <t>5A</t>
  </si>
  <si>
    <t>ConocoPhillips Alaska (formerly BP; formerly ARCO Alaska Inc.)</t>
  </si>
  <si>
    <t>Kuparuk</t>
  </si>
  <si>
    <t>Petro Star Inc.</t>
  </si>
  <si>
    <t>North Pole</t>
  </si>
  <si>
    <t>Valdez</t>
  </si>
  <si>
    <t>Tesoro Petroleum Corp.</t>
  </si>
  <si>
    <t>Kenai</t>
  </si>
  <si>
    <t>Flint Hills Resources (formerly Williams Co., formerly Mapco Alaska Petroleum)</t>
  </si>
  <si>
    <t>BP (formerly Atlantic Richfield Co. (ARCO))</t>
  </si>
  <si>
    <t>Carson</t>
  </si>
  <si>
    <t>CA</t>
  </si>
  <si>
    <t>El Segundo</t>
  </si>
  <si>
    <t>Richmond</t>
  </si>
  <si>
    <t>Big West of CA (formerly Shell; formerly Equilon; formerly Texaco Refining &amp; Marketing Inc.)</t>
  </si>
  <si>
    <t>Bakersfield</t>
  </si>
  <si>
    <t>Shell Oil Products US (formerly Equilon, formerly Shell Oil Co.*)</t>
  </si>
  <si>
    <t>Martinez</t>
  </si>
  <si>
    <t>Shell Oil Products US (formerly Equilon, formerly Texaco Refining &amp; Marketing Inc.)</t>
  </si>
  <si>
    <t>Wilmington</t>
  </si>
  <si>
    <t>Edgington Oil Co.</t>
  </si>
  <si>
    <t>Long Beach</t>
  </si>
  <si>
    <t>Torrance</t>
  </si>
  <si>
    <t>Greka Energy (formerly Santa Maria Refining Co.)</t>
  </si>
  <si>
    <t>Santa Maria</t>
  </si>
  <si>
    <t>Valero Energy (formerly Huntway Refining Co.)</t>
  </si>
  <si>
    <t>Kern Oil &amp; Refining Co.</t>
  </si>
  <si>
    <t>Paramount Petroleum Corp.</t>
  </si>
  <si>
    <t>Paramount</t>
  </si>
  <si>
    <t>San Joaquin Refining Co., Inc.</t>
  </si>
  <si>
    <t>Ten By Inc.</t>
  </si>
  <si>
    <t>Oxnard</t>
  </si>
  <si>
    <t>ConocoPhillips (formerly Tosco, formerly Unocal Corp.)</t>
  </si>
  <si>
    <t>LA - Carson/Wilmington</t>
  </si>
  <si>
    <t>SF - Rodeo</t>
  </si>
  <si>
    <t>Arroyo Grande (Santa Maria)</t>
  </si>
  <si>
    <t>Tesoro (formerly Ultramar Diamond Shamrock, formerly Tosco Corp. - Avon)</t>
  </si>
  <si>
    <t>Golden Eagle</t>
  </si>
  <si>
    <t>Valero Energy (still listed as Ultramar, Inc. in EIA)</t>
  </si>
  <si>
    <t>Valero Energy (formerly Exxon Co. USA)</t>
  </si>
  <si>
    <t>Benicia</t>
  </si>
  <si>
    <t>Lunday-Thagard Co. (aka World Oil Co.)</t>
  </si>
  <si>
    <t>South Gate</t>
  </si>
  <si>
    <t>Honolulu (Barber's Point)</t>
  </si>
  <si>
    <t>HI</t>
  </si>
  <si>
    <t>Tesoro Hawaii Petrol. (formerly BHP)</t>
  </si>
  <si>
    <t>Kapolei</t>
  </si>
  <si>
    <t>Foreland Refining Co. (formerly Petro Source Refining Partners)</t>
  </si>
  <si>
    <t>Tonopah/Eagle Springs</t>
  </si>
  <si>
    <t>NV</t>
  </si>
  <si>
    <t>Portland</t>
  </si>
  <si>
    <t>OR</t>
  </si>
  <si>
    <t>Ferndale</t>
  </si>
  <si>
    <t>WA</t>
  </si>
  <si>
    <t>Shell Oil Products US (formerly Equilon Enterprises, formerly Texaco Refining &amp; Marketing Inc.)</t>
  </si>
  <si>
    <t>Anacortes</t>
  </si>
  <si>
    <t>Tesoro (formerly Shell Oil Co.)</t>
  </si>
  <si>
    <t>ConocoPhillips (formerly Tosco Refining Co.)</t>
  </si>
  <si>
    <t>US Oil &amp; Refining Co.</t>
  </si>
  <si>
    <t>Tacoma</t>
  </si>
  <si>
    <t>Hovensa LLC (formerly Hess Oil)</t>
  </si>
  <si>
    <t>Kingshill (St. Croix)</t>
  </si>
  <si>
    <t>V.Isl</t>
  </si>
  <si>
    <t>Territory</t>
  </si>
  <si>
    <t>6A</t>
  </si>
  <si>
    <t>Shell Chemical Yabucoa Inc. (formerly Sunoco, Inc.)</t>
  </si>
  <si>
    <t>Yabucoa</t>
  </si>
  <si>
    <t>P.Rico</t>
  </si>
  <si>
    <t xml:space="preserve">US Total </t>
  </si>
  <si>
    <t>(does not include VI or PR)</t>
  </si>
  <si>
    <t>#=0</t>
  </si>
  <si>
    <t>#&gt;0</t>
  </si>
  <si>
    <t>#&lt;=20</t>
  </si>
  <si>
    <t>#&lt;=10</t>
  </si>
  <si>
    <t>#&gt;10&amp;&lt;=20</t>
  </si>
  <si>
    <t>#&gt;0&amp;&lt;=10</t>
  </si>
  <si>
    <t>total #&lt;=20</t>
  </si>
  <si>
    <t>% small &lt;10</t>
  </si>
  <si>
    <t>Number Crude Tanks</t>
  </si>
  <si>
    <t>Number Gasoline Tanks</t>
  </si>
  <si>
    <t>Table 17.  Refinery Net Inputs of Crude Oil and Petroleum Products by PAD and Refining Districts,  2005</t>
  </si>
  <si>
    <t xml:space="preserve">     (Thousand Barrels, Except Where Noted)</t>
  </si>
  <si>
    <t>Commodity</t>
  </si>
  <si>
    <t>PAD District 1</t>
  </si>
  <si>
    <t>PAD District 2</t>
  </si>
  <si>
    <t>PAD District 3</t>
  </si>
  <si>
    <t>PAD Dist.  4</t>
  </si>
  <si>
    <t>PAD Dist. 5</t>
  </si>
  <si>
    <t>East Coast</t>
  </si>
  <si>
    <t>Appalachian No. 1</t>
  </si>
  <si>
    <t>Total</t>
  </si>
  <si>
    <t>IN, IL, KY</t>
  </si>
  <si>
    <t>MN, WI, ND, SD</t>
  </si>
  <si>
    <t>OK, KS, MO</t>
  </si>
  <si>
    <t>Texas Inland</t>
  </si>
  <si>
    <t>Texas Gulf Coast</t>
  </si>
  <si>
    <t>LA Gulf Coast</t>
  </si>
  <si>
    <t>N. LA, AR</t>
  </si>
  <si>
    <t>New Mexico</t>
  </si>
  <si>
    <t>Rocky Mt.</t>
  </si>
  <si>
    <t>West Coast</t>
  </si>
  <si>
    <t>U. S. Total</t>
  </si>
  <si>
    <t>Crude Oil</t>
  </si>
  <si>
    <t>Natural Gas Liquids and LRGs</t>
  </si>
  <si>
    <t>Pentanes Plus</t>
  </si>
  <si>
    <t>Liquefied Petroleum Gases</t>
  </si>
  <si>
    <t>Ethane</t>
  </si>
  <si>
    <t>Propane</t>
  </si>
  <si>
    <t>Normal Butane</t>
  </si>
  <si>
    <t>Other Liquids</t>
  </si>
  <si>
    <t>Other Hydrocarbons/Oxygenates</t>
  </si>
  <si>
    <t>Other Hydrocarbons/Hydrogen</t>
  </si>
  <si>
    <t>Oxygenates</t>
  </si>
  <si>
    <t xml:space="preserve"> </t>
  </si>
  <si>
    <t>Fuel Ethanol (FE)</t>
  </si>
  <si>
    <t>Methyl Tertiary Butyl Ether (MTBE)</t>
  </si>
  <si>
    <t>Unfinished Oils (net)</t>
  </si>
  <si>
    <t>Naphthas and Lighter</t>
  </si>
  <si>
    <t>Kerosene and Light Gas Oils</t>
  </si>
  <si>
    <t>Heavy Gas Oils</t>
  </si>
  <si>
    <t>Residuum</t>
  </si>
  <si>
    <t>Motor Gasoline Blending Components (MGBC) (net)</t>
  </si>
  <si>
    <t>Reformulated</t>
  </si>
  <si>
    <t>GTAB</t>
  </si>
  <si>
    <t>RBOB for Blending with Ether</t>
  </si>
  <si>
    <t>RBOB for Blending with Alcohol</t>
  </si>
  <si>
    <t>Conventional</t>
  </si>
  <si>
    <t>CBOB for Blending with Alcohol</t>
  </si>
  <si>
    <t>Aviation Gasoline Blending Components (net)</t>
  </si>
  <si>
    <t>Total Input to Refineries</t>
  </si>
  <si>
    <t>Atmospheric Crude Oil Distillation</t>
  </si>
  <si>
    <t>Gross Input (daily average)</t>
  </si>
  <si>
    <t>Operable Capacity (daily average)</t>
  </si>
  <si>
    <t>Downstream Processing</t>
  </si>
  <si>
    <t>Fresh Feed Input (daily average)</t>
  </si>
  <si>
    <t>Catalytic Cracking</t>
  </si>
  <si>
    <t>Catalytic Hydrocracking</t>
  </si>
  <si>
    <t>Delayed and Fluid Coking</t>
  </si>
  <si>
    <t>Crude Oil Qualities</t>
  </si>
  <si>
    <t>Sulfur Content, Weighted Average (percent)</t>
  </si>
  <si>
    <t>API Gravity,Weighted Average (degrees)</t>
  </si>
  <si>
    <t>Operating</t>
  </si>
  <si>
    <t>Idle</t>
  </si>
  <si>
    <t>Alaskan Crude Oil Receipts</t>
  </si>
  <si>
    <r>
      <t>All Other Oxygenates</t>
    </r>
    <r>
      <rPr>
        <vertAlign val="superscript"/>
        <sz val="7"/>
        <rFont val="Helvetica"/>
        <family val="2"/>
      </rPr>
      <t>a</t>
    </r>
  </si>
  <si>
    <r>
      <t>Operable Utilization Rate (percent)</t>
    </r>
    <r>
      <rPr>
        <vertAlign val="superscript"/>
        <sz val="7"/>
        <rFont val="Helvetica"/>
        <family val="0"/>
      </rPr>
      <t>b</t>
    </r>
  </si>
  <si>
    <t>Table 18.  Refinery Net Production of Finished Petroleum Products by PAD and Refining Districts,  2005</t>
  </si>
  <si>
    <t xml:space="preserve">          (Thousand Barrels)</t>
  </si>
  <si>
    <t>Liquefied Refinery Gases</t>
  </si>
  <si>
    <t>Ethane/Ethylene</t>
  </si>
  <si>
    <t>Ethylene</t>
  </si>
  <si>
    <t>Propane/Propylene</t>
  </si>
  <si>
    <t>Propylene</t>
  </si>
  <si>
    <t>Normal Butane/Butylene</t>
  </si>
  <si>
    <t>Butylene</t>
  </si>
  <si>
    <t>Isobutane/Isobutylene</t>
  </si>
  <si>
    <t>Isobutylene</t>
  </si>
  <si>
    <t>Finished Motor Gasoline</t>
  </si>
  <si>
    <t>Reformulated Blended with Ether</t>
  </si>
  <si>
    <t>Reformulated Blended with Alcohol</t>
  </si>
  <si>
    <t>Reformulated (Non-Oxygenated)</t>
  </si>
  <si>
    <t>Conventional Blended with Alcohol</t>
  </si>
  <si>
    <t>Conventional Other</t>
  </si>
  <si>
    <t>Finished Aviation Gasoline</t>
  </si>
  <si>
    <t>Kerosene-Type Jet Fuel</t>
  </si>
  <si>
    <t>Kerosene</t>
  </si>
  <si>
    <t>Distillate Fuel Oil</t>
  </si>
  <si>
    <t>15 ppm sulfur and under</t>
  </si>
  <si>
    <t>Greater than 15 ppm to 500 ppm sulfur</t>
  </si>
  <si>
    <t>Greater than 500 ppm sulfur</t>
  </si>
  <si>
    <t>Residual Fuel Oil</t>
  </si>
  <si>
    <t>Less than 0.31 percent sulfur</t>
  </si>
  <si>
    <t>0.31 to 1.00 percent sulfur</t>
  </si>
  <si>
    <t>Greater than 1.00 percent sulfur</t>
  </si>
  <si>
    <t>Petrochemical Feedstocks</t>
  </si>
  <si>
    <t>Naphtha for Petro. Feed. Use</t>
  </si>
  <si>
    <t>Other Oils for Petro. Feed. Use</t>
  </si>
  <si>
    <t>Special Naphthas</t>
  </si>
  <si>
    <t>Waxes</t>
  </si>
  <si>
    <t>Petroleum Coke</t>
  </si>
  <si>
    <t>Marketable</t>
  </si>
  <si>
    <t>Catalyst</t>
  </si>
  <si>
    <t>Asphalt and Road Oil</t>
  </si>
  <si>
    <t>Still Gas</t>
  </si>
  <si>
    <t>Miscellaneous Products</t>
  </si>
  <si>
    <t>Fuel Use</t>
  </si>
  <si>
    <t>Nonfuel Use</t>
  </si>
  <si>
    <r>
      <t>Processing Gain(-) or Loss(+)</t>
    </r>
    <r>
      <rPr>
        <b/>
        <vertAlign val="superscript"/>
        <sz val="7"/>
        <rFont val="Helvetica"/>
        <family val="2"/>
      </rPr>
      <t>a</t>
    </r>
  </si>
  <si>
    <t>Table 21.  Percent Yield of Petroleum Products by PAD and Refining Districts,  2005</t>
  </si>
  <si>
    <t>PAD Dist. 4</t>
  </si>
  <si>
    <r>
      <t>Finished Motor Gasoline</t>
    </r>
    <r>
      <rPr>
        <vertAlign val="superscript"/>
        <sz val="7"/>
        <rFont val="Helvetica"/>
        <family val="2"/>
      </rPr>
      <t>a</t>
    </r>
  </si>
  <si>
    <r>
      <t>Finished Aviation Gasoline</t>
    </r>
    <r>
      <rPr>
        <vertAlign val="superscript"/>
        <sz val="7"/>
        <rFont val="Helvetica"/>
        <family val="2"/>
      </rPr>
      <t>b</t>
    </r>
  </si>
  <si>
    <r>
      <t>Processing Gain(-) or Loss(+)</t>
    </r>
    <r>
      <rPr>
        <b/>
        <vertAlign val="superscript"/>
        <sz val="7"/>
        <rFont val="Helvetica"/>
        <family val="2"/>
      </rPr>
      <t>c</t>
    </r>
  </si>
  <si>
    <t xml:space="preserve">Net Fuel Production at Refineries by PADD in 2005 </t>
  </si>
  <si>
    <t>Data source:  EIA, Petroleum Supply Annual 2005, Volume 1, Table 18.</t>
  </si>
  <si>
    <t>PADD 1</t>
  </si>
  <si>
    <t>PADD 2</t>
  </si>
  <si>
    <t>PADD 3</t>
  </si>
  <si>
    <t>PADD 4</t>
  </si>
  <si>
    <t>PADD 5</t>
  </si>
  <si>
    <t>US Totals</t>
  </si>
  <si>
    <t>Units</t>
  </si>
  <si>
    <t>East C.</t>
  </si>
  <si>
    <t>Appal.1</t>
  </si>
  <si>
    <t>IN,IL,KY</t>
  </si>
  <si>
    <t>MN,WI,ND,SD</t>
  </si>
  <si>
    <t>OK,KS,MO</t>
  </si>
  <si>
    <t>TX inland</t>
  </si>
  <si>
    <t>TX Gulf C.</t>
  </si>
  <si>
    <t>LA Gulf C.</t>
  </si>
  <si>
    <t>West C.</t>
  </si>
  <si>
    <t>SubPADD -&gt;</t>
  </si>
  <si>
    <t>LPG</t>
  </si>
  <si>
    <t>1,000 bbls</t>
  </si>
  <si>
    <t>Petrochem. Feedstocks</t>
  </si>
  <si>
    <t>Pet.Coke-Marketable</t>
  </si>
  <si>
    <t>Pet.Coke-Catalyst</t>
  </si>
  <si>
    <t>Asphalt &amp; Road Oil</t>
  </si>
  <si>
    <t>Other- Fuel Use</t>
  </si>
  <si>
    <t>Other- Nonfuel Use</t>
  </si>
  <si>
    <t>Denotes transportation fuels</t>
  </si>
  <si>
    <t>Net Inputs of Fuel Blending Components (BC).  Data Source:  EIA, Petroleum Supply Annual 2005, Volume 1, Table 17.  [Note: negative values denote production.]</t>
  </si>
  <si>
    <t>net inputs Motor Gasoline BC</t>
  </si>
  <si>
    <t>net inputs Aviation Gasoline BC</t>
  </si>
  <si>
    <t>Production Quantities including Blending Components produced at the refinery</t>
  </si>
  <si>
    <t>PADD 6</t>
  </si>
  <si>
    <t>% of total</t>
  </si>
  <si>
    <t>Motor Gasoline, finished &amp; MGBC</t>
  </si>
  <si>
    <t>Petrochem Feedstocks</t>
  </si>
  <si>
    <t>Other products</t>
  </si>
  <si>
    <t>Throughput</t>
  </si>
  <si>
    <t>PerTank (bbl)</t>
  </si>
  <si>
    <t>Gasoline Yield</t>
  </si>
  <si>
    <t>"yields" table</t>
  </si>
  <si>
    <t>Transp.</t>
  </si>
  <si>
    <t>U.S. Territories</t>
  </si>
  <si>
    <t>Gasoline</t>
  </si>
  <si>
    <t>Jet gas + Kerosenes + Naptha</t>
  </si>
  <si>
    <t>Diesel Fuel</t>
  </si>
  <si>
    <t>bbl/cd</t>
  </si>
  <si>
    <t>Number Diesel Tanks</t>
  </si>
  <si>
    <t>Number of ExtF Roof Crude Tanks</t>
  </si>
  <si>
    <t>Number EFR of Naptha. Tanks</t>
  </si>
  <si>
    <t>Number EFRoof Diesel Tanks</t>
  </si>
  <si>
    <t>Number Naptha/ Kero. Tanks</t>
  </si>
  <si>
    <t>1/2Kero + Diesel Fuel Yield</t>
  </si>
  <si>
    <t>Jet gas 1/2Kero + Naptha Yield</t>
  </si>
  <si>
    <t>Crude Tanks</t>
  </si>
  <si>
    <t>Gasoline Tanks</t>
  </si>
  <si>
    <t>Naptha/ Light Kero. Tanks</t>
  </si>
  <si>
    <t>lbs VOC/tank/year</t>
  </si>
  <si>
    <t>EmRedF</t>
  </si>
  <si>
    <t>VOC Emission Reductions (tpy)</t>
  </si>
  <si>
    <t>total VOC Red.</t>
  </si>
  <si>
    <t>total HAP Red.</t>
  </si>
  <si>
    <t>total Benzene Red.</t>
  </si>
  <si>
    <t>CostFactor</t>
  </si>
  <si>
    <t>TCI</t>
  </si>
  <si>
    <t>AOC</t>
  </si>
  <si>
    <t>TAC</t>
  </si>
  <si>
    <t>CE</t>
  </si>
  <si>
    <t>Number EFRoof Gasoline Tanks</t>
  </si>
  <si>
    <t>Storage Tank Control costs</t>
  </si>
  <si>
    <t>Cooling Tower Monitoring Costs and EmRed</t>
  </si>
  <si>
    <t>EmRed (tpy VOHAP)</t>
  </si>
  <si>
    <t>Interest</t>
  </si>
  <si>
    <t>Eq. Life</t>
  </si>
  <si>
    <t>Small</t>
  </si>
  <si>
    <t>Large</t>
  </si>
  <si>
    <t>Small_cutoff</t>
  </si>
  <si>
    <t>Large_cutoff</t>
  </si>
  <si>
    <t>CT_small</t>
  </si>
  <si>
    <t>CT_med</t>
  </si>
  <si>
    <t>CT_large</t>
  </si>
  <si>
    <t>CRF</t>
  </si>
  <si>
    <t>$/CT/yr</t>
  </si>
  <si>
    <t>CE_HAP</t>
  </si>
  <si>
    <t>BWON Fbio requirement</t>
  </si>
  <si>
    <t>First Year Cost</t>
  </si>
  <si>
    <t>Ongoing Cost</t>
  </si>
  <si>
    <t>TAC ($/yr)</t>
  </si>
  <si>
    <t>Flag for &gt;10 Mg</t>
  </si>
  <si>
    <t>Average flow factorb (gal/bbl)</t>
  </si>
  <si>
    <t>Average Benzene Concentration, (ppmw)</t>
  </si>
  <si>
    <t>Average Total HAP Concentration, (ppmw)</t>
  </si>
  <si>
    <t>WW_density</t>
  </si>
  <si>
    <t>lbs/gal</t>
  </si>
  <si>
    <t>Product Blending</t>
  </si>
  <si>
    <t>Tank drawdown</t>
  </si>
  <si>
    <t>WWTS benzene quantity, lb/day</t>
  </si>
  <si>
    <t>TAB, Mg/yr</t>
  </si>
  <si>
    <t>CT_idle</t>
  </si>
  <si>
    <t>Fenceline Ambient Monitoring</t>
  </si>
  <si>
    <t>Transportation Fuels Methodology Check</t>
  </si>
  <si>
    <t>% yield</t>
  </si>
  <si>
    <t>EIA %yield</t>
  </si>
  <si>
    <t>Average Monitoring Costs</t>
  </si>
  <si>
    <t>Medium</t>
  </si>
  <si>
    <t>&lt;75K</t>
  </si>
  <si>
    <t>&gt;200K</t>
  </si>
  <si>
    <t>Size</t>
  </si>
  <si>
    <t>Model Plant</t>
  </si>
  <si>
    <t>Fraction &lt;1 ppb</t>
  </si>
  <si>
    <t>From Monitoring Guidance Document_v3, Nov. 11, 2003</t>
  </si>
  <si>
    <t>Capital Cost for Ongoing</t>
  </si>
  <si>
    <t>AOC for ongoing</t>
  </si>
  <si>
    <t>TAC for Ongoing</t>
  </si>
  <si>
    <t>EquipLife</t>
  </si>
  <si>
    <t>Ave.Ref. TCI</t>
  </si>
  <si>
    <t>Ave.Ref AOC</t>
  </si>
  <si>
    <t>AveRef.TAC</t>
  </si>
  <si>
    <t>First Yr TCI</t>
  </si>
  <si>
    <t>First Yr AOC</t>
  </si>
  <si>
    <t>First Yr TAC</t>
  </si>
  <si>
    <t>TCI_idle</t>
  </si>
  <si>
    <t>TCI_small</t>
  </si>
  <si>
    <t>TCI_med</t>
  </si>
  <si>
    <t>TCI_large</t>
  </si>
  <si>
    <t>AOC_small</t>
  </si>
  <si>
    <t>AOC_med</t>
  </si>
  <si>
    <t>AOC_large</t>
  </si>
  <si>
    <t>AOC_idle</t>
  </si>
  <si>
    <t>TCI ($)</t>
  </si>
  <si>
    <t>AOC ($/yr)</t>
  </si>
  <si>
    <t>$</t>
  </si>
  <si>
    <t>$/yr</t>
  </si>
  <si>
    <t>Petroleum Refinery MACT1 RTR Cost Summary</t>
  </si>
  <si>
    <t>(Refinery list based on EIA, Refinery Capacity 2006 Tables 3 and 4)</t>
  </si>
  <si>
    <t>VOC Credits</t>
  </si>
  <si>
    <t>$/ton</t>
  </si>
  <si>
    <t>per Tank</t>
  </si>
  <si>
    <t>EmRed (tpy VOC)</t>
  </si>
  <si>
    <t>VOC Credits ($/yr)</t>
  </si>
  <si>
    <t>CreditF</t>
  </si>
  <si>
    <t>CreditF=1 includes VOC recovery credits</t>
  </si>
  <si>
    <t>Ave cost over # years</t>
  </si>
  <si>
    <t>with slotted GP</t>
  </si>
  <si>
    <t>Fraction ExtFR</t>
  </si>
  <si>
    <t>HAP EmR</t>
  </si>
  <si>
    <t>tpy</t>
  </si>
  <si>
    <t>Diesel Tanks</t>
  </si>
  <si>
    <t>Naptha/Jet Tanks</t>
  </si>
  <si>
    <t>Assumed</t>
  </si>
  <si>
    <t>Diameter</t>
  </si>
  <si>
    <t>(ft)</t>
  </si>
  <si>
    <t>bbl/d/tank</t>
  </si>
  <si>
    <t>Height</t>
  </si>
  <si>
    <t>Turnovers/yr</t>
  </si>
  <si>
    <t>Volume</t>
  </si>
  <si>
    <t>ft3</t>
  </si>
  <si>
    <t>Model Tank Sizes</t>
  </si>
  <si>
    <t>HAP</t>
  </si>
  <si>
    <t>%HAP</t>
  </si>
  <si>
    <t>%Benzene</t>
  </si>
  <si>
    <t>Source of Conc. Data:  letter from Patrick Murphy (Radian) to James Durham (EPA), August 10, 1993</t>
  </si>
  <si>
    <t xml:space="preserve">Average Weight Percent HAPs in Refinery Streams </t>
  </si>
  <si>
    <t>US Production Capacity, OGJ</t>
  </si>
  <si>
    <t>US Production, EIA</t>
  </si>
  <si>
    <t>US Production, IEA</t>
  </si>
  <si>
    <t>1,000 Mg/yr</t>
  </si>
  <si>
    <t>Coburn, Calculation</t>
  </si>
  <si>
    <t>for 2000</t>
  </si>
  <si>
    <t>Crude oil</t>
  </si>
  <si>
    <t>Reformate</t>
  </si>
  <si>
    <t>Ave. Conc. (wt %)</t>
  </si>
  <si>
    <t>Wtd Ave. Conc. (wt %)</t>
  </si>
  <si>
    <t>Liquid</t>
  </si>
  <si>
    <t>Vapor</t>
  </si>
  <si>
    <t>2,2,4-Trimethylpentane</t>
  </si>
  <si>
    <t>Benzene</t>
  </si>
  <si>
    <t>Biphenyl</t>
  </si>
  <si>
    <t>Cresols</t>
  </si>
  <si>
    <t>Cumene</t>
  </si>
  <si>
    <t>Ethylbenzene</t>
  </si>
  <si>
    <t>Hexane</t>
  </si>
  <si>
    <t>Methyl tertiary butyl ether</t>
  </si>
  <si>
    <t>Naphthalene</t>
  </si>
  <si>
    <t>Phenol</t>
  </si>
  <si>
    <t>Styrene</t>
  </si>
  <si>
    <t>Toluene</t>
  </si>
  <si>
    <t>Xylene</t>
  </si>
  <si>
    <t>Density</t>
  </si>
  <si>
    <t>EIA Refinery Capacity Report 2006</t>
  </si>
  <si>
    <t>EIA Petroleum Annual 2006 (2005 data)</t>
  </si>
  <si>
    <t>bbl/sd</t>
  </si>
  <si>
    <t>Tank Sizes</t>
  </si>
  <si>
    <t>Other light</t>
  </si>
  <si>
    <t>Diesel #2</t>
  </si>
  <si>
    <t>Thruput</t>
  </si>
  <si>
    <t>Tank Diam</t>
  </si>
  <si>
    <t>bbl/d</t>
  </si>
  <si>
    <t>gal/yr</t>
  </si>
  <si>
    <t>ft</t>
  </si>
  <si>
    <t>Tank Vol</t>
  </si>
  <si>
    <t>gal</t>
  </si>
  <si>
    <t>Turnovers</t>
  </si>
  <si>
    <t>DesignThruput</t>
  </si>
  <si>
    <t>throughput capacity utilization:</t>
  </si>
  <si>
    <t>WeightingFactorUsed</t>
  </si>
  <si>
    <t># of CT's</t>
  </si>
  <si>
    <t>WWTS benzene for TAB (&gt;10 ppmw), lb/day</t>
  </si>
  <si>
    <t>Option Removed…</t>
  </si>
  <si>
    <t>Cooling Towers Only</t>
  </si>
  <si>
    <t>Total HAP Emission Redcutions (tpy)</t>
  </si>
  <si>
    <t>Total Impacts, All options and costs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</si>
</sst>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0.0%"/>
    <numFmt numFmtId="167" formatCode="_(* #,##0.0_);_(* \(#,##0.0\);_(* &quot;-&quot;??_);_(@_)"/>
    <numFmt numFmtId="168" formatCode="_(\ #,##0_);_(\ \-#,##0;_(\ &quot;-&quot;_);_(@_)"/>
    <numFmt numFmtId="169" formatCode="m/d"/>
    <numFmt numFmtId="170" formatCode="@\ &quot;*&quot;"/>
    <numFmt numFmtId="171" formatCode="00000"/>
    <numFmt numFmtId="172" formatCode="0.0000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
    <numFmt numFmtId="180" formatCode="0.000"/>
    <numFmt numFmtId="181" formatCode="_(\ #,##0.0_);_(\ \-#,##0.0;_(\ &quot;-&quot;_);_(@_)"/>
    <numFmt numFmtId="182" formatCode="_(\ #,##0.00_);_(\ \-#,##0.00;_(\ &quot;-&quot;_);_(@_)"/>
    <numFmt numFmtId="183" formatCode="_(\ #,##0.000_);_(\ \-#,##0.000;_(\ &quot;-&quot;_);_(@_)"/>
    <numFmt numFmtId="184" formatCode="_(\ #,##0.0000_);_(\ \-#,##0.0000;_(\ &quot;-&quot;_);_(@_)"/>
    <numFmt numFmtId="185" formatCode="0.0"/>
    <numFmt numFmtId="186" formatCode="[$-409]dddd\,\ mmmm\ dd\,\ yyyy"/>
    <numFmt numFmtId="187" formatCode="_(\ #,##0_);_(\ \-#,##0;_(\ &quot;-&quot;_)"/>
    <numFmt numFmtId="188" formatCode="_(\ #,##0_);_(\ \-#,##0_);_(\ &quot;-&quot;_);_(@_)"/>
    <numFmt numFmtId="189" formatCode="mmmmm\-yy"/>
    <numFmt numFmtId="190" formatCode="#,##0.0"/>
    <numFmt numFmtId="191" formatCode="#,##0.0000"/>
    <numFmt numFmtId="192" formatCode="#,##0.00000"/>
    <numFmt numFmtId="193" formatCode="#,##0.000"/>
    <numFmt numFmtId="194" formatCode="#,##0.000000"/>
    <numFmt numFmtId="195" formatCode="#,##0.0000000"/>
    <numFmt numFmtId="196" formatCode="#,##0;\-#,##0;&quot;-&quot;"/>
    <numFmt numFmtId="197" formatCode="#,##0.0000000000"/>
    <numFmt numFmtId="198" formatCode="_(* #,##0.0_);_(* \(#,##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_(* #,##0.000_);_(* \(#,##0.000\);_(* &quot;-&quot;???_);_(@_)"/>
    <numFmt numFmtId="205" formatCode="0.0000000000000"/>
    <numFmt numFmtId="206" formatCode="0.00000000000000"/>
    <numFmt numFmtId="207" formatCode="0.000000000000000"/>
    <numFmt numFmtId="208" formatCode="0.0000E+00"/>
    <numFmt numFmtId="209" formatCode="0.000E+00"/>
    <numFmt numFmtId="210" formatCode="0.0E+00"/>
    <numFmt numFmtId="211" formatCode="_(* #,##0.0000_);_(* \(#,##0.0000\);_(* &quot;-&quot;??_);_(@_)"/>
    <numFmt numFmtId="212" formatCode="_(* #,##0.00000_);_(* \(#,##0.00000\);_(* &quot;-&quot;??_);_(@_)"/>
    <numFmt numFmtId="213" formatCode="_(* #,##0.0_);_(* \(#,##0.0\);_(* &quot;-&quot;_);_(@_)"/>
    <numFmt numFmtId="214" formatCode="_(* #,##0.00_);_(* \(#,##0.00\);_(* &quot;-&quot;_);_(@_)"/>
    <numFmt numFmtId="215" formatCode="0.00_)"/>
    <numFmt numFmtId="216" formatCode="0_)"/>
    <numFmt numFmtId="217" formatCode="0.0000_)"/>
    <numFmt numFmtId="218" formatCode="_(&quot;$&quot;* #,##0.0_);_(&quot;$&quot;* \(#,##0.0\);_(&quot;$&quot;* &quot;-&quot;??_);_(@_)"/>
    <numFmt numFmtId="219" formatCode="_(&quot;$&quot;* #,##0_);_(&quot;$&quot;* \(#,##0\);_(&quot;$&quot;* &quot;-&quot;??_);_(@_)"/>
    <numFmt numFmtId="220" formatCode="#####\-##\-#"/>
  </numFmts>
  <fonts count="25">
    <font>
      <sz val="10"/>
      <name val="Arial"/>
      <family val="0"/>
    </font>
    <font>
      <b/>
      <sz val="10"/>
      <name val="Arial"/>
      <family val="2"/>
    </font>
    <font>
      <sz val="10"/>
      <color indexed="8"/>
      <name val="Arial"/>
      <family val="2"/>
    </font>
    <font>
      <b/>
      <sz val="8"/>
      <name val="Tahoma"/>
      <family val="0"/>
    </font>
    <font>
      <sz val="8"/>
      <name val="Tahoma"/>
      <family val="0"/>
    </font>
    <font>
      <sz val="8"/>
      <name val="Arial"/>
      <family val="0"/>
    </font>
    <font>
      <sz val="10"/>
      <name val="MS Sans Serif"/>
      <family val="0"/>
    </font>
    <font>
      <u val="single"/>
      <sz val="10"/>
      <color indexed="14"/>
      <name val="MS Sans Serif"/>
      <family val="0"/>
    </font>
    <font>
      <u val="single"/>
      <sz val="10"/>
      <color indexed="12"/>
      <name val="MS Sans Serif"/>
      <family val="0"/>
    </font>
    <font>
      <b/>
      <sz val="8"/>
      <name val="Helvetica"/>
      <family val="2"/>
    </font>
    <font>
      <sz val="8"/>
      <name val="Helvetica"/>
      <family val="2"/>
    </font>
    <font>
      <b/>
      <sz val="7"/>
      <name val="Helvetica"/>
      <family val="2"/>
    </font>
    <font>
      <sz val="7"/>
      <name val="Arial"/>
      <family val="0"/>
    </font>
    <font>
      <sz val="7"/>
      <name val="Arial Narrow"/>
      <family val="2"/>
    </font>
    <font>
      <sz val="7"/>
      <name val="Helvetica"/>
      <family val="2"/>
    </font>
    <font>
      <vertAlign val="superscript"/>
      <sz val="7"/>
      <name val="Helvetica"/>
      <family val="2"/>
    </font>
    <font>
      <b/>
      <sz val="7"/>
      <name val="Arial"/>
      <family val="0"/>
    </font>
    <font>
      <sz val="7"/>
      <color indexed="8"/>
      <name val="Helvetica"/>
      <family val="2"/>
    </font>
    <font>
      <b/>
      <vertAlign val="superscript"/>
      <sz val="7"/>
      <name val="Helvetica"/>
      <family val="2"/>
    </font>
    <font>
      <sz val="8"/>
      <name val="MS Sans Serif"/>
      <family val="0"/>
    </font>
    <font>
      <sz val="10"/>
      <color indexed="12"/>
      <name val="Courier"/>
      <family val="0"/>
    </font>
    <font>
      <b/>
      <sz val="12"/>
      <name val="Arial"/>
      <family val="2"/>
    </font>
    <font>
      <b/>
      <i/>
      <sz val="10"/>
      <name val="Arial"/>
      <family val="2"/>
    </font>
    <font>
      <b/>
      <u val="single"/>
      <sz val="10"/>
      <name val="Arial"/>
      <family val="2"/>
    </font>
    <font>
      <b/>
      <sz val="8"/>
      <name val="Arial"/>
      <family val="2"/>
    </font>
  </fonts>
  <fills count="13">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33">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color indexed="8"/>
      </right>
      <top style="thin"/>
      <bottom>
        <color indexed="63"/>
      </bottom>
    </border>
    <border>
      <left style="thin">
        <color indexed="8"/>
      </left>
      <right style="thin">
        <color indexed="8"/>
      </right>
      <top style="thin"/>
      <bottom style="thin"/>
    </border>
    <border>
      <left style="thin"/>
      <right style="thin"/>
      <top>
        <color indexed="63"/>
      </top>
      <bottom>
        <color indexed="63"/>
      </bottom>
    </border>
    <border>
      <left style="thin">
        <color indexed="22"/>
      </left>
      <right style="thin">
        <color indexed="22"/>
      </right>
      <top>
        <color indexed="63"/>
      </top>
      <bottom style="thin">
        <color indexed="22"/>
      </bottom>
    </border>
    <border>
      <left style="thin">
        <color indexed="8"/>
      </left>
      <right style="thin"/>
      <top style="thin"/>
      <bottom style="thin"/>
    </border>
    <border>
      <left>
        <color indexed="63"/>
      </left>
      <right style="thin">
        <color indexed="8"/>
      </right>
      <top style="thin"/>
      <bottom style="thin"/>
    </border>
    <border>
      <left style="thin">
        <color indexed="8"/>
      </left>
      <right style="thin"/>
      <top style="thin">
        <color indexed="8"/>
      </top>
      <bottom style="thin">
        <color indexed="8"/>
      </bottom>
    </border>
    <border>
      <left style="thin">
        <color indexed="22"/>
      </left>
      <right style="thin"/>
      <top style="thin">
        <color indexed="22"/>
      </top>
      <bottom style="thin">
        <color indexed="22"/>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4">
    <xf numFmtId="0" fontId="0" fillId="0" borderId="0" xfId="0"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left"/>
    </xf>
    <xf numFmtId="0" fontId="1" fillId="0" borderId="0" xfId="0" applyFont="1" applyAlignment="1">
      <alignment/>
    </xf>
    <xf numFmtId="0" fontId="0" fillId="0" borderId="0" xfId="0" applyFont="1" applyAlignment="1">
      <alignment horizontal="right"/>
    </xf>
    <xf numFmtId="0" fontId="0" fillId="2" borderId="0" xfId="0" applyFont="1" applyFill="1" applyAlignment="1">
      <alignment/>
    </xf>
    <xf numFmtId="0" fontId="0" fillId="0" borderId="0" xfId="0" applyNumberFormat="1" applyFont="1" applyAlignment="1">
      <alignment horizontal="left"/>
    </xf>
    <xf numFmtId="3" fontId="0" fillId="0" borderId="0" xfId="0" applyNumberFormat="1" applyFont="1" applyAlignment="1">
      <alignment horizontal="center"/>
    </xf>
    <xf numFmtId="0" fontId="0" fillId="0" borderId="0" xfId="0" applyFont="1" applyAlignment="1">
      <alignment horizontal="center" wrapText="1"/>
    </xf>
    <xf numFmtId="0" fontId="0" fillId="0" borderId="0" xfId="0" applyFont="1" applyFill="1" applyAlignment="1">
      <alignment horizontal="center" wrapText="1"/>
    </xf>
    <xf numFmtId="0" fontId="0" fillId="2" borderId="0" xfId="0" applyFont="1" applyFill="1" applyAlignment="1">
      <alignment horizontal="center" wrapText="1"/>
    </xf>
    <xf numFmtId="0" fontId="0" fillId="3" borderId="0" xfId="0" applyFont="1" applyFill="1" applyAlignment="1">
      <alignment/>
    </xf>
    <xf numFmtId="0" fontId="0" fillId="3" borderId="0" xfId="0" applyFont="1" applyFill="1" applyAlignment="1">
      <alignment horizontal="right"/>
    </xf>
    <xf numFmtId="3" fontId="2" fillId="4" borderId="1" xfId="21" applyNumberFormat="1" applyFont="1" applyFill="1" applyBorder="1" applyAlignment="1">
      <alignment horizontal="center" wrapText="1"/>
      <protection/>
    </xf>
    <xf numFmtId="3" fontId="2" fillId="4" borderId="1" xfId="21" applyNumberFormat="1" applyFont="1" applyFill="1" applyBorder="1" applyAlignment="1">
      <alignment/>
      <protection/>
    </xf>
    <xf numFmtId="3" fontId="0" fillId="4" borderId="1" xfId="21" applyNumberFormat="1" applyFont="1" applyFill="1" applyBorder="1" applyAlignment="1">
      <alignment/>
      <protection/>
    </xf>
    <xf numFmtId="0" fontId="0" fillId="2" borderId="0" xfId="0" applyFont="1" applyFill="1" applyAlignment="1">
      <alignment horizontal="center"/>
    </xf>
    <xf numFmtId="0" fontId="2" fillId="4" borderId="2" xfId="21" applyFont="1" applyFill="1" applyBorder="1" applyAlignment="1">
      <alignment horizontal="center"/>
      <protection/>
    </xf>
    <xf numFmtId="0" fontId="2" fillId="5" borderId="2" xfId="21" applyFont="1" applyFill="1" applyBorder="1" applyAlignment="1">
      <alignment horizontal="center"/>
      <protection/>
    </xf>
    <xf numFmtId="3" fontId="2" fillId="4" borderId="2" xfId="21" applyNumberFormat="1" applyFont="1" applyFill="1" applyBorder="1" applyAlignment="1">
      <alignment horizontal="center"/>
      <protection/>
    </xf>
    <xf numFmtId="3" fontId="2" fillId="4" borderId="3" xfId="21" applyNumberFormat="1" applyFont="1" applyFill="1" applyBorder="1" applyAlignment="1">
      <alignment horizontal="center" wrapText="1"/>
      <protection/>
    </xf>
    <xf numFmtId="3" fontId="2" fillId="4" borderId="3" xfId="21" applyNumberFormat="1" applyFont="1" applyFill="1" applyBorder="1" applyAlignment="1">
      <alignment horizontal="center"/>
      <protection/>
    </xf>
    <xf numFmtId="3" fontId="0" fillId="4" borderId="3" xfId="21" applyNumberFormat="1" applyFont="1" applyFill="1" applyBorder="1" applyAlignment="1">
      <alignment horizontal="center"/>
      <protection/>
    </xf>
    <xf numFmtId="0" fontId="2" fillId="0" borderId="4" xfId="21" applyFont="1" applyFill="1" applyBorder="1" applyAlignment="1">
      <alignment horizontal="right"/>
      <protection/>
    </xf>
    <xf numFmtId="0" fontId="2" fillId="0" borderId="4" xfId="21" applyFont="1" applyFill="1" applyBorder="1" applyAlignment="1">
      <alignment/>
      <protection/>
    </xf>
    <xf numFmtId="0" fontId="2" fillId="0" borderId="4" xfId="21" applyFont="1" applyFill="1" applyBorder="1" applyAlignment="1">
      <alignment horizontal="center"/>
      <protection/>
    </xf>
    <xf numFmtId="165" fontId="2" fillId="0" borderId="4" xfId="15" applyNumberFormat="1" applyFont="1" applyFill="1" applyBorder="1" applyAlignment="1">
      <alignment horizontal="right"/>
    </xf>
    <xf numFmtId="3" fontId="0" fillId="0" borderId="4" xfId="21" applyNumberFormat="1" applyFont="1" applyFill="1" applyBorder="1" applyAlignment="1">
      <alignment horizontal="right"/>
      <protection/>
    </xf>
    <xf numFmtId="3" fontId="2" fillId="0" borderId="4" xfId="21" applyNumberFormat="1" applyFont="1" applyFill="1" applyBorder="1" applyAlignment="1">
      <alignment horizontal="right"/>
      <protection/>
    </xf>
    <xf numFmtId="3" fontId="0" fillId="0" borderId="4" xfId="21" applyNumberFormat="1" applyFont="1" applyFill="1" applyBorder="1" applyAlignment="1">
      <alignment horizontal="right"/>
      <protection/>
    </xf>
    <xf numFmtId="3" fontId="2" fillId="0" borderId="4" xfId="21" applyNumberFormat="1" applyFont="1" applyFill="1" applyBorder="1" applyAlignment="1">
      <alignment horizontal="right"/>
      <protection/>
    </xf>
    <xf numFmtId="165" fontId="0" fillId="2" borderId="0" xfId="15" applyNumberFormat="1" applyFont="1" applyFill="1" applyAlignment="1">
      <alignment/>
    </xf>
    <xf numFmtId="0" fontId="2" fillId="0" borderId="4" xfId="21" applyFont="1" applyFill="1" applyBorder="1" applyAlignment="1">
      <alignment horizontal="right"/>
      <protection/>
    </xf>
    <xf numFmtId="0" fontId="2" fillId="0" borderId="4" xfId="21" applyFont="1" applyFill="1" applyBorder="1" applyAlignment="1">
      <alignment/>
      <protection/>
    </xf>
    <xf numFmtId="0" fontId="2" fillId="0" borderId="4" xfId="21" applyFont="1" applyFill="1" applyBorder="1" applyAlignment="1">
      <alignment horizontal="center"/>
      <protection/>
    </xf>
    <xf numFmtId="3" fontId="0" fillId="0" borderId="0" xfId="0" applyNumberFormat="1" applyFont="1" applyFill="1" applyAlignment="1">
      <alignment/>
    </xf>
    <xf numFmtId="0" fontId="0" fillId="0" borderId="4" xfId="0" applyFont="1" applyFill="1" applyBorder="1" applyAlignment="1">
      <alignment/>
    </xf>
    <xf numFmtId="0" fontId="2" fillId="0" borderId="0" xfId="21" applyFont="1" applyFill="1" applyBorder="1" applyAlignment="1">
      <alignment horizontal="center"/>
      <protection/>
    </xf>
    <xf numFmtId="0" fontId="2" fillId="0" borderId="0" xfId="21" applyFont="1" applyFill="1" applyAlignment="1">
      <alignment horizontal="right"/>
      <protection/>
    </xf>
    <xf numFmtId="3" fontId="0" fillId="0" borderId="0" xfId="21" applyNumberFormat="1" applyFont="1" applyFill="1" applyAlignment="1">
      <alignment horizontal="right"/>
      <protection/>
    </xf>
    <xf numFmtId="0" fontId="0" fillId="0" borderId="4" xfId="0" applyNumberFormat="1" applyFont="1" applyFill="1" applyBorder="1" applyAlignment="1" quotePrefix="1">
      <alignment/>
    </xf>
    <xf numFmtId="0" fontId="0" fillId="0" borderId="4" xfId="0" applyNumberFormat="1" applyFont="1" applyFill="1" applyBorder="1" applyAlignment="1">
      <alignment/>
    </xf>
    <xf numFmtId="3" fontId="0" fillId="0" borderId="0" xfId="21" applyNumberFormat="1" applyFont="1" applyFill="1" applyBorder="1" applyAlignment="1">
      <alignment horizontal="right"/>
      <protection/>
    </xf>
    <xf numFmtId="3" fontId="2" fillId="0" borderId="0" xfId="21" applyNumberFormat="1" applyFont="1" applyFill="1" applyBorder="1" applyAlignment="1">
      <alignment horizontal="right"/>
      <protection/>
    </xf>
    <xf numFmtId="0" fontId="0" fillId="0" borderId="0" xfId="0" applyFont="1" applyFill="1" applyAlignment="1">
      <alignment/>
    </xf>
    <xf numFmtId="0" fontId="2" fillId="0" borderId="0" xfId="21" applyFont="1" applyFill="1" applyBorder="1" applyAlignment="1">
      <alignment/>
      <protection/>
    </xf>
    <xf numFmtId="0" fontId="2" fillId="0" borderId="0" xfId="21" applyFont="1" applyFill="1" applyBorder="1" applyAlignment="1">
      <alignment/>
      <protection/>
    </xf>
    <xf numFmtId="3" fontId="0" fillId="0" borderId="4" xfId="21" applyNumberFormat="1" applyFont="1" applyFill="1" applyBorder="1" applyAlignment="1">
      <alignment/>
      <protection/>
    </xf>
    <xf numFmtId="165" fontId="0" fillId="0" borderId="0" xfId="0" applyNumberFormat="1" applyFont="1" applyFill="1" applyAlignment="1">
      <alignment/>
    </xf>
    <xf numFmtId="166" fontId="0" fillId="0" borderId="0" xfId="27" applyNumberFormat="1" applyFont="1" applyAlignment="1">
      <alignment/>
    </xf>
    <xf numFmtId="9" fontId="0" fillId="0" borderId="0" xfId="27" applyFont="1" applyAlignment="1">
      <alignment/>
    </xf>
    <xf numFmtId="3" fontId="0" fillId="0" borderId="0" xfId="0" applyNumberFormat="1" applyFont="1" applyAlignment="1">
      <alignment horizontal="center" wrapText="1"/>
    </xf>
    <xf numFmtId="165" fontId="0" fillId="0" borderId="0" xfId="15" applyNumberFormat="1" applyFont="1" applyFill="1" applyAlignment="1">
      <alignment/>
    </xf>
    <xf numFmtId="0" fontId="9" fillId="6" borderId="0" xfId="24" applyFont="1" applyFill="1">
      <alignment/>
      <protection/>
    </xf>
    <xf numFmtId="0" fontId="10" fillId="6" borderId="0" xfId="24" applyFont="1" applyFill="1">
      <alignment/>
      <protection/>
    </xf>
    <xf numFmtId="0" fontId="10" fillId="6" borderId="0" xfId="24" applyFont="1" applyFill="1" applyBorder="1">
      <alignment/>
      <protection/>
    </xf>
    <xf numFmtId="0" fontId="0" fillId="6" borderId="0" xfId="24" applyFill="1">
      <alignment/>
      <protection/>
    </xf>
    <xf numFmtId="0" fontId="0" fillId="0" borderId="0" xfId="24" applyFill="1">
      <alignment/>
      <protection/>
    </xf>
    <xf numFmtId="0" fontId="0" fillId="0" borderId="0" xfId="24">
      <alignment/>
      <protection/>
    </xf>
    <xf numFmtId="0" fontId="11" fillId="6" borderId="5" xfId="24" applyFont="1" applyFill="1" applyBorder="1" applyAlignment="1">
      <alignment horizontal="center" wrapText="1"/>
      <protection/>
    </xf>
    <xf numFmtId="0" fontId="12" fillId="6" borderId="6" xfId="24" applyFont="1" applyFill="1" applyBorder="1" applyAlignment="1">
      <alignment horizontal="center"/>
      <protection/>
    </xf>
    <xf numFmtId="0" fontId="11" fillId="6" borderId="7" xfId="24" applyFont="1" applyFill="1" applyBorder="1" applyAlignment="1">
      <alignment horizontal="center" wrapText="1"/>
      <protection/>
    </xf>
    <xf numFmtId="0" fontId="11" fillId="6" borderId="8" xfId="24" applyFont="1" applyFill="1" applyBorder="1" applyAlignment="1">
      <alignment horizontal="center" wrapText="1"/>
      <protection/>
    </xf>
    <xf numFmtId="0" fontId="11" fillId="6" borderId="9" xfId="24" applyFont="1" applyFill="1" applyBorder="1" applyAlignment="1">
      <alignment horizontal="center" wrapText="1"/>
      <protection/>
    </xf>
    <xf numFmtId="0" fontId="11" fillId="6" borderId="10" xfId="24" applyFont="1" applyFill="1" applyBorder="1" applyAlignment="1">
      <alignment horizontal="center" wrapText="1"/>
      <protection/>
    </xf>
    <xf numFmtId="0" fontId="11" fillId="6" borderId="0" xfId="23" applyFont="1" applyFill="1" applyBorder="1" applyAlignment="1">
      <alignment horizontal="center" vertical="center"/>
      <protection/>
    </xf>
    <xf numFmtId="0" fontId="11" fillId="6" borderId="0" xfId="23" applyFont="1" applyFill="1" applyBorder="1" applyAlignment="1">
      <alignment horizontal="center" wrapText="1"/>
      <protection/>
    </xf>
    <xf numFmtId="0" fontId="13" fillId="0" borderId="0" xfId="23" applyFont="1" applyFill="1" applyBorder="1">
      <alignment/>
      <protection/>
    </xf>
    <xf numFmtId="0" fontId="13" fillId="0" borderId="0" xfId="23" applyFont="1">
      <alignment/>
      <protection/>
    </xf>
    <xf numFmtId="0" fontId="11" fillId="6" borderId="0" xfId="24" applyFont="1" applyFill="1">
      <alignment/>
      <protection/>
    </xf>
    <xf numFmtId="0" fontId="11" fillId="6" borderId="0" xfId="24" applyFont="1" applyFill="1" applyBorder="1">
      <alignment/>
      <protection/>
    </xf>
    <xf numFmtId="3" fontId="11" fillId="7" borderId="0" xfId="15" applyNumberFormat="1" applyFont="1" applyFill="1" applyBorder="1" applyAlignment="1">
      <alignment horizontal="right"/>
    </xf>
    <xf numFmtId="0" fontId="14" fillId="6" borderId="0" xfId="24" applyFont="1" applyFill="1">
      <alignment/>
      <protection/>
    </xf>
    <xf numFmtId="0" fontId="14" fillId="6" borderId="0" xfId="24" applyFont="1" applyFill="1" applyBorder="1">
      <alignment/>
      <protection/>
    </xf>
    <xf numFmtId="3" fontId="14" fillId="7" borderId="0" xfId="15" applyNumberFormat="1" applyFont="1" applyFill="1" applyBorder="1" applyAlignment="1">
      <alignment horizontal="right"/>
    </xf>
    <xf numFmtId="0" fontId="12" fillId="6" borderId="0" xfId="24" applyFont="1" applyFill="1" applyBorder="1">
      <alignment/>
      <protection/>
    </xf>
    <xf numFmtId="193" fontId="14" fillId="0" borderId="0" xfId="15" applyNumberFormat="1" applyFont="1" applyFill="1" applyBorder="1" applyAlignment="1">
      <alignment horizontal="right"/>
    </xf>
    <xf numFmtId="3" fontId="14" fillId="0" borderId="0" xfId="15" applyNumberFormat="1" applyFont="1" applyFill="1" applyBorder="1" applyAlignment="1">
      <alignment horizontal="right"/>
    </xf>
    <xf numFmtId="0" fontId="12" fillId="6" borderId="0" xfId="24" applyFont="1" applyFill="1">
      <alignment/>
      <protection/>
    </xf>
    <xf numFmtId="165" fontId="0" fillId="0" borderId="0" xfId="15" applyNumberFormat="1" applyFill="1" applyAlignment="1">
      <alignment/>
    </xf>
    <xf numFmtId="3" fontId="14" fillId="6" borderId="0" xfId="24" applyNumberFormat="1" applyFont="1" applyFill="1">
      <alignment/>
      <protection/>
    </xf>
    <xf numFmtId="3" fontId="0" fillId="0" borderId="0" xfId="24" applyNumberFormat="1" applyFill="1">
      <alignment/>
      <protection/>
    </xf>
    <xf numFmtId="185" fontId="14" fillId="6" borderId="0" xfId="24" applyNumberFormat="1" applyFont="1" applyFill="1">
      <alignment/>
      <protection/>
    </xf>
    <xf numFmtId="2" fontId="0" fillId="0" borderId="0" xfId="24" applyNumberFormat="1" applyFill="1">
      <alignment/>
      <protection/>
    </xf>
    <xf numFmtId="0" fontId="11" fillId="6" borderId="0" xfId="24" applyFont="1" applyFill="1">
      <alignment/>
      <protection/>
    </xf>
    <xf numFmtId="3" fontId="14" fillId="6" borderId="0" xfId="15" applyNumberFormat="1" applyFont="1" applyFill="1" applyBorder="1" applyAlignment="1">
      <alignment horizontal="right"/>
    </xf>
    <xf numFmtId="1" fontId="12" fillId="0" borderId="0" xfId="24" applyNumberFormat="1" applyFont="1" applyFill="1">
      <alignment/>
      <protection/>
    </xf>
    <xf numFmtId="4" fontId="14" fillId="6" borderId="0" xfId="24" applyNumberFormat="1" applyFont="1" applyFill="1">
      <alignment/>
      <protection/>
    </xf>
    <xf numFmtId="4" fontId="12" fillId="6" borderId="0" xfId="24" applyNumberFormat="1" applyFont="1" applyFill="1">
      <alignment/>
      <protection/>
    </xf>
    <xf numFmtId="4" fontId="12" fillId="0" borderId="0" xfId="24" applyNumberFormat="1" applyFont="1" applyFill="1">
      <alignment/>
      <protection/>
    </xf>
    <xf numFmtId="3" fontId="11" fillId="6" borderId="0" xfId="24" applyNumberFormat="1" applyFont="1" applyFill="1">
      <alignment/>
      <protection/>
    </xf>
    <xf numFmtId="3" fontId="16" fillId="6" borderId="0" xfId="24" applyNumberFormat="1" applyFont="1" applyFill="1">
      <alignment/>
      <protection/>
    </xf>
    <xf numFmtId="3" fontId="12" fillId="0" borderId="0" xfId="24" applyNumberFormat="1" applyFont="1" applyFill="1">
      <alignment/>
      <protection/>
    </xf>
    <xf numFmtId="3" fontId="12" fillId="6" borderId="0" xfId="24" applyNumberFormat="1" applyFont="1" applyFill="1">
      <alignment/>
      <protection/>
    </xf>
    <xf numFmtId="0" fontId="11" fillId="6" borderId="11" xfId="24" applyFont="1" applyFill="1" applyBorder="1">
      <alignment/>
      <protection/>
    </xf>
    <xf numFmtId="0" fontId="14" fillId="6" borderId="11" xfId="24" applyFont="1" applyFill="1" applyBorder="1">
      <alignment/>
      <protection/>
    </xf>
    <xf numFmtId="0" fontId="16" fillId="6" borderId="11" xfId="24" applyFont="1" applyFill="1" applyBorder="1">
      <alignment/>
      <protection/>
    </xf>
    <xf numFmtId="3" fontId="16" fillId="6" borderId="11" xfId="24" applyNumberFormat="1" applyFont="1" applyFill="1" applyBorder="1">
      <alignment/>
      <protection/>
    </xf>
    <xf numFmtId="0" fontId="9" fillId="6" borderId="0" xfId="25" applyFont="1" applyFill="1">
      <alignment/>
      <protection/>
    </xf>
    <xf numFmtId="0" fontId="10" fillId="6" borderId="0" xfId="25" applyFont="1" applyFill="1">
      <alignment/>
      <protection/>
    </xf>
    <xf numFmtId="0" fontId="10" fillId="6" borderId="0" xfId="25" applyFont="1" applyFill="1" applyBorder="1">
      <alignment/>
      <protection/>
    </xf>
    <xf numFmtId="14" fontId="10" fillId="6" borderId="0" xfId="25" applyNumberFormat="1" applyFont="1" applyFill="1">
      <alignment/>
      <protection/>
    </xf>
    <xf numFmtId="0" fontId="0" fillId="6" borderId="0" xfId="25" applyFill="1">
      <alignment/>
      <protection/>
    </xf>
    <xf numFmtId="0" fontId="0" fillId="0" borderId="0" xfId="25" applyFill="1">
      <alignment/>
      <protection/>
    </xf>
    <xf numFmtId="0" fontId="11" fillId="6" borderId="5" xfId="25" applyFont="1" applyFill="1" applyBorder="1" applyAlignment="1">
      <alignment horizontal="center" wrapText="1"/>
      <protection/>
    </xf>
    <xf numFmtId="0" fontId="12" fillId="6" borderId="6" xfId="25" applyFont="1" applyFill="1" applyBorder="1" applyAlignment="1">
      <alignment horizontal="center"/>
      <protection/>
    </xf>
    <xf numFmtId="0" fontId="11" fillId="6" borderId="7" xfId="25" applyFont="1" applyFill="1" applyBorder="1" applyAlignment="1">
      <alignment horizontal="center" wrapText="1"/>
      <protection/>
    </xf>
    <xf numFmtId="0" fontId="11" fillId="6" borderId="8" xfId="25" applyFont="1" applyFill="1" applyBorder="1" applyAlignment="1">
      <alignment horizontal="center" wrapText="1"/>
      <protection/>
    </xf>
    <xf numFmtId="0" fontId="11" fillId="6" borderId="9" xfId="25" applyFont="1" applyFill="1" applyBorder="1" applyAlignment="1">
      <alignment horizontal="center" wrapText="1"/>
      <protection/>
    </xf>
    <xf numFmtId="0" fontId="11" fillId="6" borderId="10" xfId="25" applyFont="1" applyFill="1" applyBorder="1" applyAlignment="1">
      <alignment horizontal="center" wrapText="1"/>
      <protection/>
    </xf>
    <xf numFmtId="0" fontId="13" fillId="0" borderId="0" xfId="25" applyFont="1" applyFill="1">
      <alignment/>
      <protection/>
    </xf>
    <xf numFmtId="0" fontId="14" fillId="6" borderId="0" xfId="25" applyFont="1" applyFill="1">
      <alignment/>
      <protection/>
    </xf>
    <xf numFmtId="0" fontId="14" fillId="6" borderId="0" xfId="25" applyFont="1" applyFill="1" applyBorder="1">
      <alignment/>
      <protection/>
    </xf>
    <xf numFmtId="0" fontId="12" fillId="6" borderId="0" xfId="25" applyFont="1" applyFill="1" applyBorder="1">
      <alignment/>
      <protection/>
    </xf>
    <xf numFmtId="0" fontId="12" fillId="6" borderId="0" xfId="25" applyFont="1" applyFill="1">
      <alignment/>
      <protection/>
    </xf>
    <xf numFmtId="0" fontId="17" fillId="6" borderId="0" xfId="25" applyFont="1" applyFill="1" applyBorder="1">
      <alignment/>
      <protection/>
    </xf>
    <xf numFmtId="0" fontId="11" fillId="6" borderId="0" xfId="25" applyFont="1" applyFill="1">
      <alignment/>
      <protection/>
    </xf>
    <xf numFmtId="0" fontId="11" fillId="6" borderId="0" xfId="25" applyFont="1" applyFill="1" applyBorder="1">
      <alignment/>
      <protection/>
    </xf>
    <xf numFmtId="3" fontId="11" fillId="0" borderId="0" xfId="15" applyNumberFormat="1" applyFont="1" applyFill="1" applyBorder="1" applyAlignment="1">
      <alignment horizontal="right"/>
    </xf>
    <xf numFmtId="3" fontId="11" fillId="7" borderId="11" xfId="15" applyNumberFormat="1" applyFont="1" applyFill="1" applyBorder="1" applyAlignment="1">
      <alignment horizontal="right"/>
    </xf>
    <xf numFmtId="0" fontId="1" fillId="0" borderId="0" xfId="25" applyFont="1" applyFill="1">
      <alignment/>
      <protection/>
    </xf>
    <xf numFmtId="0" fontId="10" fillId="6" borderId="12" xfId="25" applyFont="1" applyFill="1" applyBorder="1">
      <alignment/>
      <protection/>
    </xf>
    <xf numFmtId="3" fontId="10" fillId="7" borderId="12" xfId="15" applyNumberFormat="1" applyFont="1" applyFill="1" applyBorder="1" applyAlignment="1">
      <alignment horizontal="right"/>
    </xf>
    <xf numFmtId="3" fontId="10" fillId="7" borderId="0" xfId="15" applyNumberFormat="1" applyFont="1" applyFill="1" applyBorder="1" applyAlignment="1">
      <alignment horizontal="right"/>
    </xf>
    <xf numFmtId="0" fontId="10" fillId="0" borderId="0" xfId="25" applyFont="1" applyFill="1">
      <alignment/>
      <protection/>
    </xf>
    <xf numFmtId="0" fontId="10" fillId="0" borderId="0" xfId="25" applyFont="1" applyFill="1" applyBorder="1">
      <alignment/>
      <protection/>
    </xf>
    <xf numFmtId="3" fontId="10" fillId="0" borderId="0" xfId="25" applyNumberFormat="1" applyFont="1" applyFill="1">
      <alignment/>
      <protection/>
    </xf>
    <xf numFmtId="0" fontId="0" fillId="0" borderId="0" xfId="25" applyFill="1" applyBorder="1">
      <alignment/>
      <protection/>
    </xf>
    <xf numFmtId="0" fontId="0" fillId="0" borderId="0" xfId="25">
      <alignment/>
      <protection/>
    </xf>
    <xf numFmtId="0" fontId="0" fillId="0" borderId="0" xfId="25" applyBorder="1">
      <alignment/>
      <protection/>
    </xf>
    <xf numFmtId="0" fontId="0" fillId="0" borderId="13" xfId="25" applyBorder="1">
      <alignment/>
      <protection/>
    </xf>
    <xf numFmtId="0" fontId="9" fillId="6" borderId="0" xfId="26" applyFont="1" applyFill="1">
      <alignment/>
      <protection/>
    </xf>
    <xf numFmtId="0" fontId="10" fillId="6" borderId="0" xfId="26" applyFont="1" applyFill="1">
      <alignment/>
      <protection/>
    </xf>
    <xf numFmtId="0" fontId="10" fillId="6" borderId="0" xfId="26" applyFont="1" applyFill="1" applyBorder="1">
      <alignment/>
      <protection/>
    </xf>
    <xf numFmtId="14" fontId="10" fillId="6" borderId="0" xfId="26" applyNumberFormat="1" applyFont="1" applyFill="1">
      <alignment/>
      <protection/>
    </xf>
    <xf numFmtId="0" fontId="0" fillId="6" borderId="0" xfId="26" applyFill="1">
      <alignment/>
      <protection/>
    </xf>
    <xf numFmtId="0" fontId="0" fillId="0" borderId="0" xfId="26">
      <alignment/>
      <protection/>
    </xf>
    <xf numFmtId="0" fontId="11" fillId="6" borderId="8" xfId="26" applyFont="1" applyFill="1" applyBorder="1" applyAlignment="1">
      <alignment horizontal="center" wrapText="1"/>
      <protection/>
    </xf>
    <xf numFmtId="0" fontId="12" fillId="6" borderId="6" xfId="26" applyFont="1" applyFill="1" applyBorder="1" applyAlignment="1">
      <alignment horizontal="center"/>
      <protection/>
    </xf>
    <xf numFmtId="0" fontId="11" fillId="6" borderId="7" xfId="26" applyFont="1" applyFill="1" applyBorder="1" applyAlignment="1">
      <alignment horizontal="center" wrapText="1"/>
      <protection/>
    </xf>
    <xf numFmtId="0" fontId="11" fillId="6" borderId="9" xfId="26" applyFont="1" applyFill="1" applyBorder="1" applyAlignment="1">
      <alignment horizontal="center" wrapText="1"/>
      <protection/>
    </xf>
    <xf numFmtId="0" fontId="11" fillId="6" borderId="14" xfId="26" applyFont="1" applyFill="1" applyBorder="1" applyAlignment="1">
      <alignment horizontal="center" wrapText="1"/>
      <protection/>
    </xf>
    <xf numFmtId="0" fontId="11" fillId="6" borderId="10" xfId="26" applyFont="1" applyFill="1" applyBorder="1" applyAlignment="1">
      <alignment horizontal="center" wrapText="1"/>
      <protection/>
    </xf>
    <xf numFmtId="0" fontId="13" fillId="0" borderId="0" xfId="26" applyFont="1">
      <alignment/>
      <protection/>
    </xf>
    <xf numFmtId="0" fontId="14" fillId="6" borderId="0" xfId="26" applyFont="1" applyFill="1">
      <alignment/>
      <protection/>
    </xf>
    <xf numFmtId="0" fontId="14" fillId="6" borderId="0" xfId="26" applyFont="1" applyFill="1" applyBorder="1">
      <alignment/>
      <protection/>
    </xf>
    <xf numFmtId="185" fontId="14" fillId="7" borderId="0" xfId="15" applyNumberFormat="1" applyFont="1" applyFill="1" applyBorder="1" applyAlignment="1">
      <alignment horizontal="right"/>
    </xf>
    <xf numFmtId="190" fontId="14" fillId="7" borderId="0" xfId="15" applyNumberFormat="1" applyFont="1" applyFill="1" applyBorder="1" applyAlignment="1">
      <alignment horizontal="right"/>
    </xf>
    <xf numFmtId="0" fontId="12" fillId="6" borderId="0" xfId="26" applyFont="1" applyFill="1">
      <alignment/>
      <protection/>
    </xf>
    <xf numFmtId="0" fontId="12" fillId="6" borderId="0" xfId="26" applyFont="1" applyFill="1" applyBorder="1">
      <alignment/>
      <protection/>
    </xf>
    <xf numFmtId="0" fontId="11" fillId="6" borderId="11" xfId="26" applyFont="1" applyFill="1" applyBorder="1">
      <alignment/>
      <protection/>
    </xf>
    <xf numFmtId="185" fontId="11" fillId="7" borderId="11" xfId="15" applyNumberFormat="1" applyFont="1" applyFill="1" applyBorder="1" applyAlignment="1">
      <alignment horizontal="right"/>
    </xf>
    <xf numFmtId="190" fontId="11" fillId="7" borderId="11" xfId="15" applyNumberFormat="1" applyFont="1" applyFill="1" applyBorder="1" applyAlignment="1">
      <alignment horizontal="right"/>
    </xf>
    <xf numFmtId="0" fontId="1" fillId="0" borderId="0" xfId="26" applyFont="1">
      <alignment/>
      <protection/>
    </xf>
    <xf numFmtId="0" fontId="0" fillId="6" borderId="0" xfId="26" applyFill="1" applyBorder="1">
      <alignment/>
      <protection/>
    </xf>
    <xf numFmtId="0" fontId="0" fillId="0" borderId="0" xfId="26" applyFill="1" applyBorder="1">
      <alignment/>
      <protection/>
    </xf>
    <xf numFmtId="0" fontId="11" fillId="6" borderId="0" xfId="26" applyFont="1" applyFill="1" applyBorder="1" applyAlignment="1">
      <alignment horizontal="center" wrapText="1"/>
      <protection/>
    </xf>
    <xf numFmtId="190" fontId="14" fillId="6" borderId="0" xfId="15" applyNumberFormat="1" applyFont="1" applyFill="1" applyBorder="1" applyAlignment="1">
      <alignment horizontal="right"/>
    </xf>
    <xf numFmtId="0" fontId="14" fillId="0" borderId="0" xfId="26" applyFont="1" applyFill="1" applyBorder="1">
      <alignment/>
      <protection/>
    </xf>
    <xf numFmtId="0" fontId="12" fillId="0" borderId="0" xfId="26" applyFont="1" applyFill="1" applyBorder="1">
      <alignment/>
      <protection/>
    </xf>
    <xf numFmtId="190" fontId="14" fillId="0" borderId="0" xfId="15" applyNumberFormat="1" applyFont="1" applyFill="1" applyBorder="1" applyAlignment="1">
      <alignment horizontal="right"/>
    </xf>
    <xf numFmtId="0" fontId="0" fillId="0" borderId="0" xfId="22" applyFont="1">
      <alignment/>
      <protection/>
    </xf>
    <xf numFmtId="0" fontId="0" fillId="0" borderId="0" xfId="22" applyNumberFormat="1" applyFont="1" applyAlignment="1">
      <alignment horizontal="left"/>
      <protection/>
    </xf>
    <xf numFmtId="0" fontId="0" fillId="0" borderId="0" xfId="22" applyFont="1" applyAlignment="1">
      <alignment horizontal="center"/>
      <protection/>
    </xf>
    <xf numFmtId="0" fontId="2" fillId="4" borderId="15" xfId="21" applyFont="1" applyFill="1" applyBorder="1" applyAlignment="1">
      <alignment horizontal="center"/>
      <protection/>
    </xf>
    <xf numFmtId="0" fontId="2" fillId="4" borderId="5" xfId="21" applyFont="1" applyFill="1" applyBorder="1" applyAlignment="1">
      <alignment horizontal="center"/>
      <protection/>
    </xf>
    <xf numFmtId="0" fontId="2" fillId="4" borderId="16" xfId="21" applyFont="1" applyFill="1" applyBorder="1" applyAlignment="1">
      <alignment horizontal="center"/>
      <protection/>
    </xf>
    <xf numFmtId="0" fontId="2" fillId="4" borderId="17" xfId="21" applyFont="1" applyFill="1" applyBorder="1" applyAlignment="1">
      <alignment horizontal="center"/>
      <protection/>
    </xf>
    <xf numFmtId="0" fontId="2" fillId="4" borderId="0" xfId="21" applyFont="1" applyFill="1" applyBorder="1" applyAlignment="1">
      <alignment horizontal="center"/>
      <protection/>
    </xf>
    <xf numFmtId="0" fontId="2" fillId="4" borderId="8" xfId="21" applyFont="1" applyFill="1" applyBorder="1" applyAlignment="1">
      <alignment horizontal="center"/>
      <protection/>
    </xf>
    <xf numFmtId="0" fontId="2" fillId="4" borderId="9" xfId="21" applyFont="1" applyFill="1" applyBorder="1" applyAlignment="1">
      <alignment horizontal="center"/>
      <protection/>
    </xf>
    <xf numFmtId="0" fontId="2" fillId="0" borderId="18" xfId="21" applyFont="1" applyFill="1" applyBorder="1" applyAlignment="1">
      <alignment horizontal="left"/>
      <protection/>
    </xf>
    <xf numFmtId="165" fontId="0" fillId="0" borderId="0" xfId="15" applyNumberFormat="1" applyFont="1" applyAlignment="1">
      <alignment/>
    </xf>
    <xf numFmtId="165" fontId="0" fillId="0" borderId="0" xfId="15" applyNumberFormat="1" applyFont="1" applyAlignment="1">
      <alignment horizontal="center"/>
    </xf>
    <xf numFmtId="0" fontId="2" fillId="8" borderId="4" xfId="21" applyFont="1" applyFill="1" applyBorder="1" applyAlignment="1">
      <alignment horizontal="left"/>
      <protection/>
    </xf>
    <xf numFmtId="0" fontId="2" fillId="8" borderId="0" xfId="21" applyFont="1" applyFill="1" applyBorder="1" applyAlignment="1">
      <alignment horizontal="center"/>
      <protection/>
    </xf>
    <xf numFmtId="165" fontId="0" fillId="9" borderId="0" xfId="15" applyNumberFormat="1" applyFont="1" applyFill="1" applyAlignment="1">
      <alignment/>
    </xf>
    <xf numFmtId="165" fontId="0" fillId="9" borderId="0" xfId="15" applyNumberFormat="1" applyFont="1" applyFill="1" applyAlignment="1">
      <alignment horizontal="center"/>
    </xf>
    <xf numFmtId="0" fontId="0" fillId="9" borderId="0" xfId="22" applyFont="1" applyFill="1">
      <alignment/>
      <protection/>
    </xf>
    <xf numFmtId="0" fontId="2" fillId="0" borderId="4" xfId="21" applyFont="1" applyFill="1" applyBorder="1" applyAlignment="1">
      <alignment horizontal="left"/>
      <protection/>
    </xf>
    <xf numFmtId="0" fontId="0" fillId="9" borderId="0" xfId="22" applyFont="1" applyFill="1" applyAlignment="1">
      <alignment horizontal="left"/>
      <protection/>
    </xf>
    <xf numFmtId="0" fontId="0" fillId="0" borderId="0" xfId="22" applyFont="1" applyAlignment="1">
      <alignment horizontal="left"/>
      <protection/>
    </xf>
    <xf numFmtId="165" fontId="0" fillId="0" borderId="0" xfId="22" applyNumberFormat="1" applyFont="1">
      <alignment/>
      <protection/>
    </xf>
    <xf numFmtId="0" fontId="2" fillId="0" borderId="0" xfId="21" applyFont="1" applyFill="1" applyBorder="1" applyAlignment="1">
      <alignment horizontal="left"/>
      <protection/>
    </xf>
    <xf numFmtId="0" fontId="0" fillId="0" borderId="0" xfId="26" applyFont="1">
      <alignment/>
      <protection/>
    </xf>
    <xf numFmtId="166" fontId="0" fillId="2" borderId="0" xfId="27" applyNumberFormat="1" applyFont="1" applyFill="1" applyAlignment="1">
      <alignment/>
    </xf>
    <xf numFmtId="185" fontId="0" fillId="0" borderId="0" xfId="26" applyNumberFormat="1">
      <alignment/>
      <protection/>
    </xf>
    <xf numFmtId="0" fontId="0" fillId="0" borderId="0" xfId="0" applyFont="1" applyFill="1" applyAlignment="1">
      <alignment horizontal="center"/>
    </xf>
    <xf numFmtId="0" fontId="0" fillId="0" borderId="0" xfId="0" applyFill="1" applyAlignment="1">
      <alignment/>
    </xf>
    <xf numFmtId="43" fontId="0" fillId="0" borderId="0" xfId="0" applyNumberFormat="1" applyFont="1" applyFill="1" applyAlignment="1">
      <alignment/>
    </xf>
    <xf numFmtId="0" fontId="0" fillId="0" borderId="0" xfId="0" applyFont="1" applyFill="1" applyAlignment="1">
      <alignment horizontal="right"/>
    </xf>
    <xf numFmtId="215" fontId="20" fillId="0" borderId="0" xfId="0" applyNumberFormat="1" applyFont="1" applyAlignment="1" applyProtection="1">
      <alignment/>
      <protection locked="0"/>
    </xf>
    <xf numFmtId="216" fontId="20" fillId="0" borderId="0" xfId="0" applyNumberFormat="1" applyFont="1" applyAlignment="1" applyProtection="1">
      <alignment/>
      <protection locked="0"/>
    </xf>
    <xf numFmtId="217" fontId="0" fillId="0" borderId="0" xfId="0" applyNumberFormat="1" applyAlignment="1" applyProtection="1">
      <alignment/>
      <protection/>
    </xf>
    <xf numFmtId="165" fontId="0" fillId="0" borderId="0" xfId="0" applyNumberFormat="1" applyFont="1" applyAlignment="1">
      <alignment/>
    </xf>
    <xf numFmtId="0" fontId="0" fillId="0" borderId="0" xfId="0" applyFont="1" applyFill="1" applyAlignment="1">
      <alignment horizontal="right" wrapText="1"/>
    </xf>
    <xf numFmtId="0" fontId="1" fillId="0" borderId="0" xfId="0" applyFont="1" applyAlignment="1">
      <alignment horizontal="right"/>
    </xf>
    <xf numFmtId="0" fontId="0" fillId="0" borderId="0" xfId="0" applyAlignment="1">
      <alignment horizontal="right"/>
    </xf>
    <xf numFmtId="43" fontId="0" fillId="0" borderId="0" xfId="15" applyAlignment="1">
      <alignment/>
    </xf>
    <xf numFmtId="2" fontId="0" fillId="10" borderId="0" xfId="0" applyNumberFormat="1" applyFont="1" applyFill="1" applyBorder="1" applyAlignment="1">
      <alignment/>
    </xf>
    <xf numFmtId="0" fontId="0" fillId="0" borderId="0" xfId="0" applyAlignment="1">
      <alignment horizontal="center" wrapText="1"/>
    </xf>
    <xf numFmtId="43" fontId="0" fillId="0" borderId="0" xfId="15" applyAlignment="1">
      <alignment horizontal="right"/>
    </xf>
    <xf numFmtId="43" fontId="0" fillId="0" borderId="0" xfId="0" applyNumberFormat="1" applyAlignment="1">
      <alignment horizontal="right"/>
    </xf>
    <xf numFmtId="0" fontId="0" fillId="2" borderId="0" xfId="0" applyFill="1" applyAlignment="1">
      <alignment horizontal="right"/>
    </xf>
    <xf numFmtId="9" fontId="0" fillId="0" borderId="0" xfId="27" applyAlignment="1">
      <alignment/>
    </xf>
    <xf numFmtId="9" fontId="0" fillId="0" borderId="0" xfId="27" applyAlignment="1">
      <alignment/>
    </xf>
    <xf numFmtId="0" fontId="0" fillId="2" borderId="0" xfId="0" applyFill="1" applyAlignment="1">
      <alignment/>
    </xf>
    <xf numFmtId="219" fontId="0" fillId="0" borderId="0" xfId="17" applyNumberFormat="1" applyFont="1" applyFill="1" applyAlignment="1">
      <alignment/>
    </xf>
    <xf numFmtId="0" fontId="0" fillId="0" borderId="0" xfId="0" applyAlignment="1">
      <alignment horizontal="center"/>
    </xf>
    <xf numFmtId="1" fontId="0" fillId="0" borderId="0" xfId="0" applyNumberFormat="1" applyAlignment="1">
      <alignment/>
    </xf>
    <xf numFmtId="1" fontId="0" fillId="0" borderId="0" xfId="0" applyNumberFormat="1" applyFont="1" applyAlignment="1">
      <alignment/>
    </xf>
    <xf numFmtId="0" fontId="2" fillId="4" borderId="19" xfId="21" applyFont="1" applyFill="1" applyBorder="1" applyAlignment="1">
      <alignment horizontal="center"/>
      <protection/>
    </xf>
    <xf numFmtId="219" fontId="0" fillId="0" borderId="0" xfId="17" applyNumberFormat="1" applyAlignment="1">
      <alignment/>
    </xf>
    <xf numFmtId="0" fontId="21" fillId="0" borderId="0" xfId="0" applyFont="1" applyAlignment="1">
      <alignment/>
    </xf>
    <xf numFmtId="1" fontId="0" fillId="2" borderId="0" xfId="0" applyNumberFormat="1" applyFont="1" applyFill="1" applyAlignment="1">
      <alignment/>
    </xf>
    <xf numFmtId="0" fontId="0" fillId="9" borderId="0" xfId="0" applyFont="1" applyFill="1" applyAlignment="1">
      <alignment horizontal="center"/>
    </xf>
    <xf numFmtId="0" fontId="0" fillId="10" borderId="0" xfId="0" applyFont="1" applyFill="1" applyAlignment="1">
      <alignment/>
    </xf>
    <xf numFmtId="1" fontId="0" fillId="10" borderId="0" xfId="0" applyNumberFormat="1" applyFont="1" applyFill="1" applyAlignment="1">
      <alignment/>
    </xf>
    <xf numFmtId="43" fontId="0" fillId="2" borderId="0" xfId="15" applyNumberFormat="1" applyFont="1" applyFill="1" applyAlignment="1">
      <alignment/>
    </xf>
    <xf numFmtId="219" fontId="0" fillId="2" borderId="0" xfId="17" applyNumberFormat="1" applyFont="1" applyFill="1" applyAlignment="1">
      <alignment/>
    </xf>
    <xf numFmtId="165" fontId="0" fillId="0" borderId="0" xfId="15" applyNumberFormat="1" applyAlignment="1">
      <alignment/>
    </xf>
    <xf numFmtId="199" fontId="14" fillId="0" borderId="0" xfId="15" applyNumberFormat="1" applyFont="1" applyFill="1" applyBorder="1" applyAlignment="1">
      <alignment horizontal="right"/>
    </xf>
    <xf numFmtId="43" fontId="0" fillId="0" borderId="0" xfId="22" applyNumberFormat="1" applyFont="1">
      <alignment/>
      <protection/>
    </xf>
    <xf numFmtId="0" fontId="2" fillId="4" borderId="20" xfId="21" applyFont="1" applyFill="1" applyBorder="1" applyAlignment="1">
      <alignment horizontal="center"/>
      <protection/>
    </xf>
    <xf numFmtId="0" fontId="22"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1" fillId="2" borderId="0" xfId="0" applyFont="1" applyFill="1" applyAlignment="1">
      <alignment horizontal="center" wrapText="1"/>
    </xf>
    <xf numFmtId="0" fontId="0" fillId="0" borderId="0" xfId="0" applyAlignment="1">
      <alignment/>
    </xf>
    <xf numFmtId="0" fontId="0" fillId="0" borderId="0" xfId="0" applyNumberFormat="1" applyAlignment="1">
      <alignment/>
    </xf>
    <xf numFmtId="9" fontId="0" fillId="9" borderId="0" xfId="27" applyFill="1" applyAlignment="1">
      <alignment/>
    </xf>
    <xf numFmtId="0" fontId="0" fillId="11" borderId="0" xfId="0" applyFill="1" applyAlignment="1">
      <alignment/>
    </xf>
    <xf numFmtId="166" fontId="0" fillId="0" borderId="0" xfId="27" applyNumberFormat="1" applyFont="1" applyFill="1" applyAlignment="1">
      <alignment/>
    </xf>
    <xf numFmtId="10" fontId="0" fillId="0" borderId="0" xfId="27" applyNumberFormat="1" applyFont="1" applyFill="1" applyAlignment="1">
      <alignment/>
    </xf>
    <xf numFmtId="0" fontId="0" fillId="12" borderId="0" xfId="0" applyFont="1" applyFill="1" applyAlignment="1">
      <alignment horizontal="right"/>
    </xf>
    <xf numFmtId="165" fontId="0" fillId="12" borderId="0" xfId="0" applyNumberFormat="1" applyFont="1" applyFill="1" applyAlignment="1">
      <alignment/>
    </xf>
    <xf numFmtId="164" fontId="0" fillId="0" borderId="0" xfId="0" applyNumberFormat="1" applyAlignment="1">
      <alignment/>
    </xf>
    <xf numFmtId="0" fontId="0" fillId="10" borderId="0" xfId="0" applyFill="1" applyAlignment="1">
      <alignment/>
    </xf>
    <xf numFmtId="2" fontId="0" fillId="0" borderId="0" xfId="0" applyNumberFormat="1" applyFont="1" applyAlignment="1">
      <alignment/>
    </xf>
    <xf numFmtId="167" fontId="0" fillId="0" borderId="0" xfId="15" applyNumberFormat="1" applyFont="1" applyFill="1" applyAlignment="1">
      <alignment/>
    </xf>
    <xf numFmtId="219" fontId="0" fillId="0" borderId="0" xfId="0" applyNumberFormat="1" applyAlignment="1">
      <alignment/>
    </xf>
    <xf numFmtId="0" fontId="0" fillId="0" borderId="13" xfId="0" applyBorder="1" applyAlignment="1">
      <alignment/>
    </xf>
    <xf numFmtId="0" fontId="0" fillId="0" borderId="13" xfId="0" applyBorder="1" applyAlignment="1">
      <alignment horizontal="center"/>
    </xf>
    <xf numFmtId="219" fontId="0" fillId="0" borderId="13" xfId="0" applyNumberFormat="1" applyBorder="1" applyAlignment="1">
      <alignment/>
    </xf>
    <xf numFmtId="165" fontId="0" fillId="0" borderId="13" xfId="15" applyNumberFormat="1" applyBorder="1" applyAlignment="1">
      <alignment/>
    </xf>
    <xf numFmtId="185" fontId="0" fillId="0" borderId="13" xfId="0" applyNumberFormat="1" applyFont="1" applyBorder="1" applyAlignment="1">
      <alignment/>
    </xf>
    <xf numFmtId="2" fontId="0" fillId="0" borderId="13" xfId="0" applyNumberFormat="1" applyBorder="1" applyAlignment="1">
      <alignment/>
    </xf>
    <xf numFmtId="0" fontId="0" fillId="0" borderId="13" xfId="0" applyFont="1" applyBorder="1" applyAlignment="1">
      <alignment/>
    </xf>
    <xf numFmtId="0" fontId="0" fillId="0" borderId="13" xfId="0" applyFont="1" applyFill="1" applyBorder="1" applyAlignment="1">
      <alignment/>
    </xf>
    <xf numFmtId="0" fontId="2" fillId="4" borderId="21" xfId="21" applyFont="1" applyFill="1" applyBorder="1" applyAlignment="1">
      <alignment horizontal="center"/>
      <protection/>
    </xf>
    <xf numFmtId="0" fontId="2" fillId="0" borderId="22" xfId="21" applyFont="1" applyFill="1" applyBorder="1" applyAlignment="1">
      <alignment horizontal="center"/>
      <protection/>
    </xf>
    <xf numFmtId="0" fontId="2" fillId="0" borderId="22" xfId="21" applyFont="1" applyFill="1" applyBorder="1" applyAlignment="1">
      <alignment horizontal="center"/>
      <protection/>
    </xf>
    <xf numFmtId="0" fontId="1" fillId="0" borderId="23"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9" borderId="0" xfId="0" applyFont="1" applyFill="1" applyAlignment="1">
      <alignment horizontal="center" vertical="center" wrapText="1"/>
    </xf>
    <xf numFmtId="0" fontId="0" fillId="2" borderId="0" xfId="0" applyFill="1" applyAlignment="1">
      <alignment horizontal="center" wrapText="1"/>
    </xf>
    <xf numFmtId="3" fontId="2" fillId="4" borderId="24" xfId="21" applyNumberFormat="1" applyFont="1" applyFill="1" applyBorder="1" applyAlignment="1">
      <alignment horizontal="center"/>
      <protection/>
    </xf>
    <xf numFmtId="3" fontId="2" fillId="4" borderId="25" xfId="21" applyNumberFormat="1" applyFont="1" applyFill="1" applyBorder="1" applyAlignment="1">
      <alignment horizontal="center"/>
      <protection/>
    </xf>
    <xf numFmtId="3" fontId="2" fillId="4" borderId="26" xfId="21" applyNumberFormat="1" applyFont="1" applyFill="1" applyBorder="1" applyAlignment="1">
      <alignment horizontal="center"/>
      <protection/>
    </xf>
    <xf numFmtId="0" fontId="2" fillId="4" borderId="27" xfId="21" applyFont="1" applyFill="1" applyBorder="1" applyAlignment="1">
      <alignment horizontal="center"/>
      <protection/>
    </xf>
    <xf numFmtId="0" fontId="2" fillId="4" borderId="28" xfId="21" applyFont="1" applyFill="1" applyBorder="1" applyAlignment="1">
      <alignment horizontal="center"/>
      <protection/>
    </xf>
    <xf numFmtId="0" fontId="2" fillId="4" borderId="29" xfId="21" applyFont="1" applyFill="1" applyBorder="1" applyAlignment="1">
      <alignment horizontal="center"/>
      <protection/>
    </xf>
    <xf numFmtId="0" fontId="2" fillId="4" borderId="30" xfId="21" applyFont="1" applyFill="1" applyBorder="1" applyAlignment="1">
      <alignment horizontal="center"/>
      <protection/>
    </xf>
    <xf numFmtId="0" fontId="2" fillId="4" borderId="20" xfId="21" applyFont="1" applyFill="1" applyBorder="1" applyAlignment="1">
      <alignment horizontal="center"/>
      <protection/>
    </xf>
    <xf numFmtId="0" fontId="11" fillId="6" borderId="12" xfId="24" applyFont="1" applyFill="1" applyBorder="1" applyAlignment="1">
      <alignment horizontal="center" vertical="center"/>
      <protection/>
    </xf>
    <xf numFmtId="0" fontId="11" fillId="6" borderId="31" xfId="24" applyFont="1" applyFill="1" applyBorder="1" applyAlignment="1">
      <alignment horizontal="center" vertical="center"/>
      <protection/>
    </xf>
    <xf numFmtId="0" fontId="11" fillId="6" borderId="11" xfId="24" applyFont="1" applyFill="1" applyBorder="1" applyAlignment="1">
      <alignment horizontal="center" vertical="center"/>
      <protection/>
    </xf>
    <xf numFmtId="0" fontId="11" fillId="6" borderId="32" xfId="24" applyFont="1" applyFill="1" applyBorder="1" applyAlignment="1">
      <alignment horizontal="center" vertical="center"/>
      <protection/>
    </xf>
    <xf numFmtId="0" fontId="11" fillId="6" borderId="9" xfId="24" applyFont="1" applyFill="1" applyBorder="1" applyAlignment="1">
      <alignment horizontal="center"/>
      <protection/>
    </xf>
    <xf numFmtId="0" fontId="11" fillId="6" borderId="30" xfId="24" applyFont="1" applyFill="1" applyBorder="1" applyAlignment="1">
      <alignment horizontal="center"/>
      <protection/>
    </xf>
    <xf numFmtId="0" fontId="11" fillId="6" borderId="7" xfId="24" applyFont="1" applyFill="1" applyBorder="1" applyAlignment="1">
      <alignment horizontal="center"/>
      <protection/>
    </xf>
    <xf numFmtId="0" fontId="12" fillId="6" borderId="30" xfId="24" applyFont="1" applyFill="1" applyBorder="1" applyAlignment="1">
      <alignment horizontal="center"/>
      <protection/>
    </xf>
    <xf numFmtId="0" fontId="11" fillId="6" borderId="12" xfId="25" applyFont="1" applyFill="1" applyBorder="1" applyAlignment="1">
      <alignment horizontal="center" vertical="center"/>
      <protection/>
    </xf>
    <xf numFmtId="0" fontId="11" fillId="6" borderId="31" xfId="25" applyFont="1" applyFill="1" applyBorder="1" applyAlignment="1">
      <alignment horizontal="center" vertical="center"/>
      <protection/>
    </xf>
    <xf numFmtId="0" fontId="11" fillId="6" borderId="11" xfId="25" applyFont="1" applyFill="1" applyBorder="1" applyAlignment="1">
      <alignment horizontal="center" vertical="center"/>
      <protection/>
    </xf>
    <xf numFmtId="0" fontId="11" fillId="6" borderId="32" xfId="25" applyFont="1" applyFill="1" applyBorder="1" applyAlignment="1">
      <alignment horizontal="center" vertical="center"/>
      <protection/>
    </xf>
    <xf numFmtId="0" fontId="11" fillId="6" borderId="9" xfId="25" applyFont="1" applyFill="1" applyBorder="1" applyAlignment="1">
      <alignment horizontal="center"/>
      <protection/>
    </xf>
    <xf numFmtId="0" fontId="11" fillId="6" borderId="30" xfId="25" applyFont="1" applyFill="1" applyBorder="1" applyAlignment="1">
      <alignment horizontal="center"/>
      <protection/>
    </xf>
    <xf numFmtId="0" fontId="11" fillId="6" borderId="7" xfId="25" applyFont="1" applyFill="1" applyBorder="1" applyAlignment="1">
      <alignment horizontal="center"/>
      <protection/>
    </xf>
    <xf numFmtId="0" fontId="12" fillId="6" borderId="30" xfId="25" applyFont="1" applyFill="1" applyBorder="1" applyAlignment="1">
      <alignment horizontal="center"/>
      <protection/>
    </xf>
    <xf numFmtId="0" fontId="11" fillId="6" borderId="0" xfId="26" applyFont="1" applyFill="1" applyBorder="1" applyAlignment="1">
      <alignment horizontal="center" vertical="center"/>
      <protection/>
    </xf>
    <xf numFmtId="0" fontId="11" fillId="6" borderId="0" xfId="26" applyFont="1" applyFill="1" applyBorder="1" applyAlignment="1">
      <alignment horizontal="center"/>
      <protection/>
    </xf>
    <xf numFmtId="0" fontId="11" fillId="6" borderId="9" xfId="26" applyFont="1" applyFill="1" applyBorder="1" applyAlignment="1">
      <alignment horizontal="center"/>
      <protection/>
    </xf>
    <xf numFmtId="0" fontId="11" fillId="6" borderId="30" xfId="26" applyFont="1" applyFill="1" applyBorder="1" applyAlignment="1">
      <alignment horizontal="center"/>
      <protection/>
    </xf>
    <xf numFmtId="0" fontId="11" fillId="6" borderId="12" xfId="26" applyFont="1" applyFill="1" applyBorder="1" applyAlignment="1">
      <alignment horizontal="center" vertical="center"/>
      <protection/>
    </xf>
    <xf numFmtId="0" fontId="11" fillId="6" borderId="31" xfId="26" applyFont="1" applyFill="1" applyBorder="1" applyAlignment="1">
      <alignment horizontal="center" vertical="center"/>
      <protection/>
    </xf>
    <xf numFmtId="0" fontId="11" fillId="6" borderId="11" xfId="26" applyFont="1" applyFill="1" applyBorder="1" applyAlignment="1">
      <alignment horizontal="center" vertical="center"/>
      <protection/>
    </xf>
    <xf numFmtId="0" fontId="11" fillId="6" borderId="32" xfId="26" applyFont="1" applyFill="1" applyBorder="1" applyAlignment="1">
      <alignment horizontal="center" vertical="center"/>
      <protection/>
    </xf>
    <xf numFmtId="0" fontId="11" fillId="6" borderId="7" xfId="26" applyFont="1" applyFill="1" applyBorder="1" applyAlignment="1">
      <alignment horizontal="center"/>
      <protection/>
    </xf>
    <xf numFmtId="0" fontId="12" fillId="6" borderId="30" xfId="26" applyFont="1" applyFill="1" applyBorder="1" applyAlignment="1">
      <alignment horizontal="center"/>
      <protection/>
    </xf>
    <xf numFmtId="0" fontId="23" fillId="0" borderId="0" xfId="0" applyFont="1" applyAlignment="1">
      <alignment horizontal="center"/>
    </xf>
    <xf numFmtId="0" fontId="23" fillId="2" borderId="0" xfId="0" applyFont="1" applyFill="1" applyAlignment="1">
      <alignment horizontal="center"/>
    </xf>
  </cellXfs>
  <cellStyles count="14">
    <cellStyle name="Normal" xfId="0"/>
    <cellStyle name="Comma" xfId="15"/>
    <cellStyle name="Comma [0]" xfId="16"/>
    <cellStyle name="Currency" xfId="17"/>
    <cellStyle name="Currency [0]" xfId="18"/>
    <cellStyle name="Followed Hyperlink" xfId="19"/>
    <cellStyle name="Hyperlink" xfId="20"/>
    <cellStyle name="Normal_FacList" xfId="21"/>
    <cellStyle name="Normal_Refinery_model_RTR_MACT1" xfId="22"/>
    <cellStyle name="Normal_table15" xfId="23"/>
    <cellStyle name="Normal_table17" xfId="24"/>
    <cellStyle name="Normal_table18" xfId="25"/>
    <cellStyle name="Normal_table21"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19050</xdr:rowOff>
    </xdr:from>
    <xdr:to>
      <xdr:col>10</xdr:col>
      <xdr:colOff>247650</xdr:colOff>
      <xdr:row>57</xdr:row>
      <xdr:rowOff>152400</xdr:rowOff>
    </xdr:to>
    <xdr:sp>
      <xdr:nvSpPr>
        <xdr:cNvPr id="1" name="TextBox 1"/>
        <xdr:cNvSpPr txBox="1">
          <a:spLocks noChangeArrowheads="1"/>
        </xdr:cNvSpPr>
      </xdr:nvSpPr>
      <xdr:spPr>
        <a:xfrm>
          <a:off x="19050" y="6762750"/>
          <a:ext cx="6029325" cy="942975"/>
        </a:xfrm>
        <a:prstGeom prst="rect">
          <a:avLst/>
        </a:prstGeom>
        <a:solidFill>
          <a:srgbClr val="FFFFFF"/>
        </a:solidFill>
        <a:ln w="9525" cmpd="sng">
          <a:noFill/>
        </a:ln>
      </xdr:spPr>
      <xdr:txBody>
        <a:bodyPr vertOverflow="clip" wrap="square"/>
        <a:p>
          <a:pPr algn="l">
            <a:defRPr/>
          </a:pPr>
          <a:r>
            <a:rPr lang="en-US" cap="none" sz="700" b="0" i="0" u="none" baseline="30000">
              <a:latin typeface="Helvetica"/>
              <a:ea typeface="Helvetica"/>
              <a:cs typeface="Helvetica"/>
            </a:rPr>
            <a:t>a</a:t>
          </a:r>
          <a:r>
            <a:rPr lang="en-US" cap="none" sz="700" b="0" i="0" u="none" baseline="0">
              <a:latin typeface="Helvetica"/>
              <a:ea typeface="Helvetica"/>
              <a:cs typeface="Helvetica"/>
            </a:rPr>
            <a:t> Includes ethyl tertiary butyl ether (ETBE), tertiary amyl methyl ether (TAME), tertiary butyl alcohol (TBA), and other aliphatic alcohols and ethers intended for motor gasoline blending (e.g., isopropyl ether (IPE) or n-propanol).
</a:t>
          </a:r>
          <a:r>
            <a:rPr lang="en-US" cap="none" sz="700" b="0" i="0" u="none" baseline="30000">
              <a:latin typeface="Helvetica"/>
              <a:ea typeface="Helvetica"/>
              <a:cs typeface="Helvetica"/>
            </a:rPr>
            <a:t>b</a:t>
          </a:r>
          <a:r>
            <a:rPr lang="en-US" cap="none" sz="700" b="0" i="0" u="none" baseline="0">
              <a:latin typeface="Helvetica"/>
              <a:ea typeface="Helvetica"/>
              <a:cs typeface="Helvetica"/>
            </a:rPr>
            <a:t> Represents gross input divided by operable calendar day capacity.
Notes: Totals may not equal sum of components due to independent rounding.  Refer to Appendix A for Refining District descriptions.
Source: Energy Information Administration (EIA) Form EIA-810, “Monthly Refinery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19050</xdr:rowOff>
    </xdr:from>
    <xdr:to>
      <xdr:col>9</xdr:col>
      <xdr:colOff>542925</xdr:colOff>
      <xdr:row>58</xdr:row>
      <xdr:rowOff>152400</xdr:rowOff>
    </xdr:to>
    <xdr:sp>
      <xdr:nvSpPr>
        <xdr:cNvPr id="1" name="TextBox 1"/>
        <xdr:cNvSpPr txBox="1">
          <a:spLocks noChangeArrowheads="1"/>
        </xdr:cNvSpPr>
      </xdr:nvSpPr>
      <xdr:spPr>
        <a:xfrm>
          <a:off x="9525" y="6705600"/>
          <a:ext cx="6257925" cy="942975"/>
        </a:xfrm>
        <a:prstGeom prst="rect">
          <a:avLst/>
        </a:prstGeom>
        <a:solidFill>
          <a:srgbClr val="FFFFFF"/>
        </a:solidFill>
        <a:ln w="9525" cmpd="sng">
          <a:noFill/>
        </a:ln>
      </xdr:spPr>
      <xdr:txBody>
        <a:bodyPr vertOverflow="clip" wrap="square"/>
        <a:p>
          <a:pPr algn="l">
            <a:defRPr/>
          </a:pPr>
          <a:r>
            <a:rPr lang="en-US" cap="none" sz="700" b="0" i="0" u="none" baseline="30000">
              <a:latin typeface="Helvetica"/>
              <a:ea typeface="Helvetica"/>
              <a:cs typeface="Helvetica"/>
            </a:rPr>
            <a:t>a</a:t>
          </a:r>
          <a:r>
            <a:rPr lang="en-US" cap="none" sz="700" b="0" i="0" u="none" baseline="0">
              <a:latin typeface="Helvetica"/>
              <a:ea typeface="Helvetica"/>
              <a:cs typeface="Helvetica"/>
            </a:rPr>
            <a:t> Represents the arithmetic difference between input and production
Note: Refer to Appendix A for Refining District descriptions.
Source: Energy Information Administration (EIA) Form EIA-810, “Monthly Refinery Report.”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11</xdr:col>
      <xdr:colOff>85725</xdr:colOff>
      <xdr:row>31</xdr:row>
      <xdr:rowOff>0</xdr:rowOff>
    </xdr:to>
    <xdr:sp>
      <xdr:nvSpPr>
        <xdr:cNvPr id="1" name="TextBox 1"/>
        <xdr:cNvSpPr txBox="1">
          <a:spLocks noChangeArrowheads="1"/>
        </xdr:cNvSpPr>
      </xdr:nvSpPr>
      <xdr:spPr>
        <a:xfrm>
          <a:off x="28575" y="3124200"/>
          <a:ext cx="6057900" cy="1409700"/>
        </a:xfrm>
        <a:prstGeom prst="rect">
          <a:avLst/>
        </a:prstGeom>
        <a:solidFill>
          <a:srgbClr val="FFFFFF"/>
        </a:solidFill>
        <a:ln w="9525" cmpd="sng">
          <a:noFill/>
        </a:ln>
      </xdr:spPr>
      <xdr:txBody>
        <a:bodyPr vertOverflow="clip" wrap="square"/>
        <a:p>
          <a:pPr algn="l">
            <a:defRPr/>
          </a:pPr>
          <a:r>
            <a:rPr lang="en-US" cap="none" sz="700" b="0" i="0" u="none" baseline="30000">
              <a:latin typeface="Helvetica"/>
              <a:ea typeface="Helvetica"/>
              <a:cs typeface="Helvetica"/>
            </a:rPr>
            <a:t>a</a:t>
          </a:r>
          <a:r>
            <a:rPr lang="en-US" cap="none" sz="700" b="0" i="0" u="none" baseline="0">
              <a:latin typeface="Helvetica"/>
              <a:ea typeface="Helvetica"/>
              <a:cs typeface="Helvetica"/>
            </a:rPr>
            <a:t> Based on total finished motor gasoline output minus net input of motor gasoline blending components, minus input of natural gas plant liquids, other hydrocarbons and oxygenates.
</a:t>
          </a:r>
          <a:r>
            <a:rPr lang="en-US" cap="none" sz="700" b="0" i="0" u="none" baseline="30000">
              <a:latin typeface="Helvetica"/>
              <a:ea typeface="Helvetica"/>
              <a:cs typeface="Helvetica"/>
            </a:rPr>
            <a:t>b</a:t>
          </a:r>
          <a:r>
            <a:rPr lang="en-US" cap="none" sz="700" b="0" i="0" u="none" baseline="0">
              <a:latin typeface="Helvetica"/>
              <a:ea typeface="Helvetica"/>
              <a:cs typeface="Helvetica"/>
            </a:rPr>
            <a:t>  Based on finished aviation gasoline output minus net input of aviation gasoline blending components.
</a:t>
          </a:r>
          <a:r>
            <a:rPr lang="en-US" cap="none" sz="700" b="0" i="0" u="none" baseline="30000">
              <a:latin typeface="Helvetica"/>
              <a:ea typeface="Helvetica"/>
              <a:cs typeface="Helvetica"/>
            </a:rPr>
            <a:t>c </a:t>
          </a:r>
          <a:r>
            <a:rPr lang="en-US" cap="none" sz="700" b="0" i="0" u="none" baseline="0">
              <a:latin typeface="Helvetica"/>
              <a:ea typeface="Helvetica"/>
              <a:cs typeface="Helvetica"/>
            </a:rPr>
            <a:t>Represents the difference between input and production.
Notes:  Percent yield is based on crude oil input and net reruns of unfinished oils.  Totals may not equal sum of components due to independent rounding.  Refer to Appendix A for Refining District descriptions.
Sources: Calculated from data on Tables 17 and 18.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tifile02\ehs\Documents%20and%20Settings\cob\My%20Documents\My%20Files\My%20Excel%20Files\Refineries\Multipollutant\ECR_project\2002NEI_facility_I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UBES\psmfootnotesJ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CUBES\psmfoot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que_facility_IDs"/>
      <sheetName val="Unique_facility_names"/>
    </sheetNames>
    <sheetDataSet>
      <sheetData sheetId="1">
        <row r="2">
          <cell r="A2" t="str">
            <v>NEI13371</v>
          </cell>
          <cell r="B2" t="str">
            <v>02122</v>
          </cell>
          <cell r="C2" t="str">
            <v>TESORO ALASKA KENAI REFY.</v>
          </cell>
          <cell r="D2" t="str">
            <v>MILE 22.5 KENAI SPUR HWY.</v>
          </cell>
          <cell r="E2" t="str">
            <v>KENAI</v>
          </cell>
          <cell r="F2" t="str">
            <v>AK</v>
          </cell>
        </row>
        <row r="3">
          <cell r="A3" t="str">
            <v>NEI18408</v>
          </cell>
          <cell r="B3" t="str">
            <v>02090</v>
          </cell>
          <cell r="C3" t="str">
            <v>PETRO STAR INC.</v>
          </cell>
          <cell r="D3" t="str">
            <v>1200 H &amp; H LN.</v>
          </cell>
          <cell r="E3" t="str">
            <v>NORTH POLE</v>
          </cell>
          <cell r="F3" t="str">
            <v>AK</v>
          </cell>
        </row>
        <row r="4">
          <cell r="A4" t="str">
            <v>NEI18406</v>
          </cell>
          <cell r="B4" t="str">
            <v>02090</v>
          </cell>
          <cell r="C4" t="str">
            <v>WILLIAMS ALASKA PETROLEUM INC.</v>
          </cell>
          <cell r="D4" t="str">
            <v>1100 H&amp;H LN.</v>
          </cell>
          <cell r="E4" t="str">
            <v>NORTH POLE</v>
          </cell>
          <cell r="F4" t="str">
            <v>AK</v>
          </cell>
        </row>
        <row r="5">
          <cell r="A5" t="str">
            <v>NEI18415</v>
          </cell>
          <cell r="B5" t="str">
            <v>02261</v>
          </cell>
          <cell r="C5" t="str">
            <v>PETRO STAR VALDEZ REFY.</v>
          </cell>
          <cell r="D5" t="str">
            <v>2.5 MILE DAYVILLE RD.</v>
          </cell>
          <cell r="E5" t="str">
            <v>VALDEZ</v>
          </cell>
          <cell r="F5" t="str">
            <v>AK</v>
          </cell>
        </row>
        <row r="6">
          <cell r="A6" t="str">
            <v>NEI8612</v>
          </cell>
          <cell r="B6" t="str">
            <v>01097</v>
          </cell>
          <cell r="C6" t="str">
            <v>COASTAL MOBILE REFINING CO.</v>
          </cell>
          <cell r="D6" t="str">
            <v>200 VIADUCT RD.</v>
          </cell>
          <cell r="E6" t="str">
            <v>CHICKASAW</v>
          </cell>
          <cell r="F6" t="str">
            <v>AL</v>
          </cell>
        </row>
        <row r="7">
          <cell r="A7" t="str">
            <v>NEI18372</v>
          </cell>
          <cell r="B7" t="str">
            <v>01097</v>
          </cell>
          <cell r="C7" t="str">
            <v>Shell Chemical Company</v>
          </cell>
          <cell r="D7" t="str">
            <v>Location Address Is Needed</v>
          </cell>
          <cell r="E7" t="str">
            <v>Mobile</v>
          </cell>
          <cell r="F7" t="str">
            <v>AL</v>
          </cell>
        </row>
        <row r="8">
          <cell r="A8" t="str">
            <v>NEI18413</v>
          </cell>
          <cell r="B8" t="str">
            <v>01097</v>
          </cell>
          <cell r="C8" t="str">
            <v>SHELL CHEMICAL L.P. MOBILE SITE</v>
          </cell>
          <cell r="D8" t="str">
            <v>400 INDUSTRIAL PKY. EXT</v>
          </cell>
          <cell r="E8" t="str">
            <v>SARALAND</v>
          </cell>
          <cell r="F8" t="str">
            <v>AL</v>
          </cell>
        </row>
        <row r="9">
          <cell r="A9" t="str">
            <v>NEI18394</v>
          </cell>
          <cell r="B9" t="str">
            <v>01125</v>
          </cell>
          <cell r="C9" t="str">
            <v>HUNT REFINING CO. A CORP.</v>
          </cell>
          <cell r="D9" t="str">
            <v>1855 FAIRLAWN RD.</v>
          </cell>
          <cell r="E9" t="str">
            <v>TUSCALOOSA</v>
          </cell>
          <cell r="F9" t="str">
            <v>AL</v>
          </cell>
        </row>
        <row r="10">
          <cell r="A10" t="str">
            <v>NEI18394</v>
          </cell>
          <cell r="B10" t="str">
            <v>01125</v>
          </cell>
          <cell r="C10" t="str">
            <v>Hunt Refining Company</v>
          </cell>
          <cell r="D10" t="str">
            <v>1855 Fairlawn Rd</v>
          </cell>
          <cell r="E10" t="str">
            <v>Tuscaloosa</v>
          </cell>
          <cell r="F10" t="str">
            <v>AL</v>
          </cell>
        </row>
        <row r="11">
          <cell r="A11" t="str">
            <v>NEIALT$4516</v>
          </cell>
          <cell r="B11" t="str">
            <v>01125</v>
          </cell>
          <cell r="C11" t="str">
            <v>MERICHEM CHEMICALS &amp; REFY. SERVICES L.L.C.</v>
          </cell>
          <cell r="D11" t="str">
            <v>2701 WARRIOR RD.</v>
          </cell>
          <cell r="E11" t="str">
            <v>TUSCALOOSA</v>
          </cell>
          <cell r="F11" t="str">
            <v>AL</v>
          </cell>
        </row>
        <row r="12">
          <cell r="A12" t="str">
            <v>NEI876</v>
          </cell>
          <cell r="B12" t="str">
            <v>05139</v>
          </cell>
          <cell r="C12" t="str">
            <v>LION OIL CO.</v>
          </cell>
          <cell r="D12" t="str">
            <v>1000 MC HENRY AVE.</v>
          </cell>
          <cell r="E12" t="str">
            <v>EL DORADO</v>
          </cell>
          <cell r="F12" t="str">
            <v>AR</v>
          </cell>
        </row>
        <row r="13">
          <cell r="A13" t="str">
            <v>NEI876</v>
          </cell>
          <cell r="B13" t="str">
            <v>05139</v>
          </cell>
          <cell r="C13" t="str">
            <v>LION OIL COMPANY</v>
          </cell>
          <cell r="D13" t="str">
            <v>1000 MCHENRY DRIVE</v>
          </cell>
          <cell r="E13" t="str">
            <v>EL DORADO</v>
          </cell>
          <cell r="F13" t="str">
            <v>AR</v>
          </cell>
        </row>
        <row r="14">
          <cell r="A14" t="str">
            <v>NEI2AZT18176</v>
          </cell>
          <cell r="B14" t="str">
            <v>04013</v>
          </cell>
          <cell r="C14" t="str">
            <v>EQUILON PHOENIX TRANSMIX FACILITY</v>
          </cell>
          <cell r="D14" t="str">
            <v>12126 W. OLIVE AVE.</v>
          </cell>
          <cell r="E14" t="str">
            <v>EL MIRAGE</v>
          </cell>
          <cell r="F14" t="str">
            <v>AZ</v>
          </cell>
        </row>
        <row r="15">
          <cell r="A15" t="str">
            <v>NEI22283</v>
          </cell>
          <cell r="B15" t="str">
            <v>06059</v>
          </cell>
          <cell r="C15" t="str">
            <v>TEXACO REFINING AND MARKETING</v>
          </cell>
          <cell r="D15" t="str">
            <v>1131 W LINCOLN BLVD</v>
          </cell>
          <cell r="E15" t="str">
            <v>ANAHEIM</v>
          </cell>
          <cell r="F15" t="str">
            <v>CA</v>
          </cell>
        </row>
        <row r="16">
          <cell r="A16" t="str">
            <v>NEI19869</v>
          </cell>
          <cell r="B16" t="str">
            <v>06079</v>
          </cell>
          <cell r="C16" t="str">
            <v>CONOCO PHILLIPS SANTA MARIA FA</v>
          </cell>
          <cell r="D16" t="str">
            <v>2555 WILLOW ROAD</v>
          </cell>
          <cell r="E16" t="str">
            <v>ARROYO GRANDE</v>
          </cell>
          <cell r="F16" t="str">
            <v>CA</v>
          </cell>
        </row>
        <row r="17">
          <cell r="A17" t="str">
            <v>NEI2CAT13042</v>
          </cell>
          <cell r="B17" t="str">
            <v>06079</v>
          </cell>
          <cell r="C17" t="str">
            <v>CONOCOPHILLIPS SANTA MARIA FACILITY</v>
          </cell>
          <cell r="D17" t="str">
            <v>2555 WILLOW RD.</v>
          </cell>
          <cell r="E17" t="str">
            <v>ARROYO GRANDE</v>
          </cell>
          <cell r="F17" t="str">
            <v>CA</v>
          </cell>
        </row>
        <row r="18">
          <cell r="A18" t="str">
            <v>NEI2CAT13041</v>
          </cell>
          <cell r="B18" t="str">
            <v>06079</v>
          </cell>
          <cell r="C18" t="str">
            <v>CONOCOPHILLIPS SANTA MARIA FACILITY CARBON PLANT</v>
          </cell>
          <cell r="D18" t="str">
            <v>2265 WILLOWROAD</v>
          </cell>
          <cell r="E18" t="str">
            <v>ARROYO GRANDE</v>
          </cell>
          <cell r="F18" t="str">
            <v>CA</v>
          </cell>
        </row>
        <row r="19">
          <cell r="A19" t="str">
            <v>NEI20174</v>
          </cell>
          <cell r="B19" t="str">
            <v>06029</v>
          </cell>
          <cell r="C19" t="str">
            <v>EQUILON ENTERPRISES LLC</v>
          </cell>
          <cell r="D19" t="str">
            <v>6451 ROSEDALE HWY</v>
          </cell>
          <cell r="E19" t="str">
            <v>BAKERSFIELD</v>
          </cell>
          <cell r="F19" t="str">
            <v>CA</v>
          </cell>
        </row>
        <row r="20">
          <cell r="A20" t="str">
            <v>NEI20103</v>
          </cell>
          <cell r="B20" t="str">
            <v>06029</v>
          </cell>
          <cell r="C20" t="str">
            <v>KERN OIL &amp; REFINING CO.</v>
          </cell>
          <cell r="D20" t="str">
            <v>7724 E. PANAMA LN.</v>
          </cell>
          <cell r="E20" t="str">
            <v>BAKERSFIELD</v>
          </cell>
          <cell r="F20" t="str">
            <v>CA</v>
          </cell>
        </row>
        <row r="21">
          <cell r="A21" t="str">
            <v>NEI20103</v>
          </cell>
          <cell r="B21" t="str">
            <v>06029</v>
          </cell>
          <cell r="C21" t="str">
            <v>KERN OIL &amp; REFINING COMPANY</v>
          </cell>
          <cell r="D21" t="str">
            <v>PANAMA LN &amp; WEEDPATCH HWY</v>
          </cell>
          <cell r="E21" t="str">
            <v>BAKERSFIELD</v>
          </cell>
          <cell r="F21" t="str">
            <v>CA</v>
          </cell>
        </row>
        <row r="22">
          <cell r="A22" t="str">
            <v>NEICA0293035</v>
          </cell>
          <cell r="B22" t="str">
            <v>06029</v>
          </cell>
          <cell r="C22" t="str">
            <v>LAS PALMAS OIL &amp; DEHYDRATION</v>
          </cell>
          <cell r="D22" t="str">
            <v>3121 STANDARD ST</v>
          </cell>
          <cell r="E22" t="str">
            <v>BAKERSFIELD</v>
          </cell>
          <cell r="F22" t="str">
            <v>CA</v>
          </cell>
        </row>
        <row r="23">
          <cell r="A23" t="str">
            <v>NEI20154</v>
          </cell>
          <cell r="B23" t="str">
            <v>06029</v>
          </cell>
          <cell r="C23" t="str">
            <v>SAN JOAQUIN REFINING CO. INC.</v>
          </cell>
          <cell r="D23" t="str">
            <v>3542 SHELL ST.</v>
          </cell>
          <cell r="E23" t="str">
            <v>BAKERSFIELD</v>
          </cell>
          <cell r="F23" t="str">
            <v>CA</v>
          </cell>
        </row>
        <row r="24">
          <cell r="A24" t="str">
            <v>NEI20154</v>
          </cell>
          <cell r="B24" t="str">
            <v>06029</v>
          </cell>
          <cell r="C24" t="str">
            <v>SAN JOAQUIN REFINING COMPANY</v>
          </cell>
          <cell r="D24" t="str">
            <v>STANDARD AND SHELL ST</v>
          </cell>
          <cell r="E24" t="str">
            <v>BAKERSFIELD</v>
          </cell>
          <cell r="F24" t="str">
            <v>CA</v>
          </cell>
        </row>
        <row r="25">
          <cell r="A25" t="str">
            <v>NEI20174</v>
          </cell>
          <cell r="B25" t="str">
            <v>06029</v>
          </cell>
          <cell r="C25" t="str">
            <v>SHELL BAKERSFIELD REFY.</v>
          </cell>
          <cell r="D25" t="str">
            <v>6451 ROSEDALE HWY.</v>
          </cell>
          <cell r="E25" t="str">
            <v>BAKERSFIELD</v>
          </cell>
          <cell r="F25" t="str">
            <v>CA</v>
          </cell>
        </row>
        <row r="26">
          <cell r="A26" t="str">
            <v>NEICA0293034</v>
          </cell>
          <cell r="B26" t="str">
            <v>06029</v>
          </cell>
          <cell r="C26" t="str">
            <v>SHELL BAKERSFIELD REFY.</v>
          </cell>
          <cell r="D26" t="str">
            <v>3663 GIBSON ST.</v>
          </cell>
          <cell r="E26" t="str">
            <v>BAKERSFIELD</v>
          </cell>
          <cell r="F26" t="str">
            <v>CA</v>
          </cell>
        </row>
        <row r="27">
          <cell r="A27" t="str">
            <v>NEI20166</v>
          </cell>
          <cell r="B27" t="str">
            <v>06029</v>
          </cell>
          <cell r="C27" t="str">
            <v>WORLD OIL CORP.</v>
          </cell>
          <cell r="D27" t="str">
            <v>1850 COFFEE RD</v>
          </cell>
          <cell r="E27" t="str">
            <v>BAKERSFIELD</v>
          </cell>
          <cell r="F27" t="str">
            <v>CA</v>
          </cell>
        </row>
        <row r="28">
          <cell r="A28" t="str">
            <v>NEI25464</v>
          </cell>
          <cell r="B28" t="str">
            <v>06095</v>
          </cell>
          <cell r="C28" t="str">
            <v>HUNTWAY REFINING COMPANY</v>
          </cell>
          <cell r="D28" t="str">
            <v>3001 Park Road</v>
          </cell>
          <cell r="E28" t="str">
            <v>BENICIA</v>
          </cell>
          <cell r="F28" t="str">
            <v>CA</v>
          </cell>
        </row>
        <row r="29">
          <cell r="A29" t="str">
            <v>NEI25450</v>
          </cell>
          <cell r="B29" t="str">
            <v>06095</v>
          </cell>
          <cell r="C29" t="str">
            <v>VALERO REFINING CO. CALIFORNIA BENICIA REFY.</v>
          </cell>
          <cell r="D29" t="str">
            <v>3400 E. 2ND ST.</v>
          </cell>
          <cell r="E29" t="str">
            <v>BENICIA</v>
          </cell>
          <cell r="F29" t="str">
            <v>CA</v>
          </cell>
        </row>
        <row r="30">
          <cell r="A30" t="str">
            <v>NEI2CA312626</v>
          </cell>
          <cell r="B30" t="str">
            <v>06095</v>
          </cell>
          <cell r="C30" t="str">
            <v>VALERO REFINING COMPANY - CALI</v>
          </cell>
          <cell r="D30" t="str">
            <v>3400 E 2nd Street</v>
          </cell>
          <cell r="E30" t="str">
            <v>BENICIA</v>
          </cell>
          <cell r="F30" t="str">
            <v>CA</v>
          </cell>
        </row>
        <row r="31">
          <cell r="A31" t="str">
            <v>NEI20307</v>
          </cell>
          <cell r="B31" t="str">
            <v>06037</v>
          </cell>
          <cell r="C31" t="str">
            <v>BP WEST COAST PRODS. L.L.C. CARSON</v>
          </cell>
          <cell r="D31" t="str">
            <v>1801 E. SEPULVEDA BLVD.</v>
          </cell>
          <cell r="E31" t="str">
            <v>CARSON</v>
          </cell>
          <cell r="F31" t="str">
            <v>CA</v>
          </cell>
        </row>
        <row r="32">
          <cell r="A32" t="str">
            <v>NEICA0379991</v>
          </cell>
          <cell r="B32" t="str">
            <v>06037</v>
          </cell>
          <cell r="C32" t="str">
            <v>CONOCOPHILLIPS CO. LA REFY. CARSON PLANT</v>
          </cell>
          <cell r="D32" t="str">
            <v>1520 E. SEPULVEDA BLVD.</v>
          </cell>
          <cell r="E32" t="str">
            <v>CARSON</v>
          </cell>
          <cell r="F32" t="str">
            <v>CA</v>
          </cell>
        </row>
        <row r="33">
          <cell r="A33" t="str">
            <v>NEICA0379991</v>
          </cell>
          <cell r="B33" t="str">
            <v>06037</v>
          </cell>
          <cell r="C33" t="str">
            <v>TOSCO REFINING COMPANY</v>
          </cell>
          <cell r="D33" t="str">
            <v>1520 E SEPULVEDA BLVD</v>
          </cell>
          <cell r="E33" t="str">
            <v>CARSON</v>
          </cell>
          <cell r="F33" t="str">
            <v>CA</v>
          </cell>
        </row>
        <row r="34">
          <cell r="A34" t="str">
            <v>NEI2CA131003</v>
          </cell>
          <cell r="B34" t="str">
            <v>06037</v>
          </cell>
          <cell r="C34" t="str">
            <v>WEST COAST PRODUCTS LLC</v>
          </cell>
          <cell r="D34" t="str">
            <v>1801 E SEPULVEDA BLVD</v>
          </cell>
          <cell r="E34" t="str">
            <v>CARSON</v>
          </cell>
          <cell r="F34" t="str">
            <v>CA</v>
          </cell>
        </row>
        <row r="35">
          <cell r="A35" t="str">
            <v>NEI20467</v>
          </cell>
          <cell r="B35" t="str">
            <v>06037</v>
          </cell>
          <cell r="C35" t="str">
            <v>CHEVRON U.S.A. INC.</v>
          </cell>
          <cell r="D35" t="str">
            <v>324 W EL SEGUNDO BLVD</v>
          </cell>
          <cell r="E35" t="str">
            <v>EL SEGUNDO</v>
          </cell>
          <cell r="F35" t="str">
            <v>CA</v>
          </cell>
        </row>
        <row r="36">
          <cell r="A36" t="str">
            <v>NEI20467</v>
          </cell>
          <cell r="B36" t="str">
            <v>06037</v>
          </cell>
          <cell r="C36" t="str">
            <v>CHEVRON USA INC. CHEVRON PRODS. CO. DIV.</v>
          </cell>
          <cell r="D36" t="str">
            <v>324 W. EL SEGUNDO BLVD.</v>
          </cell>
          <cell r="E36" t="str">
            <v>EL SEGUNDO</v>
          </cell>
          <cell r="F36" t="str">
            <v>CA</v>
          </cell>
        </row>
        <row r="37">
          <cell r="A37" t="str">
            <v>NEI20616</v>
          </cell>
          <cell r="B37" t="str">
            <v>06037</v>
          </cell>
          <cell r="C37" t="str">
            <v>EDGINGTON OIL CO.</v>
          </cell>
          <cell r="D37" t="str">
            <v>2400 E. ARTESIA BLVD.</v>
          </cell>
          <cell r="E37" t="str">
            <v>LONG BEACH</v>
          </cell>
          <cell r="F37" t="str">
            <v>CA</v>
          </cell>
        </row>
        <row r="38">
          <cell r="A38" t="str">
            <v>NEI20616</v>
          </cell>
          <cell r="B38" t="str">
            <v>06037</v>
          </cell>
          <cell r="C38" t="str">
            <v>EDGINGTON OIL COMPANY</v>
          </cell>
          <cell r="D38" t="str">
            <v>2400 E ARTESIA BLVD</v>
          </cell>
          <cell r="E38" t="str">
            <v>LONG BEACH</v>
          </cell>
          <cell r="F38" t="str">
            <v>CA</v>
          </cell>
        </row>
        <row r="39">
          <cell r="A39" t="str">
            <v>NEI20819</v>
          </cell>
          <cell r="B39" t="str">
            <v>06037</v>
          </cell>
          <cell r="C39" t="str">
            <v>INDUSTRIAL PROCESS &amp; CHEM CO</v>
          </cell>
          <cell r="D39" t="str">
            <v>21111 21213 S WILMINGTON AVE</v>
          </cell>
          <cell r="E39" t="str">
            <v>LONG BEACH</v>
          </cell>
          <cell r="F39" t="str">
            <v>CA</v>
          </cell>
        </row>
        <row r="40">
          <cell r="A40" t="str">
            <v>NEICA0379994</v>
          </cell>
          <cell r="B40" t="str">
            <v>06037</v>
          </cell>
          <cell r="C40" t="str">
            <v>PARAMOUNT PETR CORP</v>
          </cell>
          <cell r="D40" t="str">
            <v>2922 E SOUTH ST</v>
          </cell>
          <cell r="E40" t="str">
            <v>LONG BEACH</v>
          </cell>
          <cell r="F40" t="str">
            <v>CA</v>
          </cell>
        </row>
        <row r="41">
          <cell r="A41" t="str">
            <v>NEICA0371590</v>
          </cell>
          <cell r="B41" t="str">
            <v>06037</v>
          </cell>
          <cell r="C41" t="str">
            <v>POWERINE OIL COMPANY</v>
          </cell>
          <cell r="D41" t="str">
            <v>1405 W 7TH STREET</v>
          </cell>
          <cell r="E41" t="str">
            <v>LONG BEACH</v>
          </cell>
          <cell r="F41" t="str">
            <v>CA</v>
          </cell>
        </row>
        <row r="42">
          <cell r="A42" t="str">
            <v>NEICA2628188</v>
          </cell>
          <cell r="B42" t="str">
            <v>06037</v>
          </cell>
          <cell r="C42" t="str">
            <v>UNION OIL CO OF CAL</v>
          </cell>
          <cell r="D42" t="str">
            <v>OAT MOUNTAIN</v>
          </cell>
          <cell r="E42" t="str">
            <v>LOS ANGELES</v>
          </cell>
          <cell r="F42" t="str">
            <v>CA</v>
          </cell>
        </row>
        <row r="43">
          <cell r="A43" t="str">
            <v>NEICA0377942</v>
          </cell>
          <cell r="B43" t="str">
            <v>06037</v>
          </cell>
          <cell r="C43" t="str">
            <v>SAN LUIS TANK PIPING CONSTRUCT</v>
          </cell>
          <cell r="D43" t="str">
            <v>VARIOUS LOCATIONS</v>
          </cell>
          <cell r="E43" t="str">
            <v>LOS ANGELES COUNTY</v>
          </cell>
          <cell r="F43" t="str">
            <v>CA</v>
          </cell>
        </row>
        <row r="44">
          <cell r="A44" t="str">
            <v>NEI19727</v>
          </cell>
          <cell r="B44" t="str">
            <v>06013</v>
          </cell>
          <cell r="C44" t="str">
            <v>LANDRY SERVICE CO INC</v>
          </cell>
          <cell r="D44" t="str">
            <v>SHELL REFINERY</v>
          </cell>
          <cell r="E44" t="str">
            <v>MARTINEZ</v>
          </cell>
          <cell r="F44" t="str">
            <v>CA</v>
          </cell>
        </row>
        <row r="45">
          <cell r="A45" t="str">
            <v>NEI2CA312870</v>
          </cell>
          <cell r="B45" t="str">
            <v>06013</v>
          </cell>
          <cell r="C45" t="str">
            <v>SHELL CHEMICAL LP</v>
          </cell>
          <cell r="D45" t="str">
            <v>10 Mococo Road</v>
          </cell>
          <cell r="E45" t="str">
            <v>MARTINEZ</v>
          </cell>
          <cell r="F45" t="str">
            <v>CA</v>
          </cell>
        </row>
        <row r="46">
          <cell r="A46" t="str">
            <v>NEIRCA311218</v>
          </cell>
          <cell r="B46" t="str">
            <v>06013</v>
          </cell>
          <cell r="C46" t="str">
            <v>SHELL MARTINEZ CATALYST PLANT</v>
          </cell>
          <cell r="D46" t="str">
            <v>10 Mococo Road</v>
          </cell>
          <cell r="E46" t="str">
            <v>MARTINEZ</v>
          </cell>
          <cell r="F46" t="str">
            <v>CA</v>
          </cell>
        </row>
        <row r="47">
          <cell r="A47" t="str">
            <v>NEICALF8682</v>
          </cell>
          <cell r="B47" t="str">
            <v>06013</v>
          </cell>
          <cell r="C47" t="str">
            <v>SHELL MARTINEZ REFINERY</v>
          </cell>
          <cell r="D47" t="str">
            <v>3485 Pacheco Blvd</v>
          </cell>
          <cell r="E47" t="str">
            <v>MARTINEZ</v>
          </cell>
          <cell r="F47" t="str">
            <v>CA</v>
          </cell>
        </row>
        <row r="48">
          <cell r="A48" t="str">
            <v>NEI19834</v>
          </cell>
          <cell r="B48" t="str">
            <v>06013</v>
          </cell>
          <cell r="C48" t="str">
            <v>Shell Oil Co.</v>
          </cell>
          <cell r="D48" t="str">
            <v>3485 PACHECO BLVD.</v>
          </cell>
          <cell r="E48" t="str">
            <v>Martinez</v>
          </cell>
          <cell r="F48" t="str">
            <v>CA</v>
          </cell>
        </row>
        <row r="49">
          <cell r="A49" t="str">
            <v>NEI19834</v>
          </cell>
          <cell r="B49" t="str">
            <v>06013</v>
          </cell>
          <cell r="C49" t="str">
            <v>SHELL OIL PRODS. U.S.  MARTINEZ REFY.</v>
          </cell>
          <cell r="D49" t="str">
            <v>3485 PACHECO BLVD.</v>
          </cell>
          <cell r="E49" t="str">
            <v>MARTINEZ</v>
          </cell>
          <cell r="F49" t="str">
            <v>CA</v>
          </cell>
        </row>
        <row r="50">
          <cell r="A50" t="str">
            <v>NEI19867</v>
          </cell>
          <cell r="B50" t="str">
            <v>06013</v>
          </cell>
          <cell r="C50" t="str">
            <v>TESORO REFINING &amp; MARKETING CO.</v>
          </cell>
          <cell r="D50" t="str">
            <v>150 SOLANO AVE.</v>
          </cell>
          <cell r="E50" t="str">
            <v>MARTINEZ</v>
          </cell>
          <cell r="F50" t="str">
            <v>CA</v>
          </cell>
        </row>
        <row r="51">
          <cell r="A51" t="str">
            <v>NEI2CA314628</v>
          </cell>
          <cell r="B51" t="str">
            <v>06013</v>
          </cell>
          <cell r="C51" t="str">
            <v>TESORO REFINING AND MARKETING</v>
          </cell>
          <cell r="D51" t="str">
            <v>Avon Refinery</v>
          </cell>
          <cell r="E51" t="str">
            <v>MARTINEZ</v>
          </cell>
          <cell r="F51" t="str">
            <v>CA</v>
          </cell>
        </row>
        <row r="52">
          <cell r="A52" t="str">
            <v>NEI2CA314629</v>
          </cell>
          <cell r="B52" t="str">
            <v>06013</v>
          </cell>
          <cell r="C52" t="str">
            <v>TESORO REFINING AND MARKETING</v>
          </cell>
          <cell r="D52" t="str">
            <v>Amorco</v>
          </cell>
          <cell r="E52" t="str">
            <v>MARTINEZ</v>
          </cell>
          <cell r="F52" t="str">
            <v>CA</v>
          </cell>
        </row>
        <row r="53">
          <cell r="A53" t="str">
            <v>NEI19867</v>
          </cell>
          <cell r="B53" t="str">
            <v>06013</v>
          </cell>
          <cell r="C53" t="str">
            <v>TOSCO REFINING CO-AMORCO TERMI</v>
          </cell>
          <cell r="D53" t="str">
            <v>AMORCO</v>
          </cell>
          <cell r="E53" t="str">
            <v>MARTINEZ</v>
          </cell>
          <cell r="F53" t="str">
            <v>CA</v>
          </cell>
        </row>
        <row r="54">
          <cell r="A54" t="str">
            <v>NEI20129</v>
          </cell>
          <cell r="B54" t="str">
            <v>06029</v>
          </cell>
          <cell r="C54" t="str">
            <v>MT POSO TANK FARM</v>
          </cell>
          <cell r="D54" t="str">
            <v>UNKNOWN</v>
          </cell>
          <cell r="E54" t="str">
            <v>OILDALE</v>
          </cell>
          <cell r="F54" t="str">
            <v>CA</v>
          </cell>
        </row>
        <row r="55">
          <cell r="A55" t="str">
            <v>NEI20090</v>
          </cell>
          <cell r="B55" t="str">
            <v>06029</v>
          </cell>
          <cell r="C55" t="str">
            <v>TRICOR REFINING, LLC</v>
          </cell>
          <cell r="D55" t="str">
            <v>4100 AIRPORT DR</v>
          </cell>
          <cell r="E55" t="str">
            <v>OILDALE</v>
          </cell>
          <cell r="F55" t="str">
            <v>CA</v>
          </cell>
        </row>
        <row r="56">
          <cell r="A56" t="str">
            <v>NEICA10578</v>
          </cell>
          <cell r="B56" t="str">
            <v>06029</v>
          </cell>
          <cell r="C56" t="str">
            <v>TRICOR REFINING, LLC</v>
          </cell>
          <cell r="D56" t="str">
            <v>1134 MANOR ST</v>
          </cell>
          <cell r="E56" t="str">
            <v>OILDALE</v>
          </cell>
          <cell r="F56" t="str">
            <v>CA</v>
          </cell>
        </row>
        <row r="57">
          <cell r="A57" t="str">
            <v>NEI21130</v>
          </cell>
          <cell r="B57" t="str">
            <v>06037</v>
          </cell>
          <cell r="C57" t="str">
            <v>PARAMOUNT PETR CORP</v>
          </cell>
          <cell r="D57" t="str">
            <v>14700-08 DOWNEY AVE</v>
          </cell>
          <cell r="E57" t="str">
            <v>PARAMOUNT</v>
          </cell>
          <cell r="F57" t="str">
            <v>CA</v>
          </cell>
        </row>
        <row r="58">
          <cell r="A58" t="str">
            <v>NEI21130</v>
          </cell>
          <cell r="B58" t="str">
            <v>06037</v>
          </cell>
          <cell r="C58" t="str">
            <v>PARAMOUNT PETROLEUM CORP.</v>
          </cell>
          <cell r="D58" t="str">
            <v>14700 DOWNEY AVE.</v>
          </cell>
          <cell r="E58" t="str">
            <v>PARAMOUNT</v>
          </cell>
          <cell r="F58" t="str">
            <v>CA</v>
          </cell>
        </row>
        <row r="59">
          <cell r="A59" t="str">
            <v>NEI19637</v>
          </cell>
          <cell r="B59" t="str">
            <v>06013</v>
          </cell>
          <cell r="C59" t="str">
            <v>DIABLO SERVICES CORP</v>
          </cell>
          <cell r="D59" t="str">
            <v>Trmnl in Pttsbrg</v>
          </cell>
          <cell r="E59" t="str">
            <v>PITTSBURG</v>
          </cell>
          <cell r="F59" t="str">
            <v>CA</v>
          </cell>
        </row>
        <row r="60">
          <cell r="A60" t="str">
            <v>NEI2CA314630</v>
          </cell>
          <cell r="B60" t="str">
            <v>06013</v>
          </cell>
          <cell r="C60" t="str">
            <v>TESORO REFINING AND MARKETING</v>
          </cell>
          <cell r="D60" t="str">
            <v>Terminal, Pittsburg</v>
          </cell>
          <cell r="E60" t="str">
            <v>PITTSBURG</v>
          </cell>
          <cell r="F60" t="str">
            <v>CA</v>
          </cell>
        </row>
        <row r="61">
          <cell r="A61" t="str">
            <v>NEI19587</v>
          </cell>
          <cell r="B61" t="str">
            <v>06013</v>
          </cell>
          <cell r="C61" t="str">
            <v>CHEVRON PRODS. CO. RICHMOND REFY.</v>
          </cell>
          <cell r="D61" t="str">
            <v>841 CHEVRON WAY</v>
          </cell>
          <cell r="E61" t="str">
            <v>RICHMOND</v>
          </cell>
          <cell r="F61" t="str">
            <v>CA</v>
          </cell>
        </row>
        <row r="62">
          <cell r="A62" t="str">
            <v>NEI19587</v>
          </cell>
          <cell r="B62" t="str">
            <v>06013</v>
          </cell>
          <cell r="C62" t="str">
            <v>CHEVRON PRODUCTS COMPANY</v>
          </cell>
          <cell r="D62" t="str">
            <v>841 Chevron Way</v>
          </cell>
          <cell r="E62" t="str">
            <v>RICHMOND</v>
          </cell>
          <cell r="F62" t="str">
            <v>CA</v>
          </cell>
        </row>
        <row r="63">
          <cell r="A63" t="str">
            <v>NEI19870</v>
          </cell>
          <cell r="B63" t="str">
            <v>06013</v>
          </cell>
          <cell r="C63" t="str">
            <v>CONOCOPHILLIPS - SAN FRANCISCO</v>
          </cell>
          <cell r="D63" t="str">
            <v>1380 San Pablo Ave</v>
          </cell>
          <cell r="E63" t="str">
            <v>RODEO</v>
          </cell>
          <cell r="F63" t="str">
            <v>CA</v>
          </cell>
        </row>
        <row r="64">
          <cell r="A64" t="str">
            <v>NEI19870</v>
          </cell>
          <cell r="B64" t="str">
            <v>06013</v>
          </cell>
          <cell r="C64" t="str">
            <v>CONOCOPHILLIPS SAN FRANCISCO  REFY.</v>
          </cell>
          <cell r="D64" t="str">
            <v>1380 SAN PABLO AVE.</v>
          </cell>
          <cell r="E64" t="str">
            <v>RODEO</v>
          </cell>
          <cell r="F64" t="str">
            <v>CA</v>
          </cell>
        </row>
        <row r="65">
          <cell r="A65" t="str">
            <v>NEICA0371395</v>
          </cell>
          <cell r="B65" t="str">
            <v>06037</v>
          </cell>
          <cell r="C65" t="str">
            <v>CHEVRON U.S.A. INC</v>
          </cell>
          <cell r="D65" t="str">
            <v>MONT FLD VIC ARROYO SAN GA</v>
          </cell>
          <cell r="E65" t="str">
            <v>SAN GABRIEL</v>
          </cell>
          <cell r="F65" t="str">
            <v>CA</v>
          </cell>
        </row>
        <row r="66">
          <cell r="A66" t="str">
            <v>NEI20719</v>
          </cell>
          <cell r="B66" t="str">
            <v>06037</v>
          </cell>
          <cell r="C66" t="str">
            <v>GOLDEN WEST REF CO</v>
          </cell>
          <cell r="D66" t="str">
            <v>13539 E FOSTER RD</v>
          </cell>
          <cell r="E66" t="str">
            <v>SANTA FE SPRINGS</v>
          </cell>
          <cell r="F66" t="str">
            <v>CA</v>
          </cell>
        </row>
        <row r="67">
          <cell r="A67" t="str">
            <v>NEI21174</v>
          </cell>
          <cell r="B67" t="str">
            <v>06037</v>
          </cell>
          <cell r="C67" t="str">
            <v>POWERINE OIL CO (EIS USE)</v>
          </cell>
          <cell r="D67" t="str">
            <v>12354 LAKELAND RD</v>
          </cell>
          <cell r="E67" t="str">
            <v>SANTA FE SPRINGS</v>
          </cell>
          <cell r="F67" t="str">
            <v>CA</v>
          </cell>
        </row>
        <row r="68">
          <cell r="A68" t="str">
            <v>NEI2CA254640</v>
          </cell>
          <cell r="B68" t="str">
            <v>06083</v>
          </cell>
          <cell r="C68" t="str">
            <v>SMRC/UNION SUGAR</v>
          </cell>
          <cell r="D68" t="str">
            <v>1660 Sinton Rd</v>
          </cell>
          <cell r="E68" t="str">
            <v>SANTA MARIA</v>
          </cell>
          <cell r="F68" t="str">
            <v>CA</v>
          </cell>
        </row>
        <row r="69">
          <cell r="A69" t="str">
            <v>NEI21477</v>
          </cell>
          <cell r="B69" t="str">
            <v>06037</v>
          </cell>
          <cell r="C69" t="str">
            <v>UNION OIL OF CAL, OIL &amp; GAS DI</v>
          </cell>
          <cell r="D69" t="str">
            <v>DEL VALLE OIL FIELD</v>
          </cell>
          <cell r="E69" t="str">
            <v>SAUGUS</v>
          </cell>
          <cell r="F69" t="str">
            <v>CA</v>
          </cell>
        </row>
        <row r="70">
          <cell r="A70" t="str">
            <v>NEI20462</v>
          </cell>
          <cell r="B70" t="str">
            <v>06037</v>
          </cell>
          <cell r="C70" t="str">
            <v>CHEMOIL REFINING CORP.</v>
          </cell>
          <cell r="D70" t="str">
            <v>2020 WALNUT AVE</v>
          </cell>
          <cell r="E70" t="str">
            <v>SIGNAL HILL</v>
          </cell>
          <cell r="F70" t="str">
            <v>CA</v>
          </cell>
        </row>
        <row r="71">
          <cell r="A71" t="str">
            <v>NEI20966</v>
          </cell>
          <cell r="B71" t="str">
            <v>06037</v>
          </cell>
          <cell r="C71" t="str">
            <v>LUNDAY-THAGARD CO.</v>
          </cell>
          <cell r="D71" t="str">
            <v>9301 GARFIELD AVE.</v>
          </cell>
          <cell r="E71" t="str">
            <v>SOUTH GATE</v>
          </cell>
          <cell r="F71" t="str">
            <v>CA</v>
          </cell>
        </row>
        <row r="72">
          <cell r="A72" t="str">
            <v>NEI20966</v>
          </cell>
          <cell r="B72" t="str">
            <v>06037</v>
          </cell>
          <cell r="C72" t="str">
            <v>LUNDAY-THAGARD OIL CO</v>
          </cell>
          <cell r="D72" t="str">
            <v>9301 GARFIELD AVENUE</v>
          </cell>
          <cell r="E72" t="str">
            <v>SOUTH GATE</v>
          </cell>
          <cell r="F72" t="str">
            <v>CA</v>
          </cell>
        </row>
        <row r="73">
          <cell r="A73" t="str">
            <v>NEICA0770845</v>
          </cell>
          <cell r="B73" t="str">
            <v>06077</v>
          </cell>
          <cell r="C73" t="str">
            <v>TESORO REFINING MARKETING</v>
          </cell>
          <cell r="D73" t="str">
            <v>3003 NAVY DRIVE</v>
          </cell>
          <cell r="E73" t="str">
            <v>STOCKTON</v>
          </cell>
          <cell r="F73" t="str">
            <v>CA</v>
          </cell>
        </row>
        <row r="74">
          <cell r="A74" t="str">
            <v>NEI21034</v>
          </cell>
          <cell r="B74" t="str">
            <v>06037</v>
          </cell>
          <cell r="C74" t="str">
            <v>EXXONMOBIL OIL CORP. TORRANCE REFY.</v>
          </cell>
          <cell r="D74" t="str">
            <v>3700 W. 190TH ST.</v>
          </cell>
          <cell r="E74" t="str">
            <v>TORRANCE</v>
          </cell>
          <cell r="F74" t="str">
            <v>CA</v>
          </cell>
        </row>
        <row r="75">
          <cell r="A75" t="str">
            <v>NEI21034</v>
          </cell>
          <cell r="B75" t="str">
            <v>06037</v>
          </cell>
          <cell r="C75" t="str">
            <v>MOBIL OIL CORP</v>
          </cell>
          <cell r="D75" t="str">
            <v>3700 W 190TH ST</v>
          </cell>
          <cell r="E75" t="str">
            <v>TORRANCE</v>
          </cell>
          <cell r="F75" t="str">
            <v>CA</v>
          </cell>
        </row>
        <row r="76">
          <cell r="A76" t="str">
            <v>NEI21034</v>
          </cell>
          <cell r="B76" t="str">
            <v>06037</v>
          </cell>
          <cell r="C76" t="str">
            <v>MOBIL OIL CORP, WEST COAST PIP</v>
          </cell>
          <cell r="D76" t="str">
            <v>20225 VAN NESS AVE</v>
          </cell>
          <cell r="E76" t="str">
            <v>TORRANCE</v>
          </cell>
          <cell r="F76" t="str">
            <v>CA</v>
          </cell>
        </row>
        <row r="77">
          <cell r="A77" t="str">
            <v>NEI21469</v>
          </cell>
          <cell r="B77" t="str">
            <v>06037</v>
          </cell>
          <cell r="C77" t="str">
            <v>CONOCOPHILLIPS CO. LA REFY. WILMINGTON PLANT</v>
          </cell>
          <cell r="D77" t="str">
            <v>1660 W. ANAHEIM ST.</v>
          </cell>
          <cell r="E77" t="str">
            <v>WILMINGTON</v>
          </cell>
          <cell r="F77" t="str">
            <v>CA</v>
          </cell>
        </row>
        <row r="78">
          <cell r="A78" t="str">
            <v>NEI21473</v>
          </cell>
          <cell r="B78" t="str">
            <v>06037</v>
          </cell>
          <cell r="C78" t="str">
            <v>CONOCOPHILLIPS CO. MARINE TERMINAL</v>
          </cell>
          <cell r="D78" t="str">
            <v>150 PIER A ST. PORT OF LOS ANGELES</v>
          </cell>
          <cell r="E78" t="str">
            <v>WILMINGTON</v>
          </cell>
          <cell r="F78" t="str">
            <v>CA</v>
          </cell>
        </row>
        <row r="79">
          <cell r="A79" t="str">
            <v>NEICA1910268</v>
          </cell>
          <cell r="B79" t="str">
            <v>06037</v>
          </cell>
          <cell r="C79" t="str">
            <v>EQUILON ENTERPRISES, LLC</v>
          </cell>
          <cell r="D79" t="str">
            <v>2101 E PACIFIC COAST HWY</v>
          </cell>
          <cell r="E79" t="str">
            <v>WILMINGTON</v>
          </cell>
          <cell r="F79" t="str">
            <v>CA</v>
          </cell>
        </row>
        <row r="80">
          <cell r="A80" t="str">
            <v>NEI21288</v>
          </cell>
          <cell r="B80" t="str">
            <v>06037</v>
          </cell>
          <cell r="C80" t="str">
            <v>SHELL OIL CO (EIS USE ONLY)</v>
          </cell>
          <cell r="D80" t="str">
            <v>1622 E SEPULVEDA BLVD</v>
          </cell>
          <cell r="E80" t="str">
            <v>WILMINGTON</v>
          </cell>
          <cell r="F80" t="str">
            <v>CA</v>
          </cell>
        </row>
        <row r="81">
          <cell r="A81" t="str">
            <v>NEI21395</v>
          </cell>
          <cell r="B81" t="str">
            <v>06037</v>
          </cell>
          <cell r="C81" t="str">
            <v>SHELL OIL PRODS. U.S. LOS ANGELES REFY.</v>
          </cell>
          <cell r="D81" t="str">
            <v>2101 E. PACIFIC COAST HWY.</v>
          </cell>
          <cell r="E81" t="str">
            <v>WILMINGTON</v>
          </cell>
          <cell r="F81" t="str">
            <v>CA</v>
          </cell>
        </row>
        <row r="82">
          <cell r="A82" t="str">
            <v>NEICA0370363</v>
          </cell>
          <cell r="B82" t="str">
            <v>06037</v>
          </cell>
          <cell r="C82" t="str">
            <v>TOSCO REFINING COMPANY</v>
          </cell>
          <cell r="D82" t="str">
            <v>1660 W ANAHEIM ST</v>
          </cell>
          <cell r="E82" t="str">
            <v>WILMINGTON</v>
          </cell>
          <cell r="F82" t="str">
            <v>CA</v>
          </cell>
        </row>
        <row r="83">
          <cell r="A83" t="str">
            <v>NEICA6111642</v>
          </cell>
          <cell r="B83" t="str">
            <v>06037</v>
          </cell>
          <cell r="C83" t="str">
            <v>TOSCO REFINING COMPANY</v>
          </cell>
          <cell r="D83" t="str">
            <v>1660 W.ANAHEIM ST</v>
          </cell>
          <cell r="E83" t="str">
            <v>WILMINGTON</v>
          </cell>
          <cell r="F83" t="str">
            <v>CA</v>
          </cell>
        </row>
        <row r="84">
          <cell r="A84" t="str">
            <v>NEI21466</v>
          </cell>
          <cell r="B84" t="str">
            <v>06037</v>
          </cell>
          <cell r="C84" t="str">
            <v>ULTRAMAR INC (NSR USE ONLY)</v>
          </cell>
          <cell r="D84" t="str">
            <v>2402 E ANAHEIM ST</v>
          </cell>
          <cell r="E84" t="str">
            <v>WILMINGTON</v>
          </cell>
          <cell r="F84" t="str">
            <v>CA</v>
          </cell>
        </row>
        <row r="85">
          <cell r="A85" t="str">
            <v>NEI21466</v>
          </cell>
          <cell r="B85" t="str">
            <v>06037</v>
          </cell>
          <cell r="C85" t="str">
            <v>ULTRAMAR INC. WILMINGTON REFY.</v>
          </cell>
          <cell r="D85" t="str">
            <v>2402 E. ANAHEIM ST.</v>
          </cell>
          <cell r="E85" t="str">
            <v>WILMINGTON</v>
          </cell>
          <cell r="F85" t="str">
            <v>CA</v>
          </cell>
        </row>
        <row r="86">
          <cell r="A86" t="str">
            <v>NEI20797</v>
          </cell>
          <cell r="B86" t="str">
            <v>06037</v>
          </cell>
          <cell r="C86" t="str">
            <v>VALERO WILMINGTON ASPHALT PLANT</v>
          </cell>
          <cell r="D86" t="str">
            <v>1651 ALAMEDA ST.</v>
          </cell>
          <cell r="E86" t="str">
            <v>WILMINGTON</v>
          </cell>
          <cell r="F86" t="str">
            <v>CA</v>
          </cell>
        </row>
        <row r="87">
          <cell r="A87" t="str">
            <v>NEI2CA800393</v>
          </cell>
          <cell r="B87" t="str">
            <v>06037</v>
          </cell>
          <cell r="C87" t="str">
            <v>VALERO WILMINGTON ASPHALT PLANT</v>
          </cell>
          <cell r="D87" t="str">
            <v>1651 ALAMEDA ST</v>
          </cell>
          <cell r="E87" t="str">
            <v>WILMINGTON</v>
          </cell>
          <cell r="F87" t="str">
            <v>CA</v>
          </cell>
        </row>
        <row r="88">
          <cell r="A88" t="str">
            <v>NEI449</v>
          </cell>
          <cell r="B88" t="str">
            <v>08013</v>
          </cell>
          <cell r="C88" t="str">
            <v>BARTKUS OIL CO</v>
          </cell>
          <cell r="D88" t="str">
            <v>3501 PEARL ST</v>
          </cell>
          <cell r="E88" t="str">
            <v>BOULDER</v>
          </cell>
          <cell r="F88" t="str">
            <v>CO</v>
          </cell>
        </row>
        <row r="89">
          <cell r="A89" t="str">
            <v>NEI435</v>
          </cell>
          <cell r="B89" t="str">
            <v>08001</v>
          </cell>
          <cell r="C89" t="str">
            <v>SAM HILL OIL CO</v>
          </cell>
          <cell r="D89" t="str">
            <v>725 S MAIN ST</v>
          </cell>
          <cell r="E89" t="str">
            <v>BRIGHTON</v>
          </cell>
          <cell r="F89" t="str">
            <v>CO</v>
          </cell>
        </row>
        <row r="90">
          <cell r="A90" t="str">
            <v>NEI415</v>
          </cell>
          <cell r="B90" t="str">
            <v>08001</v>
          </cell>
          <cell r="C90" t="str">
            <v>COLORADO REFINING CO TOTAL PETROLEUM</v>
          </cell>
          <cell r="D90" t="str">
            <v>5800 BRIGHTON BLVD</v>
          </cell>
          <cell r="E90" t="str">
            <v>COMMERCE CITY</v>
          </cell>
          <cell r="F90" t="str">
            <v>CO</v>
          </cell>
        </row>
        <row r="91">
          <cell r="A91" t="str">
            <v>NEI415</v>
          </cell>
          <cell r="B91" t="str">
            <v>08001</v>
          </cell>
          <cell r="C91" t="str">
            <v>COLORADO REFINING CO.</v>
          </cell>
          <cell r="D91" t="str">
            <v>5800 BRIGHTON BLVD.</v>
          </cell>
          <cell r="E91" t="str">
            <v>COMMERCE CITY</v>
          </cell>
          <cell r="F91" t="str">
            <v>CO</v>
          </cell>
        </row>
        <row r="92">
          <cell r="A92" t="str">
            <v>NEI889</v>
          </cell>
          <cell r="B92" t="str">
            <v>08001</v>
          </cell>
          <cell r="C92" t="str">
            <v>CONOCOPHILLIPS DENVER REFY.</v>
          </cell>
          <cell r="D92" t="str">
            <v>5801 BRIGHTON BLVD.</v>
          </cell>
          <cell r="E92" t="str">
            <v>COMMERCE CITY</v>
          </cell>
          <cell r="F92" t="str">
            <v>CO</v>
          </cell>
        </row>
        <row r="93">
          <cell r="A93" t="str">
            <v>NEICO0010123</v>
          </cell>
          <cell r="B93" t="str">
            <v>08001</v>
          </cell>
          <cell r="C93" t="str">
            <v>HARPEL OIL CO</v>
          </cell>
          <cell r="D93" t="str">
            <v>5480 BRIGHTON BLVD</v>
          </cell>
          <cell r="E93" t="str">
            <v>COMMERCE CITY</v>
          </cell>
          <cell r="F93" t="str">
            <v>CO</v>
          </cell>
        </row>
        <row r="94">
          <cell r="A94" t="str">
            <v>NEI889</v>
          </cell>
          <cell r="B94" t="str">
            <v>08001</v>
          </cell>
          <cell r="C94" t="str">
            <v>SUNCOR ENERGY - DENVER REFINERY</v>
          </cell>
          <cell r="D94" t="str">
            <v>5801 BRIGHTON BLVD</v>
          </cell>
          <cell r="E94" t="str">
            <v>COMMERCE CITY</v>
          </cell>
          <cell r="F94" t="str">
            <v>CO</v>
          </cell>
        </row>
        <row r="95">
          <cell r="A95" t="str">
            <v>NEI468</v>
          </cell>
          <cell r="B95" t="str">
            <v>08031</v>
          </cell>
          <cell r="C95" t="str">
            <v>REX OIL CO</v>
          </cell>
          <cell r="D95" t="str">
            <v>899 DECATUR ST</v>
          </cell>
          <cell r="E95" t="str">
            <v>DENVER</v>
          </cell>
          <cell r="F95" t="str">
            <v>CO</v>
          </cell>
        </row>
        <row r="96">
          <cell r="A96" t="str">
            <v>NEICO0310065</v>
          </cell>
          <cell r="B96" t="str">
            <v>08031</v>
          </cell>
          <cell r="C96" t="str">
            <v>SIEGEL OIL CO</v>
          </cell>
          <cell r="D96" t="str">
            <v>1380 ZUNI ST</v>
          </cell>
          <cell r="E96" t="str">
            <v>DENVER</v>
          </cell>
          <cell r="F96" t="str">
            <v>CO</v>
          </cell>
        </row>
        <row r="97">
          <cell r="A97" t="str">
            <v>NEI2CO0141</v>
          </cell>
          <cell r="B97" t="str">
            <v>08045</v>
          </cell>
          <cell r="C97" t="str">
            <v>WESTERN PETROLEUM CO. - BULK PLANT</v>
          </cell>
          <cell r="D97" t="str">
            <v>1300 PITKIN AVE</v>
          </cell>
          <cell r="E97" t="str">
            <v>GLENWOOD SPRINGS</v>
          </cell>
          <cell r="F97" t="str">
            <v>CO</v>
          </cell>
        </row>
        <row r="98">
          <cell r="A98" t="str">
            <v>NEICO0131227</v>
          </cell>
          <cell r="B98" t="str">
            <v>08013</v>
          </cell>
          <cell r="C98" t="str">
            <v>BARTKUS OIL CO</v>
          </cell>
          <cell r="D98" t="str">
            <v>130 3RD AVE</v>
          </cell>
          <cell r="E98" t="str">
            <v>LONGMONT</v>
          </cell>
          <cell r="F98" t="str">
            <v>CO</v>
          </cell>
        </row>
        <row r="99">
          <cell r="A99" t="str">
            <v>NEI450</v>
          </cell>
          <cell r="B99" t="str">
            <v>08013</v>
          </cell>
          <cell r="C99" t="str">
            <v>REX OIL CO INC</v>
          </cell>
          <cell r="D99" t="str">
            <v>431 4TH AVE</v>
          </cell>
          <cell r="E99" t="str">
            <v>LYONS</v>
          </cell>
          <cell r="F99" t="str">
            <v>CO</v>
          </cell>
        </row>
        <row r="100">
          <cell r="A100" t="str">
            <v>NEI26218</v>
          </cell>
          <cell r="B100" t="str">
            <v>10003</v>
          </cell>
          <cell r="C100" t="str">
            <v>MOTIVA ENTERPRISES LLC - DELAWARE CITY</v>
          </cell>
          <cell r="D100" t="str">
            <v>2000 WRANGLE HILL RD</v>
          </cell>
          <cell r="E100" t="str">
            <v>DELAWARE CITY</v>
          </cell>
          <cell r="F100" t="str">
            <v>DE</v>
          </cell>
        </row>
        <row r="101">
          <cell r="A101" t="str">
            <v>NEI2FL830138</v>
          </cell>
          <cell r="B101" t="str">
            <v>12083</v>
          </cell>
          <cell r="C101" t="str">
            <v>ATLANTIC INDUSTRIAL SERVICES</v>
          </cell>
          <cell r="D101" t="str">
            <v>355 CYPRESS RD</v>
          </cell>
          <cell r="E101" t="str">
            <v>SILVER SPRINGS SHORES</v>
          </cell>
          <cell r="F101" t="str">
            <v>FL</v>
          </cell>
        </row>
        <row r="102">
          <cell r="A102" t="str">
            <v>NEI26489</v>
          </cell>
          <cell r="B102" t="str">
            <v>13097</v>
          </cell>
          <cell r="C102" t="str">
            <v>YOUNG REFINING CORP.</v>
          </cell>
          <cell r="D102" t="str">
            <v>7982 HUEY RD.</v>
          </cell>
          <cell r="E102" t="str">
            <v>DOUGLASVILLE</v>
          </cell>
          <cell r="F102" t="str">
            <v>GA</v>
          </cell>
        </row>
        <row r="103">
          <cell r="A103" t="str">
            <v>NEI26473</v>
          </cell>
          <cell r="B103" t="str">
            <v>13051</v>
          </cell>
          <cell r="C103" t="str">
            <v>CITGO ASPHALT REFINING CO.</v>
          </cell>
          <cell r="D103" t="str">
            <v>7 FOUNDATION DR.</v>
          </cell>
          <cell r="E103" t="str">
            <v>SAVANNAH</v>
          </cell>
          <cell r="F103" t="str">
            <v>GA</v>
          </cell>
        </row>
        <row r="104">
          <cell r="A104" t="str">
            <v>NEI26473</v>
          </cell>
          <cell r="B104" t="str">
            <v>13051</v>
          </cell>
          <cell r="C104" t="str">
            <v>CITGO Asphalt Refining Company</v>
          </cell>
          <cell r="D104" t="str">
            <v>Foundation Drive</v>
          </cell>
          <cell r="E104" t="str">
            <v>Savannah</v>
          </cell>
          <cell r="F104" t="str">
            <v>GA</v>
          </cell>
        </row>
        <row r="105">
          <cell r="A105" t="str">
            <v>NEI13322</v>
          </cell>
          <cell r="B105" t="str">
            <v>15003</v>
          </cell>
          <cell r="C105" t="str">
            <v>Chevron Hawaii Refinery</v>
          </cell>
          <cell r="D105" t="str">
            <v>91-480 Malakole St.</v>
          </cell>
          <cell r="E105" t="str">
            <v>Kapolei</v>
          </cell>
          <cell r="F105" t="str">
            <v>HI</v>
          </cell>
        </row>
        <row r="106">
          <cell r="A106" t="str">
            <v>NEI2HI003050</v>
          </cell>
          <cell r="B106" t="str">
            <v>15003</v>
          </cell>
          <cell r="C106" t="str">
            <v>Chevron Marine Mooring Terminal</v>
          </cell>
          <cell r="D106" t="str">
            <v>91-480 Malakole St.</v>
          </cell>
          <cell r="E106" t="str">
            <v>Kapolei</v>
          </cell>
          <cell r="F106" t="str">
            <v>HI</v>
          </cell>
        </row>
        <row r="107">
          <cell r="A107" t="str">
            <v>NEI13322</v>
          </cell>
          <cell r="B107" t="str">
            <v>15003</v>
          </cell>
          <cell r="C107" t="str">
            <v>CHEVRON PRODS. CO. HAWAII REFY.</v>
          </cell>
          <cell r="D107" t="str">
            <v>91-480 MALAKOLE ST.</v>
          </cell>
          <cell r="E107" t="str">
            <v>KAPOLEI</v>
          </cell>
          <cell r="F107" t="str">
            <v>HI</v>
          </cell>
        </row>
        <row r="108">
          <cell r="A108" t="str">
            <v>NEI26533</v>
          </cell>
          <cell r="B108" t="str">
            <v>15003</v>
          </cell>
          <cell r="C108" t="str">
            <v>Tesoro - Campbell Industrial Park, Barber's Pt. Harbor Loading Facility</v>
          </cell>
          <cell r="D108" t="str">
            <v>91-325 Komohana Street</v>
          </cell>
          <cell r="E108" t="str">
            <v>Kapolei</v>
          </cell>
          <cell r="F108" t="str">
            <v>HI</v>
          </cell>
        </row>
        <row r="109">
          <cell r="A109" t="str">
            <v>NEIIL1639688</v>
          </cell>
          <cell r="B109" t="str">
            <v>17163</v>
          </cell>
          <cell r="C109" t="str">
            <v>STEIN BROS. OIL INC</v>
          </cell>
          <cell r="D109" t="str">
            <v>326 Centerville Ave</v>
          </cell>
          <cell r="E109" t="str">
            <v>Belleville</v>
          </cell>
          <cell r="F109" t="str">
            <v>IL</v>
          </cell>
        </row>
        <row r="110">
          <cell r="A110" t="str">
            <v>NEI53718</v>
          </cell>
          <cell r="B110" t="str">
            <v>17197</v>
          </cell>
          <cell r="C110" t="str">
            <v>EXXONMOBIL OIL CORP. JOLIET REFY.</v>
          </cell>
          <cell r="D110" t="str">
            <v>25915 S. E. FRONTAGE RD.</v>
          </cell>
          <cell r="E110" t="str">
            <v>CHANNAHON</v>
          </cell>
          <cell r="F110" t="str">
            <v>IL</v>
          </cell>
        </row>
        <row r="111">
          <cell r="A111" t="str">
            <v>NEIIL1190AAM</v>
          </cell>
          <cell r="B111" t="str">
            <v>17119</v>
          </cell>
          <cell r="C111" t="str">
            <v>KINDER MORGAN TRANSMIX CO LLC</v>
          </cell>
          <cell r="D111" t="str">
            <v>551 Canal Rd</v>
          </cell>
          <cell r="E111" t="str">
            <v>Hartford</v>
          </cell>
          <cell r="F111" t="str">
            <v>IL</v>
          </cell>
        </row>
        <row r="112">
          <cell r="A112" t="str">
            <v>NEI52159</v>
          </cell>
          <cell r="B112" t="str">
            <v>17119</v>
          </cell>
          <cell r="C112" t="str">
            <v>PREMCOR REFINING GROUP INC</v>
          </cell>
          <cell r="D112" t="str">
            <v>201 E Hawthorne</v>
          </cell>
          <cell r="E112" t="str">
            <v>Hartford</v>
          </cell>
          <cell r="F112" t="str">
            <v>IL</v>
          </cell>
        </row>
        <row r="113">
          <cell r="A113" t="str">
            <v>NEI53718</v>
          </cell>
          <cell r="B113" t="str">
            <v>17197</v>
          </cell>
          <cell r="C113" t="str">
            <v>EXXONMOBIL OIL CORP</v>
          </cell>
          <cell r="D113" t="str">
            <v>Interstate 55 &amp; Arsenal Rd</v>
          </cell>
          <cell r="E113" t="str">
            <v>Joliet</v>
          </cell>
          <cell r="F113" t="str">
            <v>IL</v>
          </cell>
        </row>
        <row r="114">
          <cell r="A114" t="str">
            <v>NEI53702</v>
          </cell>
          <cell r="B114" t="str">
            <v>17197</v>
          </cell>
          <cell r="C114" t="str">
            <v>CITGO PETROLEUM CORP</v>
          </cell>
          <cell r="D114" t="str">
            <v>135th St and New Ave</v>
          </cell>
          <cell r="E114" t="str">
            <v>Lemont</v>
          </cell>
          <cell r="F114" t="str">
            <v>IL</v>
          </cell>
        </row>
        <row r="115">
          <cell r="A115" t="str">
            <v>NEI53702</v>
          </cell>
          <cell r="B115" t="str">
            <v>17197</v>
          </cell>
          <cell r="C115" t="str">
            <v>PDV MIDWEST REFINING L.L.C. LEMONT REFY.</v>
          </cell>
          <cell r="D115" t="str">
            <v>135TH ST. &amp; NEW AVE.</v>
          </cell>
          <cell r="E115" t="str">
            <v>LEMONT</v>
          </cell>
          <cell r="F115" t="str">
            <v>IL</v>
          </cell>
        </row>
        <row r="116">
          <cell r="A116" t="str">
            <v>NEIIL1439478</v>
          </cell>
          <cell r="B116" t="str">
            <v>17143</v>
          </cell>
          <cell r="C116" t="str">
            <v>EQUILON ENTERPRISES LLC</v>
          </cell>
          <cell r="D116" t="str">
            <v>201 S Levee Rd</v>
          </cell>
          <cell r="E116" t="str">
            <v>Pekin</v>
          </cell>
          <cell r="F116" t="str">
            <v>IL</v>
          </cell>
        </row>
        <row r="117">
          <cell r="A117" t="str">
            <v>NEI49781</v>
          </cell>
          <cell r="B117" t="str">
            <v>17033</v>
          </cell>
          <cell r="C117" t="str">
            <v>MARATHON ASHLAND PETROLEUM L.L.C. ILLINOIS REFINING DIV.</v>
          </cell>
          <cell r="D117" t="str">
            <v>100 MARATHON AVE.</v>
          </cell>
          <cell r="E117" t="str">
            <v>ROBINSON</v>
          </cell>
          <cell r="F117" t="str">
            <v>IL</v>
          </cell>
        </row>
        <row r="118">
          <cell r="A118" t="str">
            <v>NEI49781</v>
          </cell>
          <cell r="B118" t="str">
            <v>17033</v>
          </cell>
          <cell r="C118" t="str">
            <v>MARATHON ASHLAND PETROLEUM LLC</v>
          </cell>
          <cell r="D118" t="str">
            <v>100 Marathon Ave</v>
          </cell>
          <cell r="E118" t="str">
            <v>Robinson</v>
          </cell>
          <cell r="F118" t="str">
            <v>IL</v>
          </cell>
        </row>
        <row r="119">
          <cell r="A119" t="str">
            <v>NEI55835</v>
          </cell>
          <cell r="B119" t="str">
            <v>17119</v>
          </cell>
          <cell r="C119" t="str">
            <v>CONOCOPHILLIPS WOOD RIVER REFY.</v>
          </cell>
          <cell r="D119" t="str">
            <v>900 S. CENTRAL AVE.</v>
          </cell>
          <cell r="E119" t="str">
            <v>ROXANA</v>
          </cell>
          <cell r="F119" t="str">
            <v>IL</v>
          </cell>
        </row>
        <row r="120">
          <cell r="A120" t="str">
            <v>NEI55835</v>
          </cell>
          <cell r="B120" t="str">
            <v>17119</v>
          </cell>
          <cell r="C120" t="str">
            <v>TOSCOPETRO CORP</v>
          </cell>
          <cell r="D120" t="str">
            <v>900 S Central Ave</v>
          </cell>
          <cell r="E120" t="str">
            <v>Roxana</v>
          </cell>
          <cell r="F120" t="str">
            <v>IL</v>
          </cell>
        </row>
        <row r="121">
          <cell r="A121" t="str">
            <v>NEIIL0316666</v>
          </cell>
          <cell r="B121" t="str">
            <v>17031</v>
          </cell>
          <cell r="C121" t="str">
            <v>DUSSEK CAMPBELL INC</v>
          </cell>
          <cell r="D121" t="str">
            <v>3650 Touhy Ave</v>
          </cell>
          <cell r="E121" t="str">
            <v>Skokie</v>
          </cell>
          <cell r="F121" t="str">
            <v>IL</v>
          </cell>
        </row>
        <row r="122">
          <cell r="A122" t="str">
            <v>NEIIN00205</v>
          </cell>
          <cell r="B122" t="str">
            <v>18089</v>
          </cell>
          <cell r="C122" t="str">
            <v>BP PRODUCTS N.A. INC- HAMMOND TANK FARM</v>
          </cell>
          <cell r="D122" t="str">
            <v>2815 INDIANAPOLIS BLVD</v>
          </cell>
          <cell r="E122" t="str">
            <v>HAMMOND</v>
          </cell>
          <cell r="F122" t="str">
            <v>IN</v>
          </cell>
        </row>
        <row r="123">
          <cell r="A123" t="str">
            <v>NEI32353</v>
          </cell>
          <cell r="B123" t="str">
            <v>18129</v>
          </cell>
          <cell r="C123" t="str">
            <v>COUNTRYMARK COOPERATIVE, INC (REFINERY)</v>
          </cell>
          <cell r="D123" t="str">
            <v>1200 REFINERY RD</v>
          </cell>
          <cell r="E123" t="str">
            <v>MOUNT VERNON</v>
          </cell>
          <cell r="F123" t="str">
            <v>IN</v>
          </cell>
        </row>
        <row r="124">
          <cell r="A124" t="str">
            <v>NEIIN00037</v>
          </cell>
          <cell r="B124" t="str">
            <v>18129</v>
          </cell>
          <cell r="C124" t="str">
            <v>COUNTRYMARK COOPERATIVE, INC (RIVERDOCK)</v>
          </cell>
          <cell r="D124" t="str">
            <v>S. MANN RD &amp; OHIO ST.</v>
          </cell>
          <cell r="E124" t="str">
            <v>MOUNT VERNON</v>
          </cell>
          <cell r="F124" t="str">
            <v>IN</v>
          </cell>
        </row>
        <row r="125">
          <cell r="A125" t="str">
            <v>NEI11715</v>
          </cell>
          <cell r="B125" t="str">
            <v>18089</v>
          </cell>
          <cell r="C125" t="str">
            <v>Amoco Oil Co.</v>
          </cell>
          <cell r="D125" t="str">
            <v>2815 INDIANAPOLIS BOULEVARD</v>
          </cell>
          <cell r="E125" t="str">
            <v>Whiting</v>
          </cell>
          <cell r="F125" t="str">
            <v>IN</v>
          </cell>
        </row>
        <row r="126">
          <cell r="A126" t="str">
            <v>NEIIN089172</v>
          </cell>
          <cell r="B126" t="str">
            <v>18089</v>
          </cell>
          <cell r="C126" t="str">
            <v>BP PRODUCTS N.A. INC. - WHITING TERMINAL</v>
          </cell>
          <cell r="D126" t="str">
            <v>2530 INDPLS BLVD</v>
          </cell>
          <cell r="E126" t="str">
            <v>WHITING</v>
          </cell>
          <cell r="F126" t="str">
            <v>IN</v>
          </cell>
        </row>
        <row r="127">
          <cell r="A127" t="str">
            <v>NEI11715</v>
          </cell>
          <cell r="B127" t="str">
            <v>18089</v>
          </cell>
          <cell r="C127" t="str">
            <v>BP PRODUCTS NORTH AMERICA INC, WHITING R</v>
          </cell>
          <cell r="D127" t="str">
            <v>2815 INDIANAPOLIS BLVD.</v>
          </cell>
          <cell r="E127" t="str">
            <v>WHITING</v>
          </cell>
          <cell r="F127" t="str">
            <v>IN</v>
          </cell>
        </row>
        <row r="128">
          <cell r="A128" t="str">
            <v>NEI2KS125003</v>
          </cell>
          <cell r="B128" t="str">
            <v>20125</v>
          </cell>
          <cell r="C128" t="str">
            <v>COFFEYVILLE RESOURCES REFIN. &amp; MKTNG.</v>
          </cell>
          <cell r="D128" t="str">
            <v>400 NORTH LINDEN</v>
          </cell>
          <cell r="E128" t="str">
            <v>COFFEYVILLE</v>
          </cell>
          <cell r="F128" t="str">
            <v>KS</v>
          </cell>
        </row>
        <row r="129">
          <cell r="A129" t="str">
            <v>NEI32812</v>
          </cell>
          <cell r="B129" t="str">
            <v>20125</v>
          </cell>
          <cell r="C129" t="str">
            <v>FARMLAND INDS. INC.</v>
          </cell>
          <cell r="D129" t="str">
            <v>NORTH &amp; LINDEN</v>
          </cell>
          <cell r="E129" t="str">
            <v>COFFEYVILLE</v>
          </cell>
          <cell r="F129" t="str">
            <v>KS</v>
          </cell>
        </row>
        <row r="130">
          <cell r="A130" t="str">
            <v>NEI32762</v>
          </cell>
          <cell r="B130" t="str">
            <v>20015</v>
          </cell>
          <cell r="C130" t="str">
            <v>FRONTIER EL DORADO REFINING CO.</v>
          </cell>
          <cell r="D130" t="str">
            <v>1401 S. DOUGLAS RD.</v>
          </cell>
          <cell r="E130" t="str">
            <v>EL DORADO</v>
          </cell>
          <cell r="F130" t="str">
            <v>KS</v>
          </cell>
        </row>
        <row r="131">
          <cell r="A131" t="str">
            <v>NEI32762</v>
          </cell>
          <cell r="B131" t="str">
            <v>20015</v>
          </cell>
          <cell r="C131" t="str">
            <v>FRONTIER EL DORADO REFINING COMPANY</v>
          </cell>
          <cell r="D131" t="str">
            <v>1401 S. DOUGLAS ROAD</v>
          </cell>
          <cell r="E131" t="str">
            <v>EL DORADO</v>
          </cell>
          <cell r="F131" t="str">
            <v>KS</v>
          </cell>
        </row>
        <row r="132">
          <cell r="A132" t="str">
            <v>NEI32801</v>
          </cell>
          <cell r="B132" t="str">
            <v>20113</v>
          </cell>
          <cell r="C132" t="str">
            <v>NATIONAL COOPERATIVE REFINERY ASSN</v>
          </cell>
          <cell r="D132" t="str">
            <v>1391 IRON HORSE ROAD</v>
          </cell>
          <cell r="E132" t="str">
            <v>MC PHERSON</v>
          </cell>
          <cell r="F132" t="str">
            <v>KS</v>
          </cell>
        </row>
        <row r="133">
          <cell r="A133" t="str">
            <v>NEI32801</v>
          </cell>
          <cell r="B133" t="str">
            <v>20113</v>
          </cell>
          <cell r="C133" t="str">
            <v>NATIONAL COOP. REFY. ASSOC.</v>
          </cell>
          <cell r="D133" t="str">
            <v>1391 IRON HORSE RD.</v>
          </cell>
          <cell r="E133" t="str">
            <v>MCPHERSON</v>
          </cell>
          <cell r="F133" t="str">
            <v>KS</v>
          </cell>
        </row>
        <row r="134">
          <cell r="A134" t="str">
            <v>NEI2KY300020</v>
          </cell>
          <cell r="B134" t="str">
            <v>21053</v>
          </cell>
          <cell r="C134" t="str">
            <v>MILLENNIUM FUELS II</v>
          </cell>
          <cell r="D134" t="str">
            <v>HWY 738</v>
          </cell>
          <cell r="E134" t="str">
            <v>ALBANY</v>
          </cell>
          <cell r="F134" t="str">
            <v>KY</v>
          </cell>
        </row>
        <row r="135">
          <cell r="A135" t="str">
            <v>NEIKY0530012</v>
          </cell>
          <cell r="B135" t="str">
            <v>21053</v>
          </cell>
          <cell r="C135" t="str">
            <v>WILCO REFINING LLC</v>
          </cell>
          <cell r="D135" t="str">
            <v>RT 2, BOX 473</v>
          </cell>
          <cell r="E135" t="str">
            <v>ALBANY</v>
          </cell>
          <cell r="F135" t="str">
            <v>KY</v>
          </cell>
        </row>
        <row r="136">
          <cell r="A136" t="str">
            <v>NEIKY0710090</v>
          </cell>
          <cell r="B136" t="str">
            <v>21071</v>
          </cell>
          <cell r="C136" t="str">
            <v>KENTUCKY OIL &amp; REFINING</v>
          </cell>
          <cell r="D136" t="str">
            <v>155 KY OIL VILLAGE</v>
          </cell>
          <cell r="E136" t="str">
            <v>BETSY LAYNE</v>
          </cell>
          <cell r="F136" t="str">
            <v>KY</v>
          </cell>
        </row>
        <row r="137">
          <cell r="A137" t="str">
            <v>NEI32864</v>
          </cell>
          <cell r="B137" t="str">
            <v>21019</v>
          </cell>
          <cell r="C137" t="str">
            <v>CATLETTSBURG REFINING L.L.C.</v>
          </cell>
          <cell r="D137" t="str">
            <v>11631 U.S. RTE. 23</v>
          </cell>
          <cell r="E137" t="str">
            <v>CATLETTSBURG</v>
          </cell>
          <cell r="F137" t="str">
            <v>KY</v>
          </cell>
        </row>
        <row r="138">
          <cell r="A138" t="str">
            <v>NEI32864</v>
          </cell>
          <cell r="B138" t="str">
            <v>21019</v>
          </cell>
          <cell r="C138" t="str">
            <v>MARATHON ASHLAND PET LLC</v>
          </cell>
          <cell r="D138" t="str">
            <v>11631 US ROUTE 23</v>
          </cell>
          <cell r="E138" t="str">
            <v>CATLETTSBURG</v>
          </cell>
          <cell r="F138" t="str">
            <v>KY</v>
          </cell>
        </row>
        <row r="139">
          <cell r="A139" t="str">
            <v>NEI32997</v>
          </cell>
          <cell r="B139" t="str">
            <v>21199</v>
          </cell>
          <cell r="C139" t="str">
            <v>SOMERSET REFINERY INC</v>
          </cell>
          <cell r="D139" t="str">
            <v>600 MONTICELLO RD</v>
          </cell>
          <cell r="E139" t="str">
            <v>SOMERSET</v>
          </cell>
          <cell r="F139" t="str">
            <v>KY</v>
          </cell>
        </row>
        <row r="140">
          <cell r="A140" t="str">
            <v>NEI32997</v>
          </cell>
          <cell r="B140" t="str">
            <v>21199</v>
          </cell>
          <cell r="C140" t="str">
            <v>SOMERSET REFY. INC.</v>
          </cell>
          <cell r="D140" t="str">
            <v>501 REFINERY RD.</v>
          </cell>
          <cell r="E140" t="str">
            <v>SOMERSET</v>
          </cell>
          <cell r="F140" t="str">
            <v>KY</v>
          </cell>
        </row>
        <row r="141">
          <cell r="A141" t="str">
            <v>NEI6022</v>
          </cell>
          <cell r="B141" t="str">
            <v>22033</v>
          </cell>
          <cell r="C141" t="str">
            <v>EXXONMOBIL REF &amp; SUPPLY CO/B R REFINERY</v>
          </cell>
          <cell r="D141" t="str">
            <v>4045 SCENIC HWY</v>
          </cell>
          <cell r="E141" t="str">
            <v>BATON ROUGE</v>
          </cell>
          <cell r="F141" t="str">
            <v>LA</v>
          </cell>
        </row>
        <row r="142">
          <cell r="A142" t="str">
            <v>NEI6022</v>
          </cell>
          <cell r="B142" t="str">
            <v>22033</v>
          </cell>
          <cell r="C142" t="str">
            <v>EXXONMOBIL REFINING &amp; SUPPLY BATON ROUGE REFY.</v>
          </cell>
          <cell r="D142" t="str">
            <v>4045 SCENIC HWY.</v>
          </cell>
          <cell r="E142" t="str">
            <v>BATON ROUGE</v>
          </cell>
          <cell r="F142" t="str">
            <v>LA</v>
          </cell>
        </row>
        <row r="143">
          <cell r="A143" t="str">
            <v>NEI6116</v>
          </cell>
          <cell r="B143" t="str">
            <v>22075</v>
          </cell>
          <cell r="C143" t="str">
            <v>CONOCOPHILLIPS CO. ALLIANCE REFY.</v>
          </cell>
          <cell r="D143" t="str">
            <v>15551 HWY. 23</v>
          </cell>
          <cell r="E143" t="str">
            <v>BELLE CHASSE</v>
          </cell>
          <cell r="F143" t="str">
            <v>LA</v>
          </cell>
        </row>
        <row r="144">
          <cell r="A144" t="str">
            <v>NEI6116</v>
          </cell>
          <cell r="B144" t="str">
            <v>22075</v>
          </cell>
          <cell r="C144" t="str">
            <v>CONOCOPHILLIPS CO/ALLIANCE REFINERY</v>
          </cell>
          <cell r="D144" t="str">
            <v>15551 HWY 23 S</v>
          </cell>
          <cell r="E144" t="str">
            <v>BELLE CHASSE</v>
          </cell>
          <cell r="F144" t="str">
            <v>LA</v>
          </cell>
        </row>
        <row r="145">
          <cell r="A145" t="str">
            <v>NEI6123</v>
          </cell>
          <cell r="B145" t="str">
            <v>22087</v>
          </cell>
          <cell r="C145" t="str">
            <v>CHALMETTE REFINERY LLC./CHALMETTE REFINERY</v>
          </cell>
          <cell r="D145" t="str">
            <v>500 W. ST. BERNARD HWY</v>
          </cell>
          <cell r="E145" t="str">
            <v>CHALMETTE</v>
          </cell>
          <cell r="F145" t="str">
            <v>LA</v>
          </cell>
        </row>
        <row r="146">
          <cell r="A146" t="str">
            <v>NEI6123</v>
          </cell>
          <cell r="B146" t="str">
            <v>22087</v>
          </cell>
          <cell r="C146" t="str">
            <v>CHALMETTE REFINING L.L.C.</v>
          </cell>
          <cell r="D146" t="str">
            <v>500 W. ST. BERNARD HWY.</v>
          </cell>
          <cell r="E146" t="str">
            <v>CHALMETTE</v>
          </cell>
          <cell r="F146" t="str">
            <v>LA</v>
          </cell>
        </row>
        <row r="147">
          <cell r="A147" t="str">
            <v>NEI6084</v>
          </cell>
          <cell r="B147" t="str">
            <v>22093</v>
          </cell>
          <cell r="C147" t="str">
            <v>CONVENT REFY.</v>
          </cell>
          <cell r="D147" t="str">
            <v>FOOT OF SUNSHINE BRIDGE  LA HWY. 44</v>
          </cell>
          <cell r="E147" t="str">
            <v>CONVENT</v>
          </cell>
          <cell r="F147" t="str">
            <v>LA</v>
          </cell>
        </row>
        <row r="148">
          <cell r="A148" t="str">
            <v>NEI6084</v>
          </cell>
          <cell r="B148" t="str">
            <v>22093</v>
          </cell>
          <cell r="C148" t="str">
            <v>MOTIVA ENTERPRISES,LLC/CONVENT</v>
          </cell>
          <cell r="D148" t="str">
            <v>HWY 70 &amp; HWY 44</v>
          </cell>
          <cell r="E148" t="str">
            <v>CONVENT</v>
          </cell>
          <cell r="F148" t="str">
            <v>LA</v>
          </cell>
        </row>
        <row r="149">
          <cell r="A149" t="str">
            <v>NEILA0930036</v>
          </cell>
          <cell r="B149" t="str">
            <v>22093</v>
          </cell>
          <cell r="C149" t="str">
            <v>MOTIVA ENTERPRISES,LLC/CONVENT</v>
          </cell>
          <cell r="D149" t="str">
            <v>HY 44 @ HWYS 70 &amp; 44</v>
          </cell>
          <cell r="E149" t="str">
            <v>CONVENT</v>
          </cell>
          <cell r="F149" t="str">
            <v>LA</v>
          </cell>
        </row>
        <row r="150">
          <cell r="A150" t="str">
            <v>NEI33039</v>
          </cell>
          <cell r="B150" t="str">
            <v>22119</v>
          </cell>
          <cell r="C150" t="str">
            <v>CALUMET LUBRICANTS CO. L.P. CALUMET COTTON VALLEY</v>
          </cell>
          <cell r="D150" t="str">
            <v>1756 OLD HWY. 7</v>
          </cell>
          <cell r="E150" t="str">
            <v>COTTON VALLEY</v>
          </cell>
          <cell r="F150" t="str">
            <v>LA</v>
          </cell>
        </row>
        <row r="151">
          <cell r="A151" t="str">
            <v>NEI33039</v>
          </cell>
          <cell r="B151" t="str">
            <v>22119</v>
          </cell>
          <cell r="C151" t="str">
            <v>CALUMET LUBRICANTS CO/COTTON VALLEY PLANT</v>
          </cell>
          <cell r="D151" t="str">
            <v>1756 OLD HWY 7</v>
          </cell>
          <cell r="E151" t="str">
            <v>COTTON VALLEY</v>
          </cell>
          <cell r="F151" t="str">
            <v>LA</v>
          </cell>
        </row>
        <row r="152">
          <cell r="A152" t="str">
            <v>NEI6095</v>
          </cell>
          <cell r="B152" t="str">
            <v>22089</v>
          </cell>
          <cell r="C152" t="str">
            <v>ORION REFINING CORP</v>
          </cell>
          <cell r="D152" t="str">
            <v>14902 RIVER RD</v>
          </cell>
          <cell r="E152" t="str">
            <v>DESTREHAN</v>
          </cell>
          <cell r="F152" t="str">
            <v>LA</v>
          </cell>
        </row>
        <row r="153">
          <cell r="A153" t="str">
            <v>NEI6087</v>
          </cell>
          <cell r="B153" t="str">
            <v>22095</v>
          </cell>
          <cell r="C153" t="str">
            <v>MARATHON ASHLAND PETROLEUM L.L.C.</v>
          </cell>
          <cell r="D153" t="str">
            <v>HWY. 61 &amp; MARATHON AVE.</v>
          </cell>
          <cell r="E153" t="str">
            <v>GARYVILLE</v>
          </cell>
          <cell r="F153" t="str">
            <v>LA</v>
          </cell>
        </row>
        <row r="154">
          <cell r="A154" t="str">
            <v>NEI6087</v>
          </cell>
          <cell r="B154" t="str">
            <v>22095</v>
          </cell>
          <cell r="C154" t="str">
            <v>MARATHON ASHLAND PETROLEUM LLC/LA REFINING DIV</v>
          </cell>
          <cell r="D154" t="str">
            <v>E. BANK OF MS RIVER</v>
          </cell>
          <cell r="E154" t="str">
            <v>GARYVILLE</v>
          </cell>
          <cell r="F154" t="str">
            <v>LA</v>
          </cell>
        </row>
        <row r="155">
          <cell r="A155" t="str">
            <v>NEI6136</v>
          </cell>
          <cell r="B155" t="str">
            <v>22097</v>
          </cell>
          <cell r="C155" t="str">
            <v>VALERO REFINING CO. LOUISIANA</v>
          </cell>
          <cell r="D155" t="str">
            <v>HWY. 105 S.</v>
          </cell>
          <cell r="E155" t="str">
            <v>KROTZ SPRINGS</v>
          </cell>
          <cell r="F155" t="str">
            <v>LA</v>
          </cell>
        </row>
        <row r="156">
          <cell r="A156" t="str">
            <v>NEI6136</v>
          </cell>
          <cell r="B156" t="str">
            <v>22097</v>
          </cell>
          <cell r="C156" t="str">
            <v>VALERO REFINING CO/KROTZ SPRINGS REFINERY</v>
          </cell>
          <cell r="D156" t="str">
            <v>HIGHWAY 105 SOUTH</v>
          </cell>
          <cell r="E156" t="str">
            <v>KROTZ SPRINGS</v>
          </cell>
          <cell r="F156" t="str">
            <v>LA</v>
          </cell>
        </row>
        <row r="157">
          <cell r="A157" t="str">
            <v>NEI33009</v>
          </cell>
          <cell r="B157" t="str">
            <v>22019</v>
          </cell>
          <cell r="C157" t="str">
            <v>AMERICAN INT'L REFINERY INC/LAKE CHARLES</v>
          </cell>
          <cell r="D157" t="str">
            <v>4646 LA HWY 3059</v>
          </cell>
          <cell r="E157" t="str">
            <v>LAKE CHARLES</v>
          </cell>
          <cell r="F157" t="str">
            <v>LA</v>
          </cell>
        </row>
        <row r="158">
          <cell r="A158" t="str">
            <v>NEI33010</v>
          </cell>
          <cell r="B158" t="str">
            <v>22019</v>
          </cell>
          <cell r="C158" t="str">
            <v>CALCASIEU REFINING CO</v>
          </cell>
          <cell r="D158" t="str">
            <v>4359 W TANK FARM RD</v>
          </cell>
          <cell r="E158" t="str">
            <v>LAKE CHARLES</v>
          </cell>
          <cell r="F158" t="str">
            <v>LA</v>
          </cell>
        </row>
        <row r="159">
          <cell r="A159" t="str">
            <v>NEI33010</v>
          </cell>
          <cell r="B159" t="str">
            <v>22019</v>
          </cell>
          <cell r="C159" t="str">
            <v>CALCASIEU REFINING CO.</v>
          </cell>
          <cell r="D159" t="str">
            <v>4359 W. TANK FARM RD.</v>
          </cell>
          <cell r="E159" t="str">
            <v>LAKE CHARLES</v>
          </cell>
          <cell r="F159" t="str">
            <v>LA</v>
          </cell>
        </row>
        <row r="160">
          <cell r="A160" t="str">
            <v>NEI6166</v>
          </cell>
          <cell r="B160" t="str">
            <v>22019</v>
          </cell>
          <cell r="C160" t="str">
            <v>CITGO PETROLEUM CORP.</v>
          </cell>
          <cell r="D160" t="str">
            <v>4401 HWY. 108</v>
          </cell>
          <cell r="E160" t="str">
            <v>LAKE CHARLES</v>
          </cell>
          <cell r="F160" t="str">
            <v>LA</v>
          </cell>
        </row>
        <row r="161">
          <cell r="A161" t="str">
            <v>NEILAT$10506</v>
          </cell>
          <cell r="B161" t="str">
            <v>22051</v>
          </cell>
          <cell r="C161" t="str">
            <v>CHEVRONTEXACO USED OIL RECYCLING PLANT</v>
          </cell>
          <cell r="D161" t="str">
            <v>5000 RIVER RD.</v>
          </cell>
          <cell r="E161" t="str">
            <v>MARRERO</v>
          </cell>
          <cell r="F161" t="str">
            <v>LA</v>
          </cell>
        </row>
        <row r="162">
          <cell r="A162" t="str">
            <v>NEI6127</v>
          </cell>
          <cell r="B162" t="str">
            <v>22087</v>
          </cell>
          <cell r="C162" t="str">
            <v>MURPHY OIL USA INC. MERAUX REFY.</v>
          </cell>
          <cell r="D162" t="str">
            <v>2500 E. ST. BERNARD HWY.</v>
          </cell>
          <cell r="E162" t="str">
            <v>MERAUX</v>
          </cell>
          <cell r="F162" t="str">
            <v>LA</v>
          </cell>
        </row>
        <row r="163">
          <cell r="A163" t="str">
            <v>NEI6127</v>
          </cell>
          <cell r="B163" t="str">
            <v>22087</v>
          </cell>
          <cell r="C163" t="str">
            <v>MURPHY OIL USA, INC./MERAUX REFINERY</v>
          </cell>
          <cell r="D163" t="str">
            <v>2500 E ST. BERNARD HWY</v>
          </cell>
          <cell r="E163" t="str">
            <v>MERAUX</v>
          </cell>
          <cell r="F163" t="str">
            <v>LA</v>
          </cell>
        </row>
        <row r="164">
          <cell r="A164" t="str">
            <v>NEILA0530030</v>
          </cell>
          <cell r="B164" t="str">
            <v>22053</v>
          </cell>
          <cell r="C164" t="str">
            <v>EL PASO FLD SRVCS CO/MERMENTAU</v>
          </cell>
          <cell r="D164" t="str">
            <v>HWY 90 @ CAMPBELL WELLS</v>
          </cell>
          <cell r="E164" t="str">
            <v>MERMENTAU</v>
          </cell>
          <cell r="F164" t="str">
            <v>LA</v>
          </cell>
        </row>
        <row r="165">
          <cell r="A165" t="str">
            <v>NEI6095</v>
          </cell>
          <cell r="B165" t="str">
            <v>22089</v>
          </cell>
          <cell r="C165" t="str">
            <v>ORION REFINING CORP.</v>
          </cell>
          <cell r="D165" t="str">
            <v>14902 RIVER RD.</v>
          </cell>
          <cell r="E165" t="str">
            <v>NEW SARPY</v>
          </cell>
          <cell r="F165" t="str">
            <v>LA</v>
          </cell>
        </row>
        <row r="166">
          <cell r="A166" t="str">
            <v>NEI33031</v>
          </cell>
          <cell r="B166" t="str">
            <v>22089</v>
          </cell>
          <cell r="C166" t="str">
            <v>MOTIVA ENTERPRISES L.L.C.</v>
          </cell>
          <cell r="D166" t="str">
            <v>15536 RIVER RD.</v>
          </cell>
          <cell r="E166" t="str">
            <v>NORCO</v>
          </cell>
          <cell r="F166" t="str">
            <v>LA</v>
          </cell>
        </row>
        <row r="167">
          <cell r="A167" t="str">
            <v>NEI33031</v>
          </cell>
          <cell r="B167" t="str">
            <v>22089</v>
          </cell>
          <cell r="C167" t="str">
            <v>MOTIVA ENTERPRISES LLC/NORCO REFINERY</v>
          </cell>
          <cell r="D167" t="str">
            <v>HWY 61 W OF</v>
          </cell>
          <cell r="E167" t="str">
            <v>NORCO</v>
          </cell>
          <cell r="F167" t="str">
            <v>LA</v>
          </cell>
        </row>
        <row r="168">
          <cell r="A168" t="str">
            <v>NEI6130</v>
          </cell>
          <cell r="B168" t="str">
            <v>22121</v>
          </cell>
          <cell r="C168" t="str">
            <v>PLACID REFINING CO LLC/PT ALLEN</v>
          </cell>
          <cell r="D168" t="str">
            <v>1940 LA HWY 1, NORTH</v>
          </cell>
          <cell r="E168" t="str">
            <v>PORT ALLEN</v>
          </cell>
          <cell r="F168" t="str">
            <v>LA</v>
          </cell>
        </row>
        <row r="169">
          <cell r="A169" t="str">
            <v>NEI33007</v>
          </cell>
          <cell r="B169" t="str">
            <v>22015</v>
          </cell>
          <cell r="C169" t="str">
            <v>CALUMET LUBRICANTS CO. L.P.</v>
          </cell>
          <cell r="D169" t="str">
            <v>10234 HWY. 157</v>
          </cell>
          <cell r="E169" t="str">
            <v>PRINCETON</v>
          </cell>
          <cell r="F169" t="str">
            <v>LA</v>
          </cell>
        </row>
        <row r="170">
          <cell r="A170" t="str">
            <v>NEI33007</v>
          </cell>
          <cell r="B170" t="str">
            <v>22015</v>
          </cell>
          <cell r="C170" t="str">
            <v>CALUMET LUBRICANTS CO/PRINCETON REFINERY</v>
          </cell>
          <cell r="D170" t="str">
            <v>10234 HWY 157</v>
          </cell>
          <cell r="E170" t="str">
            <v>PRINCETON</v>
          </cell>
          <cell r="F170" t="str">
            <v>LA</v>
          </cell>
        </row>
        <row r="171">
          <cell r="A171" t="str">
            <v>NEI6018</v>
          </cell>
          <cell r="B171" t="str">
            <v>22089</v>
          </cell>
          <cell r="C171" t="str">
            <v>SHELL CHEMICAL L.P.  ST. ROSE FACILITY</v>
          </cell>
          <cell r="D171" t="str">
            <v>11842 RIVER RD. LOT 2</v>
          </cell>
          <cell r="E171" t="str">
            <v>SAINT ROSE</v>
          </cell>
          <cell r="F171" t="str">
            <v>LA</v>
          </cell>
        </row>
        <row r="172">
          <cell r="A172" t="str">
            <v>NEI33008</v>
          </cell>
          <cell r="B172" t="str">
            <v>22017</v>
          </cell>
          <cell r="C172" t="str">
            <v>CALUMET LUBRICANTS CO/SHREVEPORT REFINERY</v>
          </cell>
          <cell r="D172" t="str">
            <v>3333 MIDWAY</v>
          </cell>
          <cell r="E172" t="str">
            <v>SHREVEPORT</v>
          </cell>
          <cell r="F172" t="str">
            <v>LA</v>
          </cell>
        </row>
        <row r="173">
          <cell r="A173" t="str">
            <v>NEI6018</v>
          </cell>
          <cell r="B173" t="str">
            <v>22089</v>
          </cell>
          <cell r="C173" t="str">
            <v>SHELL CHEMICAL LP/ST. ROSE REFINERY</v>
          </cell>
          <cell r="D173" t="str">
            <v>11842 RIVER RD</v>
          </cell>
          <cell r="E173" t="str">
            <v>ST. ROSE</v>
          </cell>
          <cell r="F173" t="str">
            <v>LA</v>
          </cell>
        </row>
        <row r="174">
          <cell r="A174" t="str">
            <v>NEI6166</v>
          </cell>
          <cell r="B174" t="str">
            <v>22019</v>
          </cell>
          <cell r="C174" t="str">
            <v>CITGO PETROLEUM CORP/LAKE CHARLES MFG CMPLX</v>
          </cell>
          <cell r="D174" t="str">
            <v>2 MI S</v>
          </cell>
          <cell r="E174" t="str">
            <v>SULPHUR</v>
          </cell>
          <cell r="F174" t="str">
            <v>LA</v>
          </cell>
        </row>
        <row r="175">
          <cell r="A175" t="str">
            <v>NEILA1210056</v>
          </cell>
          <cell r="B175" t="str">
            <v>22121</v>
          </cell>
          <cell r="C175" t="str">
            <v>EXXONMOBIL REF &amp; SUPPLY CO/ANCHORAGE TNK FRM</v>
          </cell>
          <cell r="D175" t="str">
            <v>HWY 1</v>
          </cell>
          <cell r="E175" t="str">
            <v>SUNRISE</v>
          </cell>
          <cell r="F175" t="str">
            <v>LA</v>
          </cell>
        </row>
        <row r="176">
          <cell r="A176" t="str">
            <v>NEI6062</v>
          </cell>
          <cell r="B176" t="str">
            <v>22019</v>
          </cell>
          <cell r="C176" t="str">
            <v>CONOCOPHILLIPS LAKE CHARLES REFY.</v>
          </cell>
          <cell r="D176" t="str">
            <v>2200 OLD SPANISH TRAIL</v>
          </cell>
          <cell r="E176" t="str">
            <v>WESTLAKE</v>
          </cell>
          <cell r="F176" t="str">
            <v>LA</v>
          </cell>
        </row>
        <row r="177">
          <cell r="A177" t="str">
            <v>NEI6062</v>
          </cell>
          <cell r="B177" t="str">
            <v>22019</v>
          </cell>
          <cell r="C177" t="str">
            <v>CONOCOPHILLIPS/LAKE CHARLES REFINERY</v>
          </cell>
          <cell r="D177" t="str">
            <v>2200 OLD SPANISH TRAIL</v>
          </cell>
          <cell r="E177" t="str">
            <v>WESTLAKE</v>
          </cell>
          <cell r="F177" t="str">
            <v>LA</v>
          </cell>
        </row>
        <row r="178">
          <cell r="A178" t="str">
            <v>NEI11885</v>
          </cell>
          <cell r="B178" t="str">
            <v>26163</v>
          </cell>
          <cell r="C178" t="str">
            <v>MARATHON ASHLAND PETROLEUM</v>
          </cell>
          <cell r="D178" t="str">
            <v>1300 S  FORT ST</v>
          </cell>
          <cell r="E178" t="str">
            <v>DETROIT</v>
          </cell>
          <cell r="F178" t="str">
            <v>MI</v>
          </cell>
        </row>
        <row r="179">
          <cell r="A179" t="str">
            <v>NEI11885</v>
          </cell>
          <cell r="B179" t="str">
            <v>26163</v>
          </cell>
          <cell r="C179" t="str">
            <v>MARATHON ASHLAND PETROLEUM L.L.C.</v>
          </cell>
          <cell r="D179" t="str">
            <v>1300 S. FORT ST. HES DEPARTMENT</v>
          </cell>
          <cell r="E179" t="str">
            <v>DETROIT</v>
          </cell>
          <cell r="F179" t="str">
            <v>MI</v>
          </cell>
        </row>
        <row r="180">
          <cell r="A180" t="str">
            <v>NEIMI137N583</v>
          </cell>
          <cell r="B180" t="str">
            <v>26137</v>
          </cell>
          <cell r="C180" t="str">
            <v>WILDERNESS ENERGY SERVICES (SEC. 29)</v>
          </cell>
          <cell r="D180" t="str">
            <v>SW4 T29N R4W SEC 29</v>
          </cell>
          <cell r="E180" t="str">
            <v>HAYES TWP</v>
          </cell>
          <cell r="F180" t="str">
            <v>MI</v>
          </cell>
        </row>
        <row r="181">
          <cell r="A181" t="str">
            <v>NEI2MIN6624</v>
          </cell>
          <cell r="B181" t="str">
            <v>26073</v>
          </cell>
          <cell r="C181" t="str">
            <v>TPI PETROLEUM, INC. ROOSEVELT SITE</v>
          </cell>
          <cell r="D181" t="str">
            <v>502 W PICKARD STREET</v>
          </cell>
          <cell r="E181" t="str">
            <v>MOUNT PLEASNT</v>
          </cell>
          <cell r="F181" t="str">
            <v>MI</v>
          </cell>
        </row>
        <row r="182">
          <cell r="A182" t="str">
            <v>NEIMN1600</v>
          </cell>
          <cell r="B182" t="str">
            <v>27163</v>
          </cell>
          <cell r="C182" t="str">
            <v>Marathon Ashland Petroleum - Cottage Gro</v>
          </cell>
          <cell r="D182" t="str">
            <v>85th St &amp; Granada Ave</v>
          </cell>
          <cell r="E182" t="str">
            <v>COTTAGE GROVE</v>
          </cell>
          <cell r="F182" t="str">
            <v>MN</v>
          </cell>
        </row>
        <row r="183">
          <cell r="A183" t="str">
            <v>NEI34022</v>
          </cell>
          <cell r="B183" t="str">
            <v>27037</v>
          </cell>
          <cell r="C183" t="str">
            <v>FLINT HILLS RESOURCES L.P.</v>
          </cell>
          <cell r="D183" t="str">
            <v>JUNCTION HWY. 52 &amp; HWY. 55</v>
          </cell>
          <cell r="E183" t="str">
            <v>INVER GROVE HEIGHTS</v>
          </cell>
          <cell r="F183" t="str">
            <v>MN</v>
          </cell>
        </row>
        <row r="184">
          <cell r="A184" t="str">
            <v>NEI34022</v>
          </cell>
          <cell r="B184" t="str">
            <v>27037</v>
          </cell>
          <cell r="C184" t="str">
            <v>Flint Hills Resources LP - Pine Bend</v>
          </cell>
          <cell r="D184" t="str">
            <v>Junctions 52 &amp; 55</v>
          </cell>
          <cell r="E184" t="str">
            <v>INVER GROVE HEIGHTS</v>
          </cell>
          <cell r="F184" t="str">
            <v>MN</v>
          </cell>
        </row>
        <row r="185">
          <cell r="A185" t="str">
            <v>NEI34050</v>
          </cell>
          <cell r="B185" t="str">
            <v>27163</v>
          </cell>
          <cell r="C185" t="str">
            <v>Marathon Ashland Petroleum LLC</v>
          </cell>
          <cell r="D185" t="str">
            <v>459 3rd St</v>
          </cell>
          <cell r="E185" t="str">
            <v>ST. PAUL PARK</v>
          </cell>
          <cell r="F185" t="str">
            <v>MN</v>
          </cell>
        </row>
        <row r="186">
          <cell r="A186" t="str">
            <v>NEI2MO1390</v>
          </cell>
          <cell r="B186" t="str">
            <v>29510</v>
          </cell>
          <cell r="C186" t="str">
            <v>ARTCO ST. LOUIS-ARTCO ST. LOUIS</v>
          </cell>
          <cell r="D186" t="str">
            <v>4528 S BROADWAY</v>
          </cell>
          <cell r="E186" t="str">
            <v>ST. LOUIS</v>
          </cell>
          <cell r="F186" t="str">
            <v>MO</v>
          </cell>
        </row>
        <row r="187">
          <cell r="A187" t="str">
            <v>NEI34062</v>
          </cell>
          <cell r="B187" t="str">
            <v>28073</v>
          </cell>
          <cell r="C187" t="str">
            <v>SOUTHLAND OIL COMPANY, LUMBERTON REFINER</v>
          </cell>
          <cell r="D187" t="str">
            <v>HIGHWAY 11 NORTH</v>
          </cell>
          <cell r="E187" t="str">
            <v>LUMBERTON</v>
          </cell>
          <cell r="F187" t="str">
            <v>MS</v>
          </cell>
        </row>
        <row r="188">
          <cell r="A188" t="str">
            <v>NEI34057</v>
          </cell>
          <cell r="B188" t="str">
            <v>28059</v>
          </cell>
          <cell r="C188" t="str">
            <v>CHEVRON PRODS. CO. PASCAGOULA REFY.</v>
          </cell>
          <cell r="D188" t="str">
            <v>250 INDUSTRIAL RD.</v>
          </cell>
          <cell r="E188" t="str">
            <v>PASCAGOULA</v>
          </cell>
          <cell r="F188" t="str">
            <v>MS</v>
          </cell>
        </row>
        <row r="189">
          <cell r="A189" t="str">
            <v>NEI34057</v>
          </cell>
          <cell r="B189" t="str">
            <v>28059</v>
          </cell>
          <cell r="C189" t="str">
            <v>CHEVRON PRODUCTS COMPANY, PASCAGOULA REF</v>
          </cell>
          <cell r="D189" t="str">
            <v>250 INDUSTRIAL ROAD</v>
          </cell>
          <cell r="E189" t="str">
            <v>PASCAGOULA</v>
          </cell>
          <cell r="F189" t="str">
            <v>MS</v>
          </cell>
        </row>
        <row r="190">
          <cell r="A190" t="str">
            <v>NEI34061</v>
          </cell>
          <cell r="B190" t="str">
            <v>28067</v>
          </cell>
          <cell r="C190" t="str">
            <v>SOUTHLAND OIL COMPANY, ROGERSLACY REFINE</v>
          </cell>
          <cell r="D190" t="str">
            <v>HIGHWAY 11 NORTH</v>
          </cell>
          <cell r="E190" t="str">
            <v>SANDERSVILLE</v>
          </cell>
          <cell r="F190" t="str">
            <v>MS</v>
          </cell>
        </row>
        <row r="191">
          <cell r="A191" t="str">
            <v>NEI34069</v>
          </cell>
          <cell r="B191" t="str">
            <v>28149</v>
          </cell>
          <cell r="C191" t="str">
            <v>ERGON REFINING INC</v>
          </cell>
          <cell r="D191" t="str">
            <v>2611 HAINING ROAD</v>
          </cell>
          <cell r="E191" t="str">
            <v>VICKSBURG</v>
          </cell>
          <cell r="F191" t="str">
            <v>MS</v>
          </cell>
        </row>
        <row r="192">
          <cell r="A192" t="str">
            <v>NEIMS1490059</v>
          </cell>
          <cell r="B192" t="str">
            <v>28149</v>
          </cell>
          <cell r="C192" t="str">
            <v>HUNT SOUTHLAND REFINING COMPANY</v>
          </cell>
          <cell r="D192" t="str">
            <v>2600 DORSEY STREET</v>
          </cell>
          <cell r="E192" t="str">
            <v>VICKSBURG</v>
          </cell>
          <cell r="F192" t="str">
            <v>MS</v>
          </cell>
        </row>
        <row r="193">
          <cell r="A193" t="str">
            <v>NEI12459</v>
          </cell>
          <cell r="B193" t="str">
            <v>30111</v>
          </cell>
          <cell r="C193" t="str">
            <v>CONOCOPHILLIPS</v>
          </cell>
          <cell r="D193" t="str">
            <v>401 S 23RD ST</v>
          </cell>
          <cell r="E193" t="str">
            <v>BILLINGS</v>
          </cell>
          <cell r="F193" t="str">
            <v>MT</v>
          </cell>
        </row>
        <row r="194">
          <cell r="A194" t="str">
            <v>NEI12459</v>
          </cell>
          <cell r="B194" t="str">
            <v>30111</v>
          </cell>
          <cell r="C194" t="str">
            <v>CONOCOPHILLIPS BILLINGS REFY.</v>
          </cell>
          <cell r="D194" t="str">
            <v>401 S. 23RD ST.</v>
          </cell>
          <cell r="E194" t="str">
            <v>BILLINGS</v>
          </cell>
          <cell r="F194" t="str">
            <v>MT</v>
          </cell>
        </row>
        <row r="195">
          <cell r="A195" t="str">
            <v>NEI12460</v>
          </cell>
          <cell r="B195" t="str">
            <v>30111</v>
          </cell>
          <cell r="C195" t="str">
            <v>EXXONMOBIL BILLINGS REFINERY</v>
          </cell>
          <cell r="D195" t="str">
            <v>700 EXXONMOBIL RD</v>
          </cell>
          <cell r="E195" t="str">
            <v>BILLINGS</v>
          </cell>
          <cell r="F195" t="str">
            <v>MT</v>
          </cell>
        </row>
        <row r="196">
          <cell r="A196" t="str">
            <v>NEI12460</v>
          </cell>
          <cell r="B196" t="str">
            <v>30111</v>
          </cell>
          <cell r="C196" t="str">
            <v>EXXONMOBIL BILLINGS REFY.</v>
          </cell>
          <cell r="D196" t="str">
            <v>700 EXXONMOBIL RD.</v>
          </cell>
          <cell r="E196" t="str">
            <v>BILLINGS</v>
          </cell>
          <cell r="F196" t="str">
            <v>MT</v>
          </cell>
        </row>
        <row r="197">
          <cell r="A197" t="str">
            <v>NEI12464</v>
          </cell>
          <cell r="B197" t="str">
            <v>30013</v>
          </cell>
          <cell r="C197" t="str">
            <v>MONTANA REFINING</v>
          </cell>
          <cell r="D197" t="str">
            <v>1900 10TH STREET N.E.</v>
          </cell>
          <cell r="E197" t="str">
            <v>GREAT FALLS</v>
          </cell>
          <cell r="F197" t="str">
            <v>MT</v>
          </cell>
        </row>
        <row r="198">
          <cell r="A198" t="str">
            <v>NEI12464</v>
          </cell>
          <cell r="B198" t="str">
            <v>30013</v>
          </cell>
          <cell r="C198" t="str">
            <v>MONTANA REFINING CO.</v>
          </cell>
          <cell r="D198" t="str">
            <v>1900 10TH ST. N.E.</v>
          </cell>
          <cell r="E198" t="str">
            <v>GREAT FALLS</v>
          </cell>
          <cell r="F198" t="str">
            <v>MT</v>
          </cell>
        </row>
        <row r="199">
          <cell r="A199" t="str">
            <v>NEI12458</v>
          </cell>
          <cell r="B199" t="str">
            <v>30111</v>
          </cell>
          <cell r="C199" t="str">
            <v>CENEX HARVEST STATES</v>
          </cell>
          <cell r="D199" t="str">
            <v>802 US HWY 212 S, S OF LAUREL</v>
          </cell>
          <cell r="E199" t="str">
            <v>LAUREL</v>
          </cell>
          <cell r="F199" t="str">
            <v>MT</v>
          </cell>
        </row>
        <row r="200">
          <cell r="A200" t="str">
            <v>NEI12458</v>
          </cell>
          <cell r="B200" t="str">
            <v>30111</v>
          </cell>
          <cell r="C200" t="str">
            <v>CENEX HARVEST STATES CO-OP. LAUREL REFY.</v>
          </cell>
          <cell r="D200" t="str">
            <v>803 HWY. 212 S.</v>
          </cell>
          <cell r="E200" t="str">
            <v>LAUREL</v>
          </cell>
          <cell r="F200" t="str">
            <v>MT</v>
          </cell>
        </row>
        <row r="201">
          <cell r="A201" t="str">
            <v>NEI40371</v>
          </cell>
          <cell r="B201" t="str">
            <v>38059</v>
          </cell>
          <cell r="C201" t="str">
            <v>Mandan Refinery</v>
          </cell>
          <cell r="D201" t="str">
            <v>P.O. Box 5000</v>
          </cell>
          <cell r="E201" t="str">
            <v>Mandan</v>
          </cell>
          <cell r="F201" t="str">
            <v>ND</v>
          </cell>
        </row>
        <row r="202">
          <cell r="A202" t="str">
            <v>NEI40371</v>
          </cell>
          <cell r="B202" t="str">
            <v>38059</v>
          </cell>
          <cell r="C202" t="str">
            <v>TESORO PETROLEUM - MANDAN REFY.</v>
          </cell>
          <cell r="D202" t="str">
            <v>900 OLD RED TRAIL N.E.</v>
          </cell>
          <cell r="E202" t="str">
            <v>MANDAN</v>
          </cell>
          <cell r="F202" t="str">
            <v>ND</v>
          </cell>
        </row>
        <row r="203">
          <cell r="A203" t="str">
            <v>NEI6375</v>
          </cell>
          <cell r="B203" t="str">
            <v>34039</v>
          </cell>
          <cell r="C203" t="str">
            <v>Bayway Refinery</v>
          </cell>
          <cell r="D203" t="str">
            <v>1400 Park Ave</v>
          </cell>
          <cell r="E203" t="str">
            <v>Linden</v>
          </cell>
          <cell r="F203" t="str">
            <v>NJ</v>
          </cell>
        </row>
        <row r="204">
          <cell r="A204" t="str">
            <v>NEI6375</v>
          </cell>
          <cell r="B204" t="str">
            <v>34039</v>
          </cell>
          <cell r="C204" t="str">
            <v>Bayway Refining Company</v>
          </cell>
          <cell r="D204" t="str">
            <v>1400 Park Ave</v>
          </cell>
          <cell r="E204" t="str">
            <v>Linden</v>
          </cell>
          <cell r="F204" t="str">
            <v>NJ</v>
          </cell>
        </row>
        <row r="205">
          <cell r="A205" t="str">
            <v>NEI6375</v>
          </cell>
          <cell r="B205" t="str">
            <v>34039</v>
          </cell>
          <cell r="C205" t="str">
            <v>CONOCOPHILLIPS CO. BAYWAY REFY.</v>
          </cell>
          <cell r="D205" t="str">
            <v>1400 PARK AVE.</v>
          </cell>
          <cell r="E205" t="str">
            <v>LINDEN</v>
          </cell>
          <cell r="F205" t="str">
            <v>NJ</v>
          </cell>
        </row>
        <row r="206">
          <cell r="A206" t="str">
            <v>NEI34863</v>
          </cell>
          <cell r="B206" t="str">
            <v>34015</v>
          </cell>
          <cell r="C206" t="str">
            <v>CITGO ASPHALT REFINING CO.</v>
          </cell>
          <cell r="D206" t="str">
            <v>4 PARADISE RD.</v>
          </cell>
          <cell r="E206" t="str">
            <v>PAULSBORO</v>
          </cell>
          <cell r="F206" t="str">
            <v>NJ</v>
          </cell>
        </row>
        <row r="207">
          <cell r="A207" t="str">
            <v>NEI34863</v>
          </cell>
          <cell r="B207" t="str">
            <v>34015</v>
          </cell>
          <cell r="C207" t="str">
            <v>CITGO Asphalt Refining Company</v>
          </cell>
          <cell r="D207" t="str">
            <v>4 PARADISE RD</v>
          </cell>
          <cell r="E207" t="str">
            <v>PAULSBORO</v>
          </cell>
          <cell r="F207" t="str">
            <v>NJ</v>
          </cell>
        </row>
        <row r="208">
          <cell r="A208" t="str">
            <v>NEINJ0155127</v>
          </cell>
          <cell r="B208" t="str">
            <v>34015</v>
          </cell>
          <cell r="C208" t="str">
            <v>ExxonMobil Research and Engineering Co. - PTC</v>
          </cell>
          <cell r="D208" t="str">
            <v>600 Billingsport Road P.O. Box 480</v>
          </cell>
          <cell r="E208" t="str">
            <v>Paulsboro</v>
          </cell>
          <cell r="F208" t="str">
            <v>NJ</v>
          </cell>
        </row>
        <row r="209">
          <cell r="A209" t="str">
            <v>NEINJ0155127</v>
          </cell>
          <cell r="B209" t="str">
            <v>34015</v>
          </cell>
          <cell r="C209" t="str">
            <v>ExxonMobil Research and Engineering Company</v>
          </cell>
          <cell r="D209" t="str">
            <v>PAULSBORO TECHNICAL CTR 600 BILLINGSPORT RD PO BOX</v>
          </cell>
          <cell r="E209" t="str">
            <v>PAULSBORO</v>
          </cell>
          <cell r="F209" t="str">
            <v>NJ</v>
          </cell>
        </row>
        <row r="210">
          <cell r="A210" t="str">
            <v>NEINJT$891</v>
          </cell>
          <cell r="B210" t="str">
            <v>34015</v>
          </cell>
          <cell r="C210" t="str">
            <v>VALERO REFINING CO. N.J.</v>
          </cell>
          <cell r="D210" t="str">
            <v>800 BILLINGSPORT RD.</v>
          </cell>
          <cell r="E210" t="str">
            <v>PAULSBORO</v>
          </cell>
          <cell r="F210" t="str">
            <v>NJ</v>
          </cell>
        </row>
        <row r="211">
          <cell r="A211" t="str">
            <v>NEINJT$891</v>
          </cell>
          <cell r="B211" t="str">
            <v>34015</v>
          </cell>
          <cell r="C211" t="str">
            <v>Valero Refining Co.- N.J.</v>
          </cell>
          <cell r="D211" t="str">
            <v>VALERO REFINING CO - NJ PAULSBORO REFINERY 800 BIL</v>
          </cell>
          <cell r="E211" t="str">
            <v>PAULSBORO</v>
          </cell>
          <cell r="F211" t="str">
            <v>NJ</v>
          </cell>
        </row>
        <row r="212">
          <cell r="A212" t="str">
            <v>NEI34873</v>
          </cell>
          <cell r="B212" t="str">
            <v>34023</v>
          </cell>
          <cell r="C212" t="str">
            <v>CHEVRON PRODS. CO.</v>
          </cell>
          <cell r="D212" t="str">
            <v>1200 STATE ST.</v>
          </cell>
          <cell r="E212" t="str">
            <v>PERTH AMBOY</v>
          </cell>
          <cell r="F212" t="str">
            <v>NJ</v>
          </cell>
        </row>
        <row r="213">
          <cell r="A213" t="str">
            <v>NEI34873</v>
          </cell>
          <cell r="B213" t="str">
            <v>34023</v>
          </cell>
          <cell r="C213" t="str">
            <v>Chevron Products Company</v>
          </cell>
          <cell r="D213" t="str">
            <v>1200 STATE ST</v>
          </cell>
          <cell r="E213" t="str">
            <v>PERTH AMBOY</v>
          </cell>
          <cell r="F213" t="str">
            <v>NJ</v>
          </cell>
        </row>
        <row r="214">
          <cell r="A214" t="str">
            <v>NEI34872</v>
          </cell>
          <cell r="B214" t="str">
            <v>34023</v>
          </cell>
          <cell r="C214" t="str">
            <v>AMERADA HESS CORP. PORTREADING REFY.</v>
          </cell>
          <cell r="D214" t="str">
            <v>750 CLIFF RD.</v>
          </cell>
          <cell r="E214" t="str">
            <v>PORT READING</v>
          </cell>
          <cell r="F214" t="str">
            <v>NJ</v>
          </cell>
        </row>
        <row r="215">
          <cell r="A215" t="str">
            <v>NEI34872</v>
          </cell>
          <cell r="B215" t="str">
            <v>34023</v>
          </cell>
          <cell r="C215" t="str">
            <v>Amerada Hess Corporation-Port Reading Refiner</v>
          </cell>
          <cell r="D215" t="str">
            <v>750 Cliff Road</v>
          </cell>
          <cell r="E215" t="str">
            <v>Pt. Reading</v>
          </cell>
          <cell r="F215" t="str">
            <v>NJ</v>
          </cell>
        </row>
        <row r="216">
          <cell r="A216" t="str">
            <v>NEI34862</v>
          </cell>
          <cell r="B216" t="str">
            <v>34015</v>
          </cell>
          <cell r="C216" t="str">
            <v>COASTAL EAGLE POINT OIL CO.</v>
          </cell>
          <cell r="D216" t="str">
            <v>RTE. 130 &amp; I-295 S.</v>
          </cell>
          <cell r="E216" t="str">
            <v>WESTVILLE</v>
          </cell>
          <cell r="F216" t="str">
            <v>NJ</v>
          </cell>
        </row>
        <row r="217">
          <cell r="A217" t="str">
            <v>NEI34862</v>
          </cell>
          <cell r="B217" t="str">
            <v>34015</v>
          </cell>
          <cell r="C217" t="str">
            <v>COASTAL EAGLE POINT OIL COMPANY</v>
          </cell>
          <cell r="D217" t="str">
            <v>US RT 130 AND 295</v>
          </cell>
          <cell r="E217" t="str">
            <v>WESTVILLE</v>
          </cell>
          <cell r="F217" t="str">
            <v>NJ</v>
          </cell>
        </row>
        <row r="218">
          <cell r="A218" t="str">
            <v>NEI34898</v>
          </cell>
          <cell r="B218" t="str">
            <v>35015</v>
          </cell>
          <cell r="C218" t="str">
            <v>Artesia Refinery</v>
          </cell>
          <cell r="D218" t="str">
            <v>501 E Main St</v>
          </cell>
          <cell r="E218" t="str">
            <v>Artesia</v>
          </cell>
          <cell r="F218" t="str">
            <v>NM</v>
          </cell>
        </row>
        <row r="219">
          <cell r="A219" t="str">
            <v>NEI34898</v>
          </cell>
          <cell r="B219" t="str">
            <v>35015</v>
          </cell>
          <cell r="C219" t="str">
            <v>NAVAJO REFINING CO.</v>
          </cell>
          <cell r="D219" t="str">
            <v>501 E. MAIN ST.</v>
          </cell>
          <cell r="E219" t="str">
            <v>ARTESIA</v>
          </cell>
          <cell r="F219" t="str">
            <v>NM</v>
          </cell>
        </row>
        <row r="220">
          <cell r="A220" t="str">
            <v>NEI2NM450030</v>
          </cell>
          <cell r="B220" t="str">
            <v>35045</v>
          </cell>
          <cell r="C220" t="str">
            <v>Bloomfield Refinery</v>
          </cell>
          <cell r="D220" t="str">
            <v>2 mi S Bloomfield Hwy 44</v>
          </cell>
          <cell r="E220" t="str">
            <v>Bloomfield</v>
          </cell>
          <cell r="F220" t="str">
            <v>NM</v>
          </cell>
        </row>
        <row r="221">
          <cell r="A221" t="str">
            <v>NEI34912</v>
          </cell>
          <cell r="B221" t="str">
            <v>35045</v>
          </cell>
          <cell r="C221" t="str">
            <v>San Juan Refinery (Bloomfield)</v>
          </cell>
          <cell r="D221" t="str">
            <v>#50 County Road 4990</v>
          </cell>
          <cell r="E221" t="str">
            <v>Bloomfield</v>
          </cell>
          <cell r="F221" t="str">
            <v>NM</v>
          </cell>
        </row>
        <row r="222">
          <cell r="A222" t="str">
            <v>NEI34912</v>
          </cell>
          <cell r="B222" t="str">
            <v>35045</v>
          </cell>
          <cell r="C222" t="str">
            <v>SAN JUAN REFINING CO.</v>
          </cell>
          <cell r="D222" t="str">
            <v>#50 CR 4990</v>
          </cell>
          <cell r="E222" t="str">
            <v>BLOOMFIELD</v>
          </cell>
          <cell r="F222" t="str">
            <v>NM</v>
          </cell>
        </row>
        <row r="223">
          <cell r="A223" t="str">
            <v>NEI2NM450037</v>
          </cell>
          <cell r="B223" t="str">
            <v>35045</v>
          </cell>
          <cell r="C223" t="str">
            <v>Farmington Refinery</v>
          </cell>
          <cell r="D223" t="str">
            <v>8 mi E Farmington</v>
          </cell>
          <cell r="E223" t="str">
            <v>Farmington</v>
          </cell>
          <cell r="F223" t="str">
            <v>NM</v>
          </cell>
        </row>
        <row r="224">
          <cell r="A224" t="str">
            <v>NEI34907</v>
          </cell>
          <cell r="B224" t="str">
            <v>35031</v>
          </cell>
          <cell r="C224" t="str">
            <v>Ciniza Refinery</v>
          </cell>
          <cell r="D224" t="str">
            <v>17 mi E of Gallup on I-40</v>
          </cell>
          <cell r="E224" t="str">
            <v>Gallup</v>
          </cell>
          <cell r="F224" t="str">
            <v>NM</v>
          </cell>
        </row>
        <row r="225">
          <cell r="A225" t="str">
            <v>NEI34907</v>
          </cell>
          <cell r="B225" t="str">
            <v>35031</v>
          </cell>
          <cell r="C225" t="str">
            <v>GIANT REFINING CO.</v>
          </cell>
          <cell r="D225" t="str">
            <v>I-40 EXIT 39</v>
          </cell>
          <cell r="E225" t="str">
            <v>JAMESTOWN</v>
          </cell>
          <cell r="F225" t="str">
            <v>NM</v>
          </cell>
        </row>
        <row r="226">
          <cell r="A226" t="str">
            <v>NEI2NM450050</v>
          </cell>
          <cell r="B226" t="str">
            <v>35045</v>
          </cell>
          <cell r="C226" t="str">
            <v>Petroleum Refinery</v>
          </cell>
          <cell r="D226" t="str">
            <v>N St Rt 550</v>
          </cell>
          <cell r="E226" t="str">
            <v>Kirtland</v>
          </cell>
          <cell r="F226" t="str">
            <v>NM</v>
          </cell>
        </row>
        <row r="227">
          <cell r="A227" t="str">
            <v>NEINMT$12478</v>
          </cell>
          <cell r="B227" t="str">
            <v>35025</v>
          </cell>
          <cell r="C227" t="str">
            <v>Lea Refinery</v>
          </cell>
          <cell r="D227" t="str">
            <v>5 mi SE of Lovingtion on Nm 18</v>
          </cell>
          <cell r="E227" t="str">
            <v>Lovington</v>
          </cell>
          <cell r="F227" t="str">
            <v>NM</v>
          </cell>
        </row>
        <row r="228">
          <cell r="A228" t="str">
            <v>NEINMT$12478</v>
          </cell>
          <cell r="B228" t="str">
            <v>35025</v>
          </cell>
          <cell r="C228" t="str">
            <v>LEA REFINING CO.</v>
          </cell>
          <cell r="D228" t="str">
            <v>5 MILES S. OF LOVINGTON ON HWY. 18</v>
          </cell>
          <cell r="E228" t="str">
            <v>LOVINGTON</v>
          </cell>
          <cell r="F228" t="str">
            <v>NM</v>
          </cell>
        </row>
        <row r="229">
          <cell r="A229" t="str">
            <v>NEI2NV110905</v>
          </cell>
          <cell r="B229" t="str">
            <v>32023</v>
          </cell>
          <cell r="C229" t="str">
            <v>FORELAND REFINING CORPORATION</v>
          </cell>
          <cell r="D229" t="str">
            <v>HC 34, BOX 34830</v>
          </cell>
          <cell r="E229" t="str">
            <v>ELY</v>
          </cell>
          <cell r="F229" t="str">
            <v>NV</v>
          </cell>
        </row>
        <row r="230">
          <cell r="A230" t="str">
            <v>NEI11574</v>
          </cell>
          <cell r="B230" t="str">
            <v>39151</v>
          </cell>
          <cell r="C230" t="str">
            <v>MARATHON ASHLAND PETROLEUM LLC, CANTON REFINERY</v>
          </cell>
          <cell r="D230" t="str">
            <v>2408 Gambrinus Avenue SW</v>
          </cell>
          <cell r="E230" t="str">
            <v>CANTON</v>
          </cell>
          <cell r="F230" t="str">
            <v>OH</v>
          </cell>
        </row>
        <row r="231">
          <cell r="A231" t="str">
            <v>NEI11574</v>
          </cell>
          <cell r="B231" t="str">
            <v>39151</v>
          </cell>
          <cell r="C231" t="str">
            <v>MARATHON ASHLAND PETROLEUM OHIO REFINING DIV.</v>
          </cell>
          <cell r="D231" t="str">
            <v>2408 GAMBRINUS AVE. S.W.</v>
          </cell>
          <cell r="E231" t="str">
            <v>CANTON</v>
          </cell>
          <cell r="F231" t="str">
            <v>OH</v>
          </cell>
        </row>
        <row r="232">
          <cell r="A232" t="str">
            <v>NEI11665</v>
          </cell>
          <cell r="B232" t="str">
            <v>39003</v>
          </cell>
          <cell r="C232" t="str">
            <v>PREMCOR REFINING GROUP</v>
          </cell>
          <cell r="D232" t="str">
            <v>1150 South Metcalf Street</v>
          </cell>
          <cell r="E232" t="str">
            <v>LIMA</v>
          </cell>
          <cell r="F232" t="str">
            <v>OH</v>
          </cell>
        </row>
        <row r="233">
          <cell r="A233" t="str">
            <v>NEI11663</v>
          </cell>
          <cell r="B233" t="str">
            <v>39003</v>
          </cell>
          <cell r="C233" t="str">
            <v>PREMCOR REFINING INC. LIMA REFY.</v>
          </cell>
          <cell r="D233" t="str">
            <v>1150 S. METCALF ST.</v>
          </cell>
          <cell r="E233" t="str">
            <v>LIMA</v>
          </cell>
          <cell r="F233" t="str">
            <v>OH</v>
          </cell>
        </row>
        <row r="234">
          <cell r="A234" t="str">
            <v>NEI11449</v>
          </cell>
          <cell r="B234" t="str">
            <v>39095</v>
          </cell>
          <cell r="C234" t="str">
            <v>BP AMERICA INC. TOLEDO REFY.</v>
          </cell>
          <cell r="D234" t="str">
            <v>4001 CEDAR POINT RD.</v>
          </cell>
          <cell r="E234" t="str">
            <v>OREGON</v>
          </cell>
          <cell r="F234" t="str">
            <v>OH</v>
          </cell>
        </row>
        <row r="235">
          <cell r="A235" t="str">
            <v>NEI11449</v>
          </cell>
          <cell r="B235" t="str">
            <v>39095</v>
          </cell>
          <cell r="C235" t="str">
            <v>BP PRODUCTS NORTH AMERICA INC</v>
          </cell>
          <cell r="D235" t="str">
            <v>4001 Cedar Point Road P.O. Box 696</v>
          </cell>
          <cell r="E235" t="str">
            <v>OREGON</v>
          </cell>
          <cell r="F235" t="str">
            <v>OH</v>
          </cell>
        </row>
        <row r="236">
          <cell r="A236" t="str">
            <v>NEI11450</v>
          </cell>
          <cell r="B236" t="str">
            <v>39095</v>
          </cell>
          <cell r="C236" t="str">
            <v>SUN COMPANY, INC.</v>
          </cell>
          <cell r="D236" t="str">
            <v>1819 Woodville Road</v>
          </cell>
          <cell r="E236" t="str">
            <v>OREGON</v>
          </cell>
          <cell r="F236" t="str">
            <v>OH</v>
          </cell>
        </row>
        <row r="237">
          <cell r="A237" t="str">
            <v>NEI11450</v>
          </cell>
          <cell r="B237" t="str">
            <v>39095</v>
          </cell>
          <cell r="C237" t="str">
            <v>SUNOCO INC. (R&amp;M)</v>
          </cell>
          <cell r="D237" t="str">
            <v>1819 WOODVILLE RD.</v>
          </cell>
          <cell r="E237" t="str">
            <v>OREGON</v>
          </cell>
          <cell r="F237" t="str">
            <v>OH</v>
          </cell>
        </row>
        <row r="238">
          <cell r="A238" t="str">
            <v>NEIOH0950080</v>
          </cell>
          <cell r="B238" t="str">
            <v>39095</v>
          </cell>
          <cell r="C238" t="str">
            <v>TWO WASTEWATER TREATMENT UNIT</v>
          </cell>
          <cell r="D238" t="str">
            <v>1819 WOODVILLE RD.</v>
          </cell>
          <cell r="E238" t="str">
            <v>OREGON</v>
          </cell>
          <cell r="F238" t="str">
            <v>OH</v>
          </cell>
        </row>
        <row r="239">
          <cell r="A239" t="str">
            <v>NEIOKT$11009</v>
          </cell>
          <cell r="B239" t="str">
            <v>40019</v>
          </cell>
          <cell r="C239" t="str">
            <v>TPI PETROLEUM INC</v>
          </cell>
          <cell r="D239" t="str">
            <v>HWY 142 BYPASS</v>
          </cell>
          <cell r="E239" t="str">
            <v>ARDMORE</v>
          </cell>
          <cell r="F239" t="str">
            <v>OK</v>
          </cell>
        </row>
        <row r="240">
          <cell r="A240" t="str">
            <v>NEIOKT$11009</v>
          </cell>
          <cell r="B240" t="str">
            <v>40019</v>
          </cell>
          <cell r="C240" t="str">
            <v>TPI PETROLEUM INC.</v>
          </cell>
          <cell r="D240" t="str">
            <v>HWY. 142 &amp; E. CAMERON RD.</v>
          </cell>
          <cell r="E240" t="str">
            <v>ARDMORE</v>
          </cell>
          <cell r="F240" t="str">
            <v>OK</v>
          </cell>
        </row>
        <row r="241">
          <cell r="A241" t="str">
            <v>NEI40528</v>
          </cell>
          <cell r="B241" t="str">
            <v>40019</v>
          </cell>
          <cell r="C241" t="str">
            <v>TOTAL PETROLEUM INC</v>
          </cell>
          <cell r="D241" t="str">
            <v>NEW STREET</v>
          </cell>
          <cell r="E241" t="str">
            <v>NEW CITY</v>
          </cell>
          <cell r="F241" t="str">
            <v>OK</v>
          </cell>
        </row>
        <row r="242">
          <cell r="A242" t="str">
            <v>NEI12988</v>
          </cell>
          <cell r="B242" t="str">
            <v>40071</v>
          </cell>
          <cell r="C242" t="str">
            <v>CONOCOPHILLIPS PONCA CITY REFINERY</v>
          </cell>
          <cell r="D242" t="str">
            <v>1000 S PINE</v>
          </cell>
          <cell r="E242" t="str">
            <v>PONCA CITY</v>
          </cell>
          <cell r="F242" t="str">
            <v>OK</v>
          </cell>
        </row>
        <row r="243">
          <cell r="A243" t="str">
            <v>NEI12988</v>
          </cell>
          <cell r="B243" t="str">
            <v>40071</v>
          </cell>
          <cell r="C243" t="str">
            <v>CONOCOPHILLIPS PONCA CITY REFY.</v>
          </cell>
          <cell r="D243" t="str">
            <v>1000 S. PINE ST.</v>
          </cell>
          <cell r="E243" t="str">
            <v>PONCA CITY</v>
          </cell>
          <cell r="F243" t="str">
            <v>OK</v>
          </cell>
        </row>
        <row r="244">
          <cell r="A244" t="str">
            <v>NEI12968</v>
          </cell>
          <cell r="B244" t="str">
            <v>40143</v>
          </cell>
          <cell r="C244" t="str">
            <v>SINCLAIR OIL CORP</v>
          </cell>
          <cell r="D244" t="str">
            <v>902 W 25TH ST</v>
          </cell>
          <cell r="E244" t="str">
            <v>TULSA</v>
          </cell>
          <cell r="F244" t="str">
            <v>OK</v>
          </cell>
        </row>
        <row r="245">
          <cell r="A245" t="str">
            <v>NEI12968</v>
          </cell>
          <cell r="B245" t="str">
            <v>40143</v>
          </cell>
          <cell r="C245" t="str">
            <v>SINCLAIR OIL CORP. TULSA REFY.</v>
          </cell>
          <cell r="D245" t="str">
            <v>902 W. 25TH ST.</v>
          </cell>
          <cell r="E245" t="str">
            <v>TULSA</v>
          </cell>
          <cell r="F245" t="str">
            <v>OK</v>
          </cell>
        </row>
        <row r="246">
          <cell r="A246" t="str">
            <v>NEI12969</v>
          </cell>
          <cell r="B246" t="str">
            <v>40143</v>
          </cell>
          <cell r="C246" t="str">
            <v>SUNOCO INC</v>
          </cell>
          <cell r="D246" t="str">
            <v>1700 S UNION AVE</v>
          </cell>
          <cell r="E246" t="str">
            <v>TULSA</v>
          </cell>
          <cell r="F246" t="str">
            <v>OK</v>
          </cell>
        </row>
        <row r="247">
          <cell r="A247" t="str">
            <v>NEI12969</v>
          </cell>
          <cell r="B247" t="str">
            <v>40143</v>
          </cell>
          <cell r="C247" t="str">
            <v>SUNOCO INC. (R&amp;M) TULSA REFY.</v>
          </cell>
          <cell r="D247" t="str">
            <v>1700 S. UNION</v>
          </cell>
          <cell r="E247" t="str">
            <v>TULSA</v>
          </cell>
          <cell r="F247" t="str">
            <v>OK</v>
          </cell>
        </row>
        <row r="248">
          <cell r="A248" t="str">
            <v>NEI40531</v>
          </cell>
          <cell r="B248" t="str">
            <v>40049</v>
          </cell>
          <cell r="C248" t="str">
            <v>WYNNEWOOD REFINING CO</v>
          </cell>
          <cell r="D248" t="str">
            <v>906 S POWELL</v>
          </cell>
          <cell r="E248" t="str">
            <v>WYNNEWOOD</v>
          </cell>
          <cell r="F248" t="str">
            <v>OK</v>
          </cell>
        </row>
        <row r="249">
          <cell r="A249" t="str">
            <v>NEI40531</v>
          </cell>
          <cell r="B249" t="str">
            <v>40049</v>
          </cell>
          <cell r="C249" t="str">
            <v>WYNNEWOOD REFINING CO.</v>
          </cell>
          <cell r="D249" t="str">
            <v>906 S. POWELL</v>
          </cell>
          <cell r="E249" t="str">
            <v>WYNNEWOOD</v>
          </cell>
          <cell r="F249" t="str">
            <v>OK</v>
          </cell>
        </row>
        <row r="250">
          <cell r="A250" t="str">
            <v>NEI40625</v>
          </cell>
          <cell r="B250" t="str">
            <v>41051</v>
          </cell>
          <cell r="C250" t="str">
            <v>Chevron Products Company</v>
          </cell>
          <cell r="D250" t="str">
            <v>5501 NW FRONT AVE</v>
          </cell>
          <cell r="E250" t="str">
            <v>PORTLAND</v>
          </cell>
          <cell r="F250" t="str">
            <v>OR</v>
          </cell>
        </row>
        <row r="251">
          <cell r="A251" t="str">
            <v>NEI46764</v>
          </cell>
          <cell r="B251" t="str">
            <v>42083</v>
          </cell>
          <cell r="C251" t="str">
            <v>AMER REF GROUP/BRADFORD</v>
          </cell>
          <cell r="D251" t="str">
            <v>77 N KENDALL AVE</v>
          </cell>
          <cell r="E251" t="str">
            <v>BRADFORD</v>
          </cell>
          <cell r="F251" t="str">
            <v>PA</v>
          </cell>
        </row>
        <row r="252">
          <cell r="A252" t="str">
            <v>NEI46764</v>
          </cell>
          <cell r="B252" t="str">
            <v>42083</v>
          </cell>
          <cell r="C252" t="str">
            <v>AMERICAN REFINING GROUP INC.</v>
          </cell>
          <cell r="D252" t="str">
            <v>77 N. KENDALL AVE.</v>
          </cell>
          <cell r="E252" t="str">
            <v>BRADFORD</v>
          </cell>
          <cell r="F252" t="str">
            <v>PA</v>
          </cell>
        </row>
        <row r="253">
          <cell r="A253" t="str">
            <v>NEI109</v>
          </cell>
          <cell r="B253" t="str">
            <v>42045</v>
          </cell>
          <cell r="C253" t="str">
            <v>SUNOCO INC (R&amp;M)/MARCUS HOOK REFINERY</v>
          </cell>
          <cell r="D253" t="str">
            <v>2ND &amp; GREEN ST PO BOX 426</v>
          </cell>
          <cell r="E253" t="str">
            <v>MARCUS HOOK</v>
          </cell>
          <cell r="F253" t="str">
            <v>PA</v>
          </cell>
        </row>
        <row r="254">
          <cell r="A254" t="str">
            <v>NEI109</v>
          </cell>
          <cell r="B254" t="str">
            <v>42045</v>
          </cell>
          <cell r="C254" t="str">
            <v>SUNOCO INC. R &amp; M MARCUS HOOK REFY.</v>
          </cell>
          <cell r="D254" t="str">
            <v>GREEN ST. &amp; DELAWARE AVE.</v>
          </cell>
          <cell r="E254" t="str">
            <v>MARCUS HOOK</v>
          </cell>
          <cell r="F254" t="str">
            <v>PA</v>
          </cell>
        </row>
        <row r="255">
          <cell r="A255" t="str">
            <v>NEI40723</v>
          </cell>
          <cell r="B255" t="str">
            <v>42101</v>
          </cell>
          <cell r="C255" t="str">
            <v>Chevron Chemical Co.</v>
          </cell>
          <cell r="D255" t="str">
            <v>3144 PASSYUNK AVE.</v>
          </cell>
          <cell r="E255" t="str">
            <v>Philadelphia</v>
          </cell>
          <cell r="F255" t="str">
            <v>PA</v>
          </cell>
        </row>
        <row r="256">
          <cell r="A256" t="str">
            <v>NEI40723</v>
          </cell>
          <cell r="B256" t="str">
            <v>42101</v>
          </cell>
          <cell r="C256" t="str">
            <v>SUNOCO INC. (R&amp;M)</v>
          </cell>
          <cell r="D256" t="str">
            <v>3144 PASSYUNK AVE</v>
          </cell>
          <cell r="E256" t="str">
            <v>PHILADELPHIA</v>
          </cell>
          <cell r="F256" t="str">
            <v>PA</v>
          </cell>
        </row>
        <row r="257">
          <cell r="A257" t="str">
            <v>NEI40723</v>
          </cell>
          <cell r="B257" t="str">
            <v>42101</v>
          </cell>
          <cell r="C257" t="str">
            <v>SUNOCO INC. (R&amp;S) PHILADELPHIA REFY.</v>
          </cell>
          <cell r="D257" t="str">
            <v>3144 PASSYUNK AVE.</v>
          </cell>
          <cell r="E257" t="str">
            <v>PHILADELPHIA</v>
          </cell>
          <cell r="F257" t="str">
            <v>PA</v>
          </cell>
        </row>
        <row r="258">
          <cell r="A258" t="str">
            <v>NEIPA12135-1</v>
          </cell>
          <cell r="B258" t="str">
            <v>42121</v>
          </cell>
          <cell r="C258" t="str">
            <v>CALUMET LUBRICANTS CO/ROUSEVILLE PLT</v>
          </cell>
          <cell r="D258" t="str">
            <v>2 MAIN ST</v>
          </cell>
          <cell r="E258" t="str">
            <v>ROUSEVILLE</v>
          </cell>
          <cell r="F258" t="str">
            <v>PA</v>
          </cell>
        </row>
        <row r="259">
          <cell r="A259" t="str">
            <v>NEI113</v>
          </cell>
          <cell r="B259" t="str">
            <v>42045</v>
          </cell>
          <cell r="C259" t="str">
            <v>CONOCOPHILLIPS CO. TRAINER REFY.</v>
          </cell>
          <cell r="D259" t="str">
            <v>4101 POST RD.</v>
          </cell>
          <cell r="E259" t="str">
            <v>TRAINER</v>
          </cell>
          <cell r="F259" t="str">
            <v>PA</v>
          </cell>
        </row>
        <row r="260">
          <cell r="A260" t="str">
            <v>NEI113</v>
          </cell>
          <cell r="B260" t="str">
            <v>42045</v>
          </cell>
          <cell r="C260" t="str">
            <v>CONOCOPHILLIPS CO/TRAINER REF</v>
          </cell>
          <cell r="D260" t="str">
            <v>4101 POST RD</v>
          </cell>
          <cell r="E260" t="str">
            <v>TRAINER</v>
          </cell>
          <cell r="F260" t="str">
            <v>PA</v>
          </cell>
        </row>
        <row r="261">
          <cell r="A261" t="str">
            <v>NEI40732</v>
          </cell>
          <cell r="B261" t="str">
            <v>42123</v>
          </cell>
          <cell r="C261" t="str">
            <v>UNITED REFINING CO.</v>
          </cell>
          <cell r="D261" t="str">
            <v>15 BRADLEY ST.</v>
          </cell>
          <cell r="E261" t="str">
            <v>WARREN</v>
          </cell>
          <cell r="F261" t="str">
            <v>PA</v>
          </cell>
        </row>
        <row r="262">
          <cell r="A262" t="str">
            <v>NEI40732</v>
          </cell>
          <cell r="B262" t="str">
            <v>42123</v>
          </cell>
          <cell r="C262" t="str">
            <v>UNITED REFINING CO/WARREN PLT</v>
          </cell>
          <cell r="D262" t="str">
            <v>15 BRADLEY ST</v>
          </cell>
          <cell r="E262" t="str">
            <v>WARREN</v>
          </cell>
          <cell r="F262" t="str">
            <v>PA</v>
          </cell>
        </row>
        <row r="263">
          <cell r="A263" t="str">
            <v>NEI54269</v>
          </cell>
          <cell r="B263" t="str">
            <v>72021</v>
          </cell>
          <cell r="C263" t="str">
            <v>CARIBBEAN PETROLEUM REFINING L.P.</v>
          </cell>
          <cell r="D263" t="str">
            <v>RD. #28  KM 2.0 INDUSTRIAL PARK LUCHETTI</v>
          </cell>
          <cell r="E263" t="str">
            <v>BAYAMON</v>
          </cell>
          <cell r="F263" t="str">
            <v>PR</v>
          </cell>
        </row>
        <row r="264">
          <cell r="A264" t="str">
            <v>NEI46497</v>
          </cell>
          <cell r="B264" t="str">
            <v>72057</v>
          </cell>
          <cell r="C264" t="str">
            <v>CHEVRON PHILLIPS CHEMICAL PUER TO RICO CORE INC.</v>
          </cell>
          <cell r="D264" t="str">
            <v>RD. 710  KM. 1.3 BO. LAS MAREAS WARD</v>
          </cell>
          <cell r="E264" t="str">
            <v>GUAYAMA</v>
          </cell>
          <cell r="F264" t="str">
            <v>PR</v>
          </cell>
        </row>
        <row r="265">
          <cell r="A265" t="str">
            <v>NEI46492</v>
          </cell>
          <cell r="B265" t="str">
            <v>72111</v>
          </cell>
          <cell r="C265" t="str">
            <v>PEERLESS OIL &amp; CHEMICALS INC.</v>
          </cell>
          <cell r="D265" t="str">
            <v>HWY. 127, KM.17.1</v>
          </cell>
          <cell r="E265" t="str">
            <v>PENUELAS</v>
          </cell>
          <cell r="F265" t="str">
            <v>PR</v>
          </cell>
        </row>
        <row r="266">
          <cell r="A266" t="str">
            <v>NEIPRT$64</v>
          </cell>
          <cell r="B266" t="str">
            <v>72151</v>
          </cell>
          <cell r="C266" t="str">
            <v>SHELL CHEMICAL YABUCOA INC.</v>
          </cell>
          <cell r="D266" t="str">
            <v>RTE. 901 KM 2.7 CAMINO NUEVO WARD</v>
          </cell>
          <cell r="E266" t="str">
            <v>YABUCOA</v>
          </cell>
          <cell r="F266" t="str">
            <v>PR</v>
          </cell>
        </row>
        <row r="267">
          <cell r="A267" t="str">
            <v>NEI41591</v>
          </cell>
          <cell r="B267" t="str">
            <v>47157</v>
          </cell>
          <cell r="C267" t="str">
            <v>"Williams Refining  &amp; Marketing, L.L.C."</v>
          </cell>
          <cell r="D267" t="str">
            <v>543 West Mallory Avenue</v>
          </cell>
          <cell r="E267" t="str">
            <v>Memphis</v>
          </cell>
          <cell r="F267" t="str">
            <v>TN</v>
          </cell>
        </row>
        <row r="268">
          <cell r="A268" t="str">
            <v>NEI41591</v>
          </cell>
          <cell r="B268" t="str">
            <v>47157</v>
          </cell>
          <cell r="C268" t="str">
            <v>PREMCOR REFINING GROUP INC. MEMPHIS REFY.</v>
          </cell>
          <cell r="D268" t="str">
            <v>543 W. MALLORY AVE.</v>
          </cell>
          <cell r="E268" t="str">
            <v>MEMPHIS</v>
          </cell>
          <cell r="F268" t="str">
            <v>TN</v>
          </cell>
        </row>
        <row r="269">
          <cell r="A269" t="str">
            <v>NEI7781</v>
          </cell>
          <cell r="B269" t="str">
            <v>48201</v>
          </cell>
          <cell r="C269" t="str">
            <v>EXXONMOBIL REF &amp; SUPPLY</v>
          </cell>
          <cell r="D269" t="str">
            <v>2800 DECKER DR</v>
          </cell>
          <cell r="E269" t="str">
            <v>BAYTOWN</v>
          </cell>
          <cell r="F269" t="str">
            <v>TX</v>
          </cell>
        </row>
        <row r="270">
          <cell r="A270" t="str">
            <v>NEI7781</v>
          </cell>
          <cell r="B270" t="str">
            <v>48201</v>
          </cell>
          <cell r="C270" t="str">
            <v>EXXONMOBIL REFINING &amp; SUPPLY BAYTOWN REFY.</v>
          </cell>
          <cell r="D270" t="str">
            <v>2800 DECKER DR.</v>
          </cell>
          <cell r="E270" t="str">
            <v>BAYTOWN</v>
          </cell>
          <cell r="F270" t="str">
            <v>TX</v>
          </cell>
        </row>
        <row r="271">
          <cell r="A271" t="str">
            <v>NEI7233</v>
          </cell>
          <cell r="B271" t="str">
            <v>48245</v>
          </cell>
          <cell r="C271" t="str">
            <v>BEAUMONT REFINERY</v>
          </cell>
          <cell r="D271" t="str">
            <v>END OF BURT ST</v>
          </cell>
          <cell r="E271" t="str">
            <v>BEAUMONT</v>
          </cell>
          <cell r="F271" t="str">
            <v>TX</v>
          </cell>
        </row>
        <row r="272">
          <cell r="A272" t="str">
            <v>NEI7233</v>
          </cell>
          <cell r="B272" t="str">
            <v>48245</v>
          </cell>
          <cell r="C272" t="str">
            <v>EXXONMOBIL OIL BEAUMONT REFY.</v>
          </cell>
          <cell r="D272" t="str">
            <v>E. END OF BURT ST.</v>
          </cell>
          <cell r="E272" t="str">
            <v>BEAUMONT</v>
          </cell>
          <cell r="F272" t="str">
            <v>TX</v>
          </cell>
        </row>
        <row r="273">
          <cell r="A273" t="str">
            <v>NEI41790</v>
          </cell>
          <cell r="B273" t="str">
            <v>48245</v>
          </cell>
          <cell r="C273" t="str">
            <v>LUBRICANTS &amp; PETROLEUM</v>
          </cell>
          <cell r="D273" t="str">
            <v>END OF SYCAMORE ST</v>
          </cell>
          <cell r="E273" t="str">
            <v>BEAUMONT</v>
          </cell>
          <cell r="F273" t="str">
            <v>TX</v>
          </cell>
        </row>
        <row r="274">
          <cell r="A274" t="str">
            <v>NEI6446</v>
          </cell>
          <cell r="B274" t="str">
            <v>48227</v>
          </cell>
          <cell r="C274" t="str">
            <v>ALON USA BIG SPRING REFY.</v>
          </cell>
          <cell r="D274" t="str">
            <v>IH 20 AT REFINERY RD.</v>
          </cell>
          <cell r="E274" t="str">
            <v>BIG SPRING</v>
          </cell>
          <cell r="F274" t="str">
            <v>TX</v>
          </cell>
        </row>
        <row r="275">
          <cell r="A275" t="str">
            <v>NEI6446</v>
          </cell>
          <cell r="B275" t="str">
            <v>48227</v>
          </cell>
          <cell r="C275" t="str">
            <v>BIG SPRING REFINERY</v>
          </cell>
          <cell r="D275" t="str">
            <v>I. 20 AT REFINERY ROAD</v>
          </cell>
          <cell r="E275" t="str">
            <v>BIG SPRING</v>
          </cell>
          <cell r="F275" t="str">
            <v>TX</v>
          </cell>
        </row>
        <row r="276">
          <cell r="A276" t="str">
            <v>NEI6963</v>
          </cell>
          <cell r="B276" t="str">
            <v>48233</v>
          </cell>
          <cell r="C276" t="str">
            <v>BORGER REFINERY</v>
          </cell>
          <cell r="D276" t="str">
            <v>NORTH SIDE OF PHILLIPS (UNINCORP)</v>
          </cell>
          <cell r="E276" t="str">
            <v>BORGER</v>
          </cell>
          <cell r="F276" t="str">
            <v>TX</v>
          </cell>
        </row>
        <row r="277">
          <cell r="A277" t="str">
            <v>NEI6963</v>
          </cell>
          <cell r="B277" t="str">
            <v>48233</v>
          </cell>
          <cell r="C277" t="str">
            <v>CONOCOPHILLIPS CO.</v>
          </cell>
          <cell r="D277" t="str">
            <v>STATE HWY. SPUR 119 N.</v>
          </cell>
          <cell r="E277" t="str">
            <v>BORGER</v>
          </cell>
          <cell r="F277" t="str">
            <v>TX</v>
          </cell>
        </row>
        <row r="278">
          <cell r="A278" t="str">
            <v>NEI7988</v>
          </cell>
          <cell r="B278" t="str">
            <v>48355</v>
          </cell>
          <cell r="C278" t="str">
            <v>CITGO REFINING &amp; CHEMICALS CO. L.P. EAST PLANT</v>
          </cell>
          <cell r="D278" t="str">
            <v>1801 NUECES BAY BLVD.</v>
          </cell>
          <cell r="E278" t="str">
            <v>CORPUS CHRISTI</v>
          </cell>
          <cell r="F278" t="str">
            <v>TX</v>
          </cell>
        </row>
        <row r="279">
          <cell r="A279" t="str">
            <v>NEI6617</v>
          </cell>
          <cell r="B279" t="str">
            <v>48355</v>
          </cell>
          <cell r="C279" t="str">
            <v>CITGO REFINING &amp; CHEMICALS CO. L.P. WEST PLANT</v>
          </cell>
          <cell r="D279" t="str">
            <v>7350 INTERSTATE HWY. 37</v>
          </cell>
          <cell r="E279" t="str">
            <v>CORPUS CHRISTI</v>
          </cell>
          <cell r="F279" t="str">
            <v>TX</v>
          </cell>
        </row>
        <row r="280">
          <cell r="A280" t="str">
            <v>NEI41863</v>
          </cell>
          <cell r="B280" t="str">
            <v>48355</v>
          </cell>
          <cell r="C280" t="str">
            <v>COMPLEX 6B 7 8</v>
          </cell>
          <cell r="D280" t="str">
            <v>1300 CANTWELL LANE</v>
          </cell>
          <cell r="E280" t="str">
            <v>CORPUS CHRISTI</v>
          </cell>
          <cell r="F280" t="str">
            <v>TX</v>
          </cell>
        </row>
        <row r="281">
          <cell r="A281" t="str">
            <v>NEI7134</v>
          </cell>
          <cell r="B281" t="str">
            <v>48355</v>
          </cell>
          <cell r="C281" t="str">
            <v>CORPUS CHRISTI EAST PLANT</v>
          </cell>
          <cell r="D281" t="str">
            <v>1700 NUECES BAY BOULEVARD</v>
          </cell>
          <cell r="E281" t="str">
            <v>CORPUS CHRISTI</v>
          </cell>
          <cell r="F281" t="str">
            <v>TX</v>
          </cell>
        </row>
        <row r="282">
          <cell r="A282" t="str">
            <v>NEI7988</v>
          </cell>
          <cell r="B282" t="str">
            <v>48355</v>
          </cell>
          <cell r="C282" t="str">
            <v>CORPUS CHRISTI REFINERY</v>
          </cell>
          <cell r="D282" t="str">
            <v>1801 NUECES BAY BLVD.</v>
          </cell>
          <cell r="E282" t="str">
            <v>CORPUS CHRISTI</v>
          </cell>
          <cell r="F282" t="str">
            <v>TX</v>
          </cell>
        </row>
        <row r="283">
          <cell r="A283" t="str">
            <v>NEI7134</v>
          </cell>
          <cell r="B283" t="str">
            <v>48355</v>
          </cell>
          <cell r="C283" t="str">
            <v>FLINT HILLS RESOURCES  L.P. EAST PLANT</v>
          </cell>
          <cell r="D283" t="str">
            <v>1700 NUECES BAY BLVD.</v>
          </cell>
          <cell r="E283" t="str">
            <v>CORPUS CHRISTI</v>
          </cell>
          <cell r="F283" t="str">
            <v>TX</v>
          </cell>
        </row>
        <row r="284">
          <cell r="A284" t="str">
            <v>NEI2TXT11909</v>
          </cell>
          <cell r="B284" t="str">
            <v>48355</v>
          </cell>
          <cell r="C284" t="str">
            <v>FLINT HILLS RESOURCES L.P.  WEST PLANT</v>
          </cell>
          <cell r="D284" t="str">
            <v>2825 SUNTIDE RD.</v>
          </cell>
          <cell r="E284" t="str">
            <v>CORPUS CHRISTI</v>
          </cell>
          <cell r="F284" t="str">
            <v>TX</v>
          </cell>
        </row>
        <row r="285">
          <cell r="A285" t="str">
            <v>NEI41865</v>
          </cell>
          <cell r="B285" t="str">
            <v>48355</v>
          </cell>
          <cell r="C285" t="str">
            <v>TRIGEANT LTD</v>
          </cell>
          <cell r="D285" t="str">
            <v>6600 UP RIVER ROAD</v>
          </cell>
          <cell r="E285" t="str">
            <v>CORPUS CHRISTI</v>
          </cell>
          <cell r="F285" t="str">
            <v>TX</v>
          </cell>
        </row>
        <row r="286">
          <cell r="A286" t="str">
            <v>NEI41865</v>
          </cell>
          <cell r="B286" t="str">
            <v>48355</v>
          </cell>
          <cell r="C286" t="str">
            <v>TRIGEANT LTD.</v>
          </cell>
          <cell r="D286" t="str">
            <v>6600 UP RIVER RD.</v>
          </cell>
          <cell r="E286" t="str">
            <v>CORPUS CHRISTI</v>
          </cell>
          <cell r="F286" t="str">
            <v>TX</v>
          </cell>
        </row>
        <row r="287">
          <cell r="A287" t="str">
            <v>NEI12084</v>
          </cell>
          <cell r="B287" t="str">
            <v>48355</v>
          </cell>
          <cell r="C287" t="str">
            <v>VALERO REFINING COMPANY</v>
          </cell>
          <cell r="D287" t="str">
            <v>5900 UP RIVER ROAD</v>
          </cell>
          <cell r="E287" t="str">
            <v>CORPUS CHRISTI</v>
          </cell>
          <cell r="F287" t="str">
            <v>TX</v>
          </cell>
        </row>
        <row r="288">
          <cell r="A288" t="str">
            <v>NEI41863</v>
          </cell>
          <cell r="B288" t="str">
            <v>48355</v>
          </cell>
          <cell r="C288" t="str">
            <v>VALERO REFINING TEXAS L.P. CORPUS CHRISTI EAST PLANT</v>
          </cell>
          <cell r="D288" t="str">
            <v>1300 CANTWELL LN.</v>
          </cell>
          <cell r="E288" t="str">
            <v>CORPUS CHRISTI</v>
          </cell>
          <cell r="F288" t="str">
            <v>TX</v>
          </cell>
        </row>
        <row r="289">
          <cell r="A289" t="str">
            <v>NEI12084</v>
          </cell>
          <cell r="B289" t="str">
            <v>48355</v>
          </cell>
          <cell r="C289" t="str">
            <v>VALERO REFINING TEXAS L.P. CORPUS CHRISTI WEST PLANT</v>
          </cell>
          <cell r="D289" t="str">
            <v>5900 UP RIVER RD.</v>
          </cell>
          <cell r="E289" t="str">
            <v>CORPUS CHRISTI</v>
          </cell>
          <cell r="F289" t="str">
            <v>TX</v>
          </cell>
        </row>
        <row r="290">
          <cell r="A290" t="str">
            <v>NEI41864</v>
          </cell>
          <cell r="B290" t="str">
            <v>48355</v>
          </cell>
          <cell r="C290" t="str">
            <v>WEST REFINERY</v>
          </cell>
          <cell r="D290" t="str">
            <v>SUNTIDE AND UP RIVER ROADS</v>
          </cell>
          <cell r="E290" t="str">
            <v>CORPUS CHRISTI</v>
          </cell>
          <cell r="F290" t="str">
            <v>TX</v>
          </cell>
        </row>
        <row r="291">
          <cell r="A291" t="str">
            <v>NEI6617</v>
          </cell>
          <cell r="B291" t="str">
            <v>48355</v>
          </cell>
          <cell r="C291" t="str">
            <v>WEST REFINERY</v>
          </cell>
          <cell r="D291" t="str">
            <v>7350 I. 37</v>
          </cell>
          <cell r="E291" t="str">
            <v>CORPUS CHRISTI</v>
          </cell>
          <cell r="F291" t="str">
            <v>TX</v>
          </cell>
        </row>
        <row r="292">
          <cell r="A292" t="str">
            <v>NEI11119</v>
          </cell>
          <cell r="B292" t="str">
            <v>48201</v>
          </cell>
          <cell r="C292" t="str">
            <v>DEER PARK PLANT</v>
          </cell>
          <cell r="D292" t="str">
            <v>HWY 225 W OF BATTLEGROUND RD</v>
          </cell>
          <cell r="E292" t="str">
            <v>DEER PARK</v>
          </cell>
          <cell r="F292" t="str">
            <v>TX</v>
          </cell>
        </row>
        <row r="293">
          <cell r="A293" t="str">
            <v>NEI11119</v>
          </cell>
          <cell r="B293" t="str">
            <v>48201</v>
          </cell>
          <cell r="C293" t="str">
            <v>DEER PARK REFINING L.P.</v>
          </cell>
          <cell r="D293" t="str">
            <v>5900 HWY. 225</v>
          </cell>
          <cell r="E293" t="str">
            <v>DEER PARK</v>
          </cell>
          <cell r="F293" t="str">
            <v>TX</v>
          </cell>
        </row>
        <row r="294">
          <cell r="A294" t="str">
            <v>NEI11192</v>
          </cell>
          <cell r="B294" t="str">
            <v>48141</v>
          </cell>
          <cell r="C294" t="str">
            <v>CHEVRON EL PASO REFY.</v>
          </cell>
          <cell r="D294" t="str">
            <v>6501 TROWBRIDGE DR.</v>
          </cell>
          <cell r="E294" t="str">
            <v>EL PASO</v>
          </cell>
          <cell r="F294" t="str">
            <v>TX</v>
          </cell>
        </row>
        <row r="295">
          <cell r="A295" t="str">
            <v>NEI12790</v>
          </cell>
          <cell r="B295" t="str">
            <v>48141</v>
          </cell>
          <cell r="C295" t="str">
            <v>CHEVRON SOUTH</v>
          </cell>
          <cell r="D295" t="str">
            <v>6500 TROWBRIDGE ST.</v>
          </cell>
          <cell r="E295" t="str">
            <v>EL PASO</v>
          </cell>
          <cell r="F295" t="str">
            <v>TX</v>
          </cell>
        </row>
        <row r="296">
          <cell r="A296" t="str">
            <v>NEI11192</v>
          </cell>
          <cell r="B296" t="str">
            <v>48141</v>
          </cell>
          <cell r="C296" t="str">
            <v>EL PASO REFINERY</v>
          </cell>
          <cell r="D296" t="str">
            <v>6501 TROWBRIDGE</v>
          </cell>
          <cell r="E296" t="str">
            <v>EL PASO</v>
          </cell>
          <cell r="F296" t="str">
            <v>TX</v>
          </cell>
        </row>
        <row r="297">
          <cell r="A297" t="str">
            <v>NEITXT$12015</v>
          </cell>
          <cell r="B297" t="str">
            <v>48141</v>
          </cell>
          <cell r="C297" t="str">
            <v>WESTERN REFINING CO. EL PASO REFY.</v>
          </cell>
          <cell r="D297" t="str">
            <v>6500 TROWBRIDGE DR.</v>
          </cell>
          <cell r="E297" t="str">
            <v>EL PASO</v>
          </cell>
          <cell r="F297" t="str">
            <v>TX</v>
          </cell>
        </row>
        <row r="298">
          <cell r="A298" t="str">
            <v>NEI12711</v>
          </cell>
          <cell r="B298" t="str">
            <v>48201</v>
          </cell>
          <cell r="C298" t="str">
            <v>HOUSTON REFINERY</v>
          </cell>
          <cell r="D298" t="str">
            <v>9701 MANCHESTER</v>
          </cell>
          <cell r="E298" t="str">
            <v>HOUSTON</v>
          </cell>
          <cell r="F298" t="str">
            <v>TX</v>
          </cell>
        </row>
        <row r="299">
          <cell r="A299" t="str">
            <v>NEI11232</v>
          </cell>
          <cell r="B299" t="str">
            <v>48201</v>
          </cell>
          <cell r="C299" t="str">
            <v>LYONDELL-CITGO REFINING</v>
          </cell>
          <cell r="D299" t="str">
            <v>12000 LAWNDALE ST</v>
          </cell>
          <cell r="E299" t="str">
            <v>HOUSTON</v>
          </cell>
          <cell r="F299" t="str">
            <v>TX</v>
          </cell>
        </row>
        <row r="300">
          <cell r="A300" t="str">
            <v>NEI11232</v>
          </cell>
          <cell r="B300" t="str">
            <v>48201</v>
          </cell>
          <cell r="C300" t="str">
            <v>LYONDELL-CITGO REFINING L.P.</v>
          </cell>
          <cell r="D300" t="str">
            <v>12000 LAWNDALE AVE.</v>
          </cell>
          <cell r="E300" t="str">
            <v>HOUSTON</v>
          </cell>
          <cell r="F300" t="str">
            <v>TX</v>
          </cell>
        </row>
        <row r="301">
          <cell r="A301" t="str">
            <v>NEI12711</v>
          </cell>
          <cell r="B301" t="str">
            <v>48201</v>
          </cell>
          <cell r="C301" t="str">
            <v>VALERO REFINING - TEXAS L.P.</v>
          </cell>
          <cell r="D301" t="str">
            <v>9701 MANCHESTER</v>
          </cell>
          <cell r="E301" t="str">
            <v>HOUSTON</v>
          </cell>
          <cell r="F301" t="str">
            <v>TX</v>
          </cell>
        </row>
        <row r="302">
          <cell r="A302" t="str">
            <v>NEI2TX07173</v>
          </cell>
          <cell r="B302" t="str">
            <v>48071</v>
          </cell>
          <cell r="C302" t="str">
            <v>HIGH ISLAND TERMINAL</v>
          </cell>
          <cell r="D302" t="str">
            <v>2.5 MI. N. OF HIGHLAND ON S.H. 124</v>
          </cell>
          <cell r="E302" t="str">
            <v>HUNT</v>
          </cell>
          <cell r="F302" t="str">
            <v>TX</v>
          </cell>
        </row>
        <row r="303">
          <cell r="A303" t="str">
            <v>NEI2TX416</v>
          </cell>
          <cell r="B303" t="str">
            <v>48339</v>
          </cell>
          <cell r="C303" t="str">
            <v>E LAKE CREEK COMPRESSOR</v>
          </cell>
          <cell r="D303" t="str">
            <v>7900 BLOCK HODGE RD</v>
          </cell>
          <cell r="E303" t="str">
            <v>MAGNOLIA</v>
          </cell>
          <cell r="F303" t="str">
            <v>TX</v>
          </cell>
        </row>
        <row r="304">
          <cell r="A304" t="str">
            <v>NEI12480</v>
          </cell>
          <cell r="B304" t="str">
            <v>48201</v>
          </cell>
          <cell r="C304" t="str">
            <v>CROWN CENTRAL PETROLEUM CORP. HOUSTON REFY.</v>
          </cell>
          <cell r="D304" t="str">
            <v>111 RED BLUFF RD.</v>
          </cell>
          <cell r="E304" t="str">
            <v>PASADENA</v>
          </cell>
          <cell r="F304" t="str">
            <v>TX</v>
          </cell>
        </row>
        <row r="305">
          <cell r="A305" t="str">
            <v>NEI12480</v>
          </cell>
          <cell r="B305" t="str">
            <v>48201</v>
          </cell>
          <cell r="C305" t="str">
            <v>PASADENA PLANT</v>
          </cell>
          <cell r="D305" t="str">
            <v>111 RED BLUFF ROAD</v>
          </cell>
          <cell r="E305" t="str">
            <v>PASADENA</v>
          </cell>
          <cell r="F305" t="str">
            <v>TX</v>
          </cell>
        </row>
        <row r="306">
          <cell r="A306" t="str">
            <v>NEI7441</v>
          </cell>
          <cell r="B306" t="str">
            <v>48245</v>
          </cell>
          <cell r="C306" t="str">
            <v>MOTIVA ENTERPRISES L.L.C.</v>
          </cell>
          <cell r="D306" t="str">
            <v>2100 HOUSTON AVE.</v>
          </cell>
          <cell r="E306" t="str">
            <v>PORT ARTHUR</v>
          </cell>
          <cell r="F306" t="str">
            <v>TX</v>
          </cell>
        </row>
        <row r="307">
          <cell r="A307" t="str">
            <v>NEI2TXGU1161</v>
          </cell>
          <cell r="B307" t="str">
            <v>48245</v>
          </cell>
          <cell r="C307" t="str">
            <v>MOTIVA ENTERPRISES L.L.C.PORT ARTHUR TERMINAL</v>
          </cell>
          <cell r="D307" t="str">
            <v>W. END OF 7TH ST. PORT ARTHUR TERMINAL</v>
          </cell>
          <cell r="E307" t="str">
            <v>PORT ARTHUR</v>
          </cell>
          <cell r="F307" t="str">
            <v>TX</v>
          </cell>
        </row>
        <row r="308">
          <cell r="A308" t="str">
            <v>NEI7441</v>
          </cell>
          <cell r="B308" t="str">
            <v>48245</v>
          </cell>
          <cell r="C308" t="str">
            <v>PORT ARTHUR PLANT</v>
          </cell>
          <cell r="D308" t="str">
            <v>AT THE NORTH END OF HOUSTON AVENUE</v>
          </cell>
          <cell r="E308" t="str">
            <v>PORT ARTHUR</v>
          </cell>
          <cell r="F308" t="str">
            <v>TX</v>
          </cell>
        </row>
        <row r="309">
          <cell r="A309" t="str">
            <v>NEI11200</v>
          </cell>
          <cell r="B309" t="str">
            <v>48245</v>
          </cell>
          <cell r="C309" t="str">
            <v>PORT ARTHUR REFINERY</v>
          </cell>
          <cell r="D309" t="str">
            <v>1801 S. GULFWAY DRIVE</v>
          </cell>
          <cell r="E309" t="str">
            <v>PORT ARTHUR</v>
          </cell>
          <cell r="F309" t="str">
            <v>TX</v>
          </cell>
        </row>
        <row r="310">
          <cell r="A310" t="str">
            <v>NEI41771</v>
          </cell>
          <cell r="B310" t="str">
            <v>48245</v>
          </cell>
          <cell r="C310" t="str">
            <v>PORT ARTHUR REFINERY</v>
          </cell>
          <cell r="D310" t="str">
            <v>32ND ST. &amp; HWY. 366</v>
          </cell>
          <cell r="E310" t="str">
            <v>PORT ARTHUR</v>
          </cell>
          <cell r="F310" t="str">
            <v>TX</v>
          </cell>
        </row>
        <row r="311">
          <cell r="A311" t="str">
            <v>NEI2TXGU1162</v>
          </cell>
          <cell r="B311" t="str">
            <v>48245</v>
          </cell>
          <cell r="C311" t="str">
            <v>PREMCOR REFINING GROUP INC. PORT ARTHUR REFY.</v>
          </cell>
          <cell r="D311" t="str">
            <v>10801 S. GULFWAY DR.</v>
          </cell>
          <cell r="E311" t="str">
            <v>PORT ARTHUR</v>
          </cell>
          <cell r="F311" t="str">
            <v>TX</v>
          </cell>
        </row>
        <row r="312">
          <cell r="A312" t="str">
            <v>NEI7130</v>
          </cell>
          <cell r="B312" t="str">
            <v>48029</v>
          </cell>
          <cell r="C312" t="str">
            <v>PETROLEUM REFINERY</v>
          </cell>
          <cell r="D312" t="str">
            <v>7811 S. PRESA ST.</v>
          </cell>
          <cell r="E312" t="str">
            <v>SAN ANTONIO</v>
          </cell>
          <cell r="F312" t="str">
            <v>TX</v>
          </cell>
        </row>
        <row r="313">
          <cell r="A313" t="str">
            <v>NEI8139</v>
          </cell>
          <cell r="B313" t="str">
            <v>48341</v>
          </cell>
          <cell r="C313" t="str">
            <v>DIAMOND SHAMROCK REFINING CO. L.P.</v>
          </cell>
          <cell r="D313" t="str">
            <v>6701 FM 119</v>
          </cell>
          <cell r="E313" t="str">
            <v>SUNRAY</v>
          </cell>
          <cell r="F313" t="str">
            <v>TX</v>
          </cell>
        </row>
        <row r="314">
          <cell r="A314" t="str">
            <v>NEI8139</v>
          </cell>
          <cell r="B314" t="str">
            <v>48341</v>
          </cell>
          <cell r="C314" t="str">
            <v>MCKEE PLANTS</v>
          </cell>
          <cell r="D314" t="str">
            <v>6701 FM 119</v>
          </cell>
          <cell r="E314" t="str">
            <v>SUNRAY</v>
          </cell>
          <cell r="F314" t="str">
            <v>TX</v>
          </cell>
        </row>
        <row r="315">
          <cell r="A315" t="str">
            <v>NEI6519</v>
          </cell>
          <cell r="B315" t="str">
            <v>48039</v>
          </cell>
          <cell r="C315" t="str">
            <v>Phillips</v>
          </cell>
          <cell r="D315" t="str">
            <v>STATE HWY. 35 AT FM 524</v>
          </cell>
          <cell r="E315" t="str">
            <v>Sweeney</v>
          </cell>
          <cell r="F315" t="str">
            <v>TX</v>
          </cell>
        </row>
        <row r="316">
          <cell r="A316" t="str">
            <v>NEITXT$11613</v>
          </cell>
          <cell r="B316" t="str">
            <v>48039</v>
          </cell>
          <cell r="C316" t="str">
            <v>CONOCOPHILLIPS SAN BERNARD TERMINAL</v>
          </cell>
          <cell r="D316" t="str">
            <v>C.R. 372</v>
          </cell>
          <cell r="E316" t="str">
            <v>SWEENY</v>
          </cell>
          <cell r="F316" t="str">
            <v>TX</v>
          </cell>
        </row>
        <row r="317">
          <cell r="A317" t="str">
            <v>NEI6519</v>
          </cell>
          <cell r="B317" t="str">
            <v>48039</v>
          </cell>
          <cell r="C317" t="str">
            <v>SWEENY REFINERY PETROCHEM</v>
          </cell>
          <cell r="D317" t="str">
            <v>HWY 35 AND 524 AT OLD OCEAN</v>
          </cell>
          <cell r="E317" t="str">
            <v>SWEENY</v>
          </cell>
          <cell r="F317" t="str">
            <v>TX</v>
          </cell>
        </row>
        <row r="318">
          <cell r="A318" t="str">
            <v>NEI6436</v>
          </cell>
          <cell r="B318" t="str">
            <v>48167</v>
          </cell>
          <cell r="C318" t="str">
            <v>BP TEXAS CITY REFY.</v>
          </cell>
          <cell r="D318" t="str">
            <v>2401 5TH AVE. S.</v>
          </cell>
          <cell r="E318" t="str">
            <v>TEXAS CITY</v>
          </cell>
          <cell r="F318" t="str">
            <v>TX</v>
          </cell>
        </row>
        <row r="319">
          <cell r="A319" t="str">
            <v>NEI2TXT17872</v>
          </cell>
          <cell r="B319" t="str">
            <v>48167</v>
          </cell>
          <cell r="C319" t="str">
            <v>BP TEXAS CITY REFY. DOCKS</v>
          </cell>
          <cell r="D319" t="str">
            <v>LOOP 197 S. BETWEEN HWY. 6 &amp; 519</v>
          </cell>
          <cell r="E319" t="str">
            <v>TEXAS CITY</v>
          </cell>
          <cell r="F319" t="str">
            <v>TX</v>
          </cell>
        </row>
        <row r="320">
          <cell r="A320" t="str">
            <v>NEI12044</v>
          </cell>
          <cell r="B320" t="str">
            <v>48167</v>
          </cell>
          <cell r="C320" t="str">
            <v>MARATHON ASHLAND PETROLEUM L.L.C.</v>
          </cell>
          <cell r="D320" t="str">
            <v>1320 LOOP 197 S.</v>
          </cell>
          <cell r="E320" t="str">
            <v>TEXAS CITY</v>
          </cell>
          <cell r="F320" t="str">
            <v>TX</v>
          </cell>
        </row>
        <row r="321">
          <cell r="A321" t="str">
            <v>NEI12044</v>
          </cell>
          <cell r="B321" t="str">
            <v>48167</v>
          </cell>
          <cell r="C321" t="str">
            <v>TEXAS CITY REFINERY</v>
          </cell>
          <cell r="D321" t="str">
            <v>10TH ST. SOUTH</v>
          </cell>
          <cell r="E321" t="str">
            <v>TEXAS CITY</v>
          </cell>
          <cell r="F321" t="str">
            <v>TX</v>
          </cell>
        </row>
        <row r="322">
          <cell r="A322" t="str">
            <v>NEI12791</v>
          </cell>
          <cell r="B322" t="str">
            <v>48167</v>
          </cell>
          <cell r="C322" t="str">
            <v>TEXAS CITY REFINERY</v>
          </cell>
          <cell r="D322" t="str">
            <v>LOOP 197 S @ 14TH ST</v>
          </cell>
          <cell r="E322" t="str">
            <v>TEXAS CITY</v>
          </cell>
          <cell r="F322" t="str">
            <v>TX</v>
          </cell>
        </row>
        <row r="323">
          <cell r="A323" t="str">
            <v>NEI6436</v>
          </cell>
          <cell r="B323" t="str">
            <v>48167</v>
          </cell>
          <cell r="C323" t="str">
            <v>TEXAS CITY REFINERY</v>
          </cell>
          <cell r="D323" t="str">
            <v>FIFTH AVENUE SOUTH</v>
          </cell>
          <cell r="E323" t="str">
            <v>TEXAS CITY</v>
          </cell>
          <cell r="F323" t="str">
            <v>TX</v>
          </cell>
        </row>
        <row r="324">
          <cell r="A324" t="str">
            <v>NEI12791</v>
          </cell>
          <cell r="B324" t="str">
            <v>48167</v>
          </cell>
          <cell r="C324" t="str">
            <v>VALERO REFINING TEXAS L.P.</v>
          </cell>
          <cell r="D324" t="str">
            <v>1301 LOOP 197 S.</v>
          </cell>
          <cell r="E324" t="str">
            <v>TEXAS CITY</v>
          </cell>
          <cell r="F324" t="str">
            <v>TX</v>
          </cell>
        </row>
        <row r="325">
          <cell r="A325" t="str">
            <v>NEI12486</v>
          </cell>
          <cell r="B325" t="str">
            <v>48297</v>
          </cell>
          <cell r="C325" t="str">
            <v>THREE RIVERS REFINERY</v>
          </cell>
          <cell r="D325" t="str">
            <v>301 LEROY STREET</v>
          </cell>
          <cell r="E325" t="str">
            <v>THREE RIVERS</v>
          </cell>
          <cell r="F325" t="str">
            <v>TX</v>
          </cell>
        </row>
        <row r="326">
          <cell r="A326" t="str">
            <v>NEI12486</v>
          </cell>
          <cell r="B326" t="str">
            <v>48297</v>
          </cell>
          <cell r="C326" t="str">
            <v>VALERO THREE RIVERS REFY.</v>
          </cell>
          <cell r="D326" t="str">
            <v>301 LEROY ST.</v>
          </cell>
          <cell r="E326" t="str">
            <v>THREE RIVERS</v>
          </cell>
          <cell r="F326" t="str">
            <v>TX</v>
          </cell>
        </row>
        <row r="327">
          <cell r="A327" t="str">
            <v>NEI6475</v>
          </cell>
          <cell r="B327" t="str">
            <v>48423</v>
          </cell>
          <cell r="C327" t="str">
            <v>LA GLORIA OIL &amp; GAS CO.</v>
          </cell>
          <cell r="D327" t="str">
            <v>1702 E. COMMERCE ST.</v>
          </cell>
          <cell r="E327" t="str">
            <v>TYLER</v>
          </cell>
          <cell r="F327" t="str">
            <v>TX</v>
          </cell>
        </row>
        <row r="328">
          <cell r="A328" t="str">
            <v>NEI6475</v>
          </cell>
          <cell r="B328" t="str">
            <v>48423</v>
          </cell>
          <cell r="C328" t="str">
            <v>SAME</v>
          </cell>
          <cell r="D328" t="str">
            <v>1702 E COMMERCE ST</v>
          </cell>
          <cell r="E328" t="str">
            <v>TYLER</v>
          </cell>
          <cell r="F328" t="str">
            <v>TX</v>
          </cell>
        </row>
        <row r="329">
          <cell r="A329" t="str">
            <v>NEITX245200H</v>
          </cell>
          <cell r="B329" t="str">
            <v>48245</v>
          </cell>
          <cell r="C329" t="str">
            <v>WINNIE COMPRESSOR STA 1</v>
          </cell>
          <cell r="D329" t="str">
            <v>JUNCTION OF HWY 124 &amp; 73 EAST OF WINNIE</v>
          </cell>
          <cell r="E329" t="str">
            <v>WINNIE</v>
          </cell>
          <cell r="F329" t="str">
            <v>TX</v>
          </cell>
        </row>
        <row r="330">
          <cell r="A330" t="str">
            <v>NEIUT0430681</v>
          </cell>
          <cell r="B330" t="str">
            <v>49043</v>
          </cell>
          <cell r="C330" t="str">
            <v>Anschutz Station</v>
          </cell>
          <cell r="D330" t="str">
            <v>Located in Summit County</v>
          </cell>
          <cell r="E330" t="str">
            <v>Blanding</v>
          </cell>
          <cell r="F330" t="str">
            <v>UT</v>
          </cell>
        </row>
        <row r="331">
          <cell r="A331" t="str">
            <v>NEIUT0430678</v>
          </cell>
          <cell r="B331" t="str">
            <v>49043</v>
          </cell>
          <cell r="C331" t="str">
            <v>Pineview Station</v>
          </cell>
          <cell r="D331" t="str">
            <v>3604 East Chalk Creek Rd.</v>
          </cell>
          <cell r="E331" t="str">
            <v>Coalville</v>
          </cell>
          <cell r="F331" t="str">
            <v>UT</v>
          </cell>
        </row>
        <row r="332">
          <cell r="A332" t="str">
            <v>NEI42016</v>
          </cell>
          <cell r="B332" t="str">
            <v>49011</v>
          </cell>
          <cell r="C332" t="str">
            <v>BIG WEST OIL L.L.C.</v>
          </cell>
          <cell r="D332" t="str">
            <v>333 W. CENTER ST.</v>
          </cell>
          <cell r="E332" t="str">
            <v>NORTH SALT LAKE</v>
          </cell>
          <cell r="F332" t="str">
            <v>UT</v>
          </cell>
        </row>
        <row r="333">
          <cell r="A333" t="str">
            <v>NEI42016</v>
          </cell>
          <cell r="B333" t="str">
            <v>49011</v>
          </cell>
          <cell r="C333" t="str">
            <v>Flying J Refinery (Big West Oil Co.)</v>
          </cell>
          <cell r="D333" t="str">
            <v>333 W Center St</v>
          </cell>
          <cell r="E333" t="str">
            <v>North Salt Lake</v>
          </cell>
          <cell r="F333" t="str">
            <v>UT</v>
          </cell>
        </row>
        <row r="334">
          <cell r="A334" t="str">
            <v>NEI42081</v>
          </cell>
          <cell r="B334" t="str">
            <v>49035</v>
          </cell>
          <cell r="C334" t="str">
            <v>CHEVRON PRODS. CO. SALT LAKE REFY.</v>
          </cell>
          <cell r="D334" t="str">
            <v>2351 N. 1100 W.</v>
          </cell>
          <cell r="E334" t="str">
            <v>SALT LAKE CITY</v>
          </cell>
          <cell r="F334" t="str">
            <v>UT</v>
          </cell>
        </row>
        <row r="335">
          <cell r="A335" t="str">
            <v>NEI42040</v>
          </cell>
          <cell r="B335" t="str">
            <v>49035</v>
          </cell>
          <cell r="C335" t="str">
            <v>Salt Lake City Refinery</v>
          </cell>
          <cell r="D335" t="str">
            <v>474 West 900 North</v>
          </cell>
          <cell r="E335" t="str">
            <v>Salt Lake City</v>
          </cell>
          <cell r="F335" t="str">
            <v>UT</v>
          </cell>
        </row>
        <row r="336">
          <cell r="A336" t="str">
            <v>NEI42081</v>
          </cell>
          <cell r="B336" t="str">
            <v>49011</v>
          </cell>
          <cell r="C336" t="str">
            <v>Salt Lake Refinery</v>
          </cell>
          <cell r="D336" t="str">
            <v>2351 N 1100 W</v>
          </cell>
          <cell r="E336" t="str">
            <v>Salt Lake City</v>
          </cell>
          <cell r="F336" t="str">
            <v>UT</v>
          </cell>
        </row>
        <row r="337">
          <cell r="A337" t="str">
            <v>NEI42040</v>
          </cell>
          <cell r="B337" t="str">
            <v>49035</v>
          </cell>
          <cell r="C337" t="str">
            <v>TESORO REFINING &amp; MARKETING CO.</v>
          </cell>
          <cell r="D337" t="str">
            <v>474 W. 900 N.</v>
          </cell>
          <cell r="E337" t="str">
            <v>SALT LAKE CITY</v>
          </cell>
          <cell r="F337" t="str">
            <v>UT</v>
          </cell>
        </row>
        <row r="338">
          <cell r="A338" t="str">
            <v>NEIUT0430677</v>
          </cell>
          <cell r="B338" t="str">
            <v>49043</v>
          </cell>
          <cell r="C338" t="str">
            <v>Wahsatch Station</v>
          </cell>
          <cell r="D338" t="str">
            <v>Approximately 8 miles west of Evanston WY</v>
          </cell>
          <cell r="E338" t="str">
            <v>Wahsatch</v>
          </cell>
          <cell r="F338" t="str">
            <v>UT</v>
          </cell>
        </row>
        <row r="339">
          <cell r="A339" t="str">
            <v>NEI42025</v>
          </cell>
          <cell r="B339" t="str">
            <v>49011</v>
          </cell>
          <cell r="C339" t="str">
            <v>Petroleum Products Refining</v>
          </cell>
          <cell r="D339" t="str">
            <v>2355 So. 1100 West</v>
          </cell>
          <cell r="E339" t="str">
            <v>Woods Cross</v>
          </cell>
          <cell r="F339" t="str">
            <v>UT</v>
          </cell>
        </row>
        <row r="340">
          <cell r="A340" t="str">
            <v>NEI42020</v>
          </cell>
          <cell r="B340" t="str">
            <v>49011</v>
          </cell>
          <cell r="C340" t="str">
            <v>PHILLIPS 66 CO.</v>
          </cell>
          <cell r="D340" t="str">
            <v>393 S. 800 W.</v>
          </cell>
          <cell r="E340" t="str">
            <v>WOODS CROSS</v>
          </cell>
          <cell r="F340" t="str">
            <v>UT</v>
          </cell>
        </row>
        <row r="341">
          <cell r="A341" t="str">
            <v>NEI42020</v>
          </cell>
          <cell r="B341" t="str">
            <v>49011</v>
          </cell>
          <cell r="C341" t="str">
            <v>Phillips Refinery</v>
          </cell>
          <cell r="D341" t="str">
            <v>393 South 800 West</v>
          </cell>
          <cell r="E341" t="str">
            <v>Woods Cross</v>
          </cell>
          <cell r="F341" t="str">
            <v>UT</v>
          </cell>
        </row>
        <row r="342">
          <cell r="A342" t="str">
            <v>NEI42025</v>
          </cell>
          <cell r="B342" t="str">
            <v>49011</v>
          </cell>
          <cell r="C342" t="str">
            <v>SILVER EAGLE REFINING-WOODS CROSS INC.</v>
          </cell>
          <cell r="D342" t="str">
            <v>2355 S. 1100 W.</v>
          </cell>
          <cell r="E342" t="str">
            <v>WOODS CROSS</v>
          </cell>
          <cell r="F342" t="str">
            <v>UT</v>
          </cell>
        </row>
        <row r="343">
          <cell r="A343" t="str">
            <v>NEI42309</v>
          </cell>
          <cell r="B343" t="str">
            <v>51199</v>
          </cell>
          <cell r="C343" t="str">
            <v>Giant Yorktown Refinery</v>
          </cell>
          <cell r="D343" t="str">
            <v>2201 Goodwin Neck Rd</v>
          </cell>
          <cell r="E343" t="str">
            <v>Grafton</v>
          </cell>
          <cell r="F343" t="str">
            <v>VA</v>
          </cell>
        </row>
        <row r="344">
          <cell r="A344" t="str">
            <v>NEI42309</v>
          </cell>
          <cell r="B344" t="str">
            <v>51199</v>
          </cell>
          <cell r="C344" t="str">
            <v>YORKTOWN REFY.</v>
          </cell>
          <cell r="D344" t="str">
            <v>2201 GOODWIN NECK RD.</v>
          </cell>
          <cell r="E344" t="str">
            <v>GRAFTON</v>
          </cell>
          <cell r="F344" t="str">
            <v>VA</v>
          </cell>
        </row>
        <row r="345">
          <cell r="A345" t="str">
            <v>NEI46556</v>
          </cell>
          <cell r="B345" t="str">
            <v>78010</v>
          </cell>
          <cell r="C345" t="str">
            <v>HOVENSA L.L.C.</v>
          </cell>
          <cell r="D345" t="str">
            <v>1 ESTATE HOPE</v>
          </cell>
          <cell r="E345" t="str">
            <v>CHRISTIANSTED</v>
          </cell>
          <cell r="F345" t="str">
            <v>VI</v>
          </cell>
        </row>
        <row r="346">
          <cell r="A346" t="str">
            <v>NEI42382</v>
          </cell>
          <cell r="B346" t="str">
            <v>53057</v>
          </cell>
          <cell r="C346" t="str">
            <v>PUGET SOUND REFINING COMPANY</v>
          </cell>
          <cell r="D346" t="str">
            <v>8505 SOUTH TEXAS ROAD</v>
          </cell>
          <cell r="E346" t="str">
            <v>ANACORTES</v>
          </cell>
          <cell r="F346" t="str">
            <v>WA</v>
          </cell>
        </row>
        <row r="347">
          <cell r="A347" t="str">
            <v>NEI42382</v>
          </cell>
          <cell r="B347" t="str">
            <v>53057</v>
          </cell>
          <cell r="C347" t="str">
            <v>SHELL OIL PRODS. U.S. PUGET SOUND REFY.</v>
          </cell>
          <cell r="D347" t="str">
            <v>8505 S. TEXAS RD.</v>
          </cell>
          <cell r="E347" t="str">
            <v>ANACORTES</v>
          </cell>
          <cell r="F347" t="str">
            <v>WA</v>
          </cell>
        </row>
        <row r="348">
          <cell r="A348" t="str">
            <v>NEI42381</v>
          </cell>
          <cell r="B348" t="str">
            <v>53057</v>
          </cell>
          <cell r="C348" t="str">
            <v>TESORO NORTHWEST COMPANY</v>
          </cell>
          <cell r="D348" t="str">
            <v>1020 W MARCH POINT RD</v>
          </cell>
          <cell r="E348" t="str">
            <v>ANACORTES</v>
          </cell>
          <cell r="F348" t="str">
            <v>WA</v>
          </cell>
        </row>
        <row r="349">
          <cell r="A349" t="str">
            <v>NEI42381</v>
          </cell>
          <cell r="B349" t="str">
            <v>53057</v>
          </cell>
          <cell r="C349" t="str">
            <v>TESORO REFINING &amp; MARKETING CO.</v>
          </cell>
          <cell r="D349" t="str">
            <v>W. MARCH POINT RD.</v>
          </cell>
          <cell r="E349" t="str">
            <v>ANACORTES</v>
          </cell>
          <cell r="F349" t="str">
            <v>WA</v>
          </cell>
        </row>
        <row r="350">
          <cell r="A350" t="str">
            <v>NEI42413</v>
          </cell>
          <cell r="B350" t="str">
            <v>53073</v>
          </cell>
          <cell r="C350" t="str">
            <v>BP CHERRY POINT REFINERY</v>
          </cell>
          <cell r="D350" t="str">
            <v>4519 GRANDVIEW RD</v>
          </cell>
          <cell r="E350" t="str">
            <v>BLAINE</v>
          </cell>
          <cell r="F350" t="str">
            <v>WA</v>
          </cell>
        </row>
        <row r="351">
          <cell r="A351" t="str">
            <v>NEI42413</v>
          </cell>
          <cell r="B351" t="str">
            <v>53073</v>
          </cell>
          <cell r="C351" t="str">
            <v>BP CHERRY POINT REFY.</v>
          </cell>
          <cell r="D351" t="str">
            <v>4519 GRANDVIEW RD.</v>
          </cell>
          <cell r="E351" t="str">
            <v>BLAINE</v>
          </cell>
          <cell r="F351" t="str">
            <v>WA</v>
          </cell>
        </row>
        <row r="352">
          <cell r="A352" t="str">
            <v>NEI42425</v>
          </cell>
          <cell r="B352" t="str">
            <v>53073</v>
          </cell>
          <cell r="C352" t="str">
            <v>CONOCO PHILLIPS</v>
          </cell>
          <cell r="D352" t="str">
            <v>3901 UNICK RD</v>
          </cell>
          <cell r="E352" t="str">
            <v>FERNDALE</v>
          </cell>
          <cell r="F352" t="str">
            <v>WA</v>
          </cell>
        </row>
        <row r="353">
          <cell r="A353" t="str">
            <v>NEI42425</v>
          </cell>
          <cell r="B353" t="str">
            <v>53073</v>
          </cell>
          <cell r="C353" t="str">
            <v>CONOCOPHILLIPS FERNDALE REFY.</v>
          </cell>
          <cell r="D353" t="str">
            <v>3901 UNICK RD.</v>
          </cell>
          <cell r="E353" t="str">
            <v>FERNDALE</v>
          </cell>
          <cell r="F353" t="str">
            <v>WA</v>
          </cell>
        </row>
        <row r="354">
          <cell r="A354" t="str">
            <v>NEI42370</v>
          </cell>
          <cell r="B354" t="str">
            <v>53053</v>
          </cell>
          <cell r="C354" t="str">
            <v>U S Oil &amp; Refining Co</v>
          </cell>
          <cell r="D354" t="str">
            <v>3001 Marshall Ave</v>
          </cell>
          <cell r="E354" t="str">
            <v>Tacoma</v>
          </cell>
          <cell r="F354" t="str">
            <v>WA</v>
          </cell>
        </row>
        <row r="355">
          <cell r="A355" t="str">
            <v>NEI42370</v>
          </cell>
          <cell r="B355" t="str">
            <v>53053</v>
          </cell>
          <cell r="C355" t="str">
            <v>U.S. OIL &amp; REFINING CO.</v>
          </cell>
          <cell r="D355" t="str">
            <v>3001 MARSHALL AVE.</v>
          </cell>
          <cell r="E355" t="str">
            <v>TACOMA</v>
          </cell>
          <cell r="F355" t="str">
            <v>WA</v>
          </cell>
        </row>
        <row r="356">
          <cell r="A356" t="str">
            <v>NEIWI0311400</v>
          </cell>
          <cell r="B356" t="str">
            <v>55031</v>
          </cell>
          <cell r="C356" t="str">
            <v>DOME PETROLEUM - SUPERIOR TERMINAL</v>
          </cell>
          <cell r="D356" t="str">
            <v>25TH AVE</v>
          </cell>
          <cell r="E356" t="str">
            <v>SUPERIOR</v>
          </cell>
          <cell r="F356" t="str">
            <v>WI</v>
          </cell>
        </row>
        <row r="357">
          <cell r="A357" t="str">
            <v>NEI42583</v>
          </cell>
          <cell r="B357" t="str">
            <v>55031</v>
          </cell>
          <cell r="C357" t="str">
            <v>MURPHY OIL USA</v>
          </cell>
          <cell r="D357" t="str">
            <v>24TH AVE E AND 26TH ST</v>
          </cell>
          <cell r="E357" t="str">
            <v>SUPERIOR</v>
          </cell>
          <cell r="F357" t="str">
            <v>WI</v>
          </cell>
        </row>
        <row r="358">
          <cell r="A358" t="str">
            <v>NEI42583</v>
          </cell>
          <cell r="B358" t="str">
            <v>55031</v>
          </cell>
          <cell r="C358" t="str">
            <v>MURPHY OIL USA INC.</v>
          </cell>
          <cell r="D358" t="str">
            <v>2407 STINSON AVE.</v>
          </cell>
          <cell r="E358" t="str">
            <v>SUPERIOR</v>
          </cell>
          <cell r="F358" t="str">
            <v>WI</v>
          </cell>
        </row>
        <row r="359">
          <cell r="A359" t="str">
            <v>NEI46752</v>
          </cell>
          <cell r="B359" t="str">
            <v>54029</v>
          </cell>
          <cell r="C359" t="str">
            <v>ERGON - WEST VIRGINIA, INC.</v>
          </cell>
          <cell r="D359" t="str">
            <v>ROUTE 2 SOUTH</v>
          </cell>
          <cell r="E359" t="str">
            <v>NEWELL</v>
          </cell>
          <cell r="F359" t="str">
            <v>WV</v>
          </cell>
        </row>
        <row r="360">
          <cell r="A360" t="str">
            <v>NEI46752</v>
          </cell>
          <cell r="B360" t="str">
            <v>54029</v>
          </cell>
          <cell r="C360" t="str">
            <v>ERGON WEST VIRGINIA INC.</v>
          </cell>
          <cell r="D360" t="str">
            <v>STATE RTE. 2 BOX 356</v>
          </cell>
          <cell r="E360" t="str">
            <v>NEWELL</v>
          </cell>
          <cell r="F360" t="str">
            <v>WV</v>
          </cell>
        </row>
        <row r="361">
          <cell r="A361" t="str">
            <v>NEIWV0730002</v>
          </cell>
          <cell r="B361" t="str">
            <v>54073</v>
          </cell>
          <cell r="C361" t="str">
            <v>ST. MARYS REFINING COMPANY</v>
          </cell>
          <cell r="D361" t="str">
            <v>201 BARKWILL STREET</v>
          </cell>
          <cell r="E361" t="str">
            <v>ST. MARYS</v>
          </cell>
          <cell r="F361" t="str">
            <v>WV</v>
          </cell>
        </row>
        <row r="362">
          <cell r="A362" t="str">
            <v>NEI371</v>
          </cell>
          <cell r="B362" t="str">
            <v>56025</v>
          </cell>
          <cell r="C362" t="str">
            <v>SINCLAIR OIL CORP. CASPER REFY.</v>
          </cell>
          <cell r="D362" t="str">
            <v>5700 E. HWY. 20/26</v>
          </cell>
          <cell r="E362" t="str">
            <v>CASPER</v>
          </cell>
          <cell r="F362" t="str">
            <v>WY</v>
          </cell>
        </row>
        <row r="363">
          <cell r="A363" t="str">
            <v>NEI363</v>
          </cell>
          <cell r="B363" t="str">
            <v>56021</v>
          </cell>
          <cell r="C363" t="str">
            <v>FRONTIER REFINING, INC.</v>
          </cell>
          <cell r="D363" t="str">
            <v>2700 EAST 5TH STREET</v>
          </cell>
          <cell r="E363" t="str">
            <v>CHEYENNE</v>
          </cell>
          <cell r="F363" t="str">
            <v>WY</v>
          </cell>
        </row>
        <row r="364">
          <cell r="A364" t="str">
            <v>NEIWYT$12156</v>
          </cell>
          <cell r="B364" t="str">
            <v>56041</v>
          </cell>
          <cell r="C364" t="str">
            <v>SILVER EAGLE REFINING-EVANSTON</v>
          </cell>
          <cell r="D364" t="str">
            <v>2990 COUNTY RD. 180</v>
          </cell>
          <cell r="E364" t="str">
            <v>EVANSTON</v>
          </cell>
          <cell r="F364" t="str">
            <v>WY</v>
          </cell>
        </row>
        <row r="365">
          <cell r="A365" t="str">
            <v>NEI371</v>
          </cell>
          <cell r="B365" t="str">
            <v>56025</v>
          </cell>
          <cell r="C365" t="str">
            <v>SINCLAIR REFINERY - CASPER</v>
          </cell>
          <cell r="D365" t="str">
            <v>PO BOX 510</v>
          </cell>
          <cell r="E365" t="str">
            <v>EVANSVILLE</v>
          </cell>
          <cell r="F365" t="str">
            <v>WY</v>
          </cell>
        </row>
        <row r="366">
          <cell r="A366" t="str">
            <v>NEI404</v>
          </cell>
          <cell r="B366" t="str">
            <v>56045</v>
          </cell>
          <cell r="C366" t="str">
            <v>WYOMING REFINING CO.</v>
          </cell>
          <cell r="D366" t="str">
            <v>740 W. MAIN ST.</v>
          </cell>
          <cell r="E366" t="str">
            <v>NEWCASTLE</v>
          </cell>
          <cell r="F366" t="str">
            <v>WY</v>
          </cell>
        </row>
        <row r="367">
          <cell r="A367" t="str">
            <v>NEI404</v>
          </cell>
          <cell r="B367" t="str">
            <v>56045</v>
          </cell>
          <cell r="C367" t="str">
            <v>WYOMING REFINING CO_NEWCASTLE REFINERY</v>
          </cell>
          <cell r="D367" t="str">
            <v>740  W MAIN STREET</v>
          </cell>
          <cell r="E367" t="str">
            <v>NEWCASTLE</v>
          </cell>
          <cell r="F367" t="str">
            <v>WY</v>
          </cell>
        </row>
        <row r="368">
          <cell r="A368" t="str">
            <v>NEI43243</v>
          </cell>
          <cell r="B368" t="str">
            <v>56007</v>
          </cell>
          <cell r="C368" t="str">
            <v>SINCLAIR OIL CORP.</v>
          </cell>
          <cell r="D368" t="str">
            <v>100 E. LINCOLN AVE.</v>
          </cell>
          <cell r="E368" t="str">
            <v>SINCLAIR</v>
          </cell>
          <cell r="F368" t="str">
            <v>WY</v>
          </cell>
        </row>
        <row r="369">
          <cell r="A369" t="str">
            <v>NEI43243</v>
          </cell>
          <cell r="B369" t="str">
            <v>56007</v>
          </cell>
          <cell r="C369" t="str">
            <v>SINCLAIR OIL CORP-SINCLAIR REFINERY</v>
          </cell>
          <cell r="D369" t="str">
            <v>BOX 277</v>
          </cell>
          <cell r="E369" t="str">
            <v>SINCLAIR</v>
          </cell>
          <cell r="F369" t="str">
            <v>WY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osswalk"/>
      <sheetName val="T_01"/>
      <sheetName val="T_03"/>
      <sheetName val="T_05"/>
      <sheetName val="T_07"/>
      <sheetName val="T_09"/>
      <sheetName val="T_11"/>
      <sheetName val="T_13"/>
      <sheetName val="T_15"/>
      <sheetName val="T_17"/>
      <sheetName val="T_19"/>
      <sheetName val="T_21"/>
      <sheetName val="T_23"/>
      <sheetName val="T_25"/>
      <sheetName val="T_26"/>
      <sheetName val="T_27a"/>
      <sheetName val="T_27b"/>
      <sheetName val="T_28a"/>
      <sheetName val="T_28b"/>
      <sheetName val="T_29a"/>
      <sheetName val="T_29b"/>
      <sheetName val="T_30a"/>
      <sheetName val="T_30b"/>
      <sheetName val="T_31"/>
      <sheetName val="T_32a"/>
      <sheetName val="T_32b"/>
      <sheetName val="T_33"/>
      <sheetName val="T_34"/>
      <sheetName val="T_35a"/>
      <sheetName val="T_35b"/>
      <sheetName val="T_36a"/>
      <sheetName val="T_36b"/>
      <sheetName val="T_37a"/>
      <sheetName val="T_37b"/>
      <sheetName val="T_37c"/>
      <sheetName val="T_37d"/>
      <sheetName val="T_38a"/>
      <sheetName val="T_38b"/>
      <sheetName val="T_38c"/>
      <sheetName val="T_38d"/>
      <sheetName val="T_39a"/>
      <sheetName val="T_39b"/>
      <sheetName val="T_39c"/>
      <sheetName val="T_39d"/>
      <sheetName val="T_40a"/>
      <sheetName val="T_40b"/>
      <sheetName val="T_40c"/>
      <sheetName val="T_40d"/>
      <sheetName val="T_41a"/>
      <sheetName val="T_41b"/>
      <sheetName val="T_41c"/>
      <sheetName val="T_41d"/>
      <sheetName val="T_42a"/>
      <sheetName val="T_42b"/>
      <sheetName val="T_42c"/>
      <sheetName val="T_42d"/>
      <sheetName val="T_43a"/>
      <sheetName val="T_43b"/>
      <sheetName val="T_43c"/>
      <sheetName val="T_43d"/>
      <sheetName val="T_44a"/>
      <sheetName val="T_44b"/>
      <sheetName val="T_44c"/>
      <sheetName val="T_44d"/>
      <sheetName val="T_45a"/>
      <sheetName val="T_45b"/>
      <sheetName val="T_45c"/>
      <sheetName val="T_45d"/>
      <sheetName val="T_46a"/>
      <sheetName val="T_46b"/>
      <sheetName val="T_46c"/>
      <sheetName val="T_46d"/>
      <sheetName val="T_47"/>
      <sheetName val="T_48"/>
      <sheetName val="T_49a"/>
      <sheetName val="T_49b"/>
      <sheetName val="T_49c"/>
      <sheetName val="T_49d"/>
      <sheetName val="T_50a"/>
      <sheetName val="T_50b"/>
      <sheetName val="T_50c"/>
      <sheetName val="T_50d"/>
      <sheetName val="Import_Template"/>
      <sheetName val="T_51a"/>
      <sheetName val="T_51b"/>
      <sheetName val="T_51c"/>
      <sheetName val="T_51d"/>
      <sheetName val="T_52a"/>
      <sheetName val="T_52b"/>
      <sheetName val="T_52c"/>
      <sheetName val="T_52d"/>
      <sheetName val="T_53a"/>
      <sheetName val="T_53b"/>
      <sheetName val="T_53c"/>
      <sheetName val="T_53d"/>
      <sheetName val="T_54"/>
      <sheetName val="T_55a"/>
      <sheetName val="T_55b"/>
      <sheetName val="T_56"/>
      <sheetName val="T_57a"/>
      <sheetName val="T_57b"/>
      <sheetName val="T_58a"/>
      <sheetName val="T_58b"/>
      <sheetName val="T_C1a"/>
      <sheetName val="T_C1b"/>
      <sheetName val="Append D"/>
      <sheetName val="T_B1"/>
      <sheetName val="Table B1"/>
      <sheetName val="Home"/>
      <sheetName val="TableDef"/>
      <sheetName val="D_All_M"/>
      <sheetName val="D_All_YTD"/>
    </sheetNames>
    <sheetDataSet>
      <sheetData sheetId="108">
        <row r="3">
          <cell r="C3">
            <v>38822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rosswalk"/>
      <sheetName val="T_01"/>
      <sheetName val="T_02"/>
      <sheetName val="T_03"/>
      <sheetName val="T_04"/>
      <sheetName val="T_05"/>
      <sheetName val="T_06"/>
      <sheetName val="T_07"/>
      <sheetName val="T_08"/>
      <sheetName val="T_09"/>
      <sheetName val="T_10"/>
      <sheetName val="T_11"/>
      <sheetName val="T_12"/>
      <sheetName val="T_13"/>
      <sheetName val="T_14"/>
      <sheetName val="T_15"/>
      <sheetName val="T_16"/>
      <sheetName val="T_17"/>
      <sheetName val="T_18"/>
      <sheetName val="T_19"/>
      <sheetName val="T_20"/>
      <sheetName val="T_21"/>
      <sheetName val="T_22"/>
      <sheetName val="T_23"/>
      <sheetName val="T_24"/>
      <sheetName val="T_25"/>
      <sheetName val="T_26"/>
      <sheetName val="T_27a"/>
      <sheetName val="T_27b"/>
      <sheetName val="T_28a"/>
      <sheetName val="T_28b"/>
      <sheetName val="T_29a"/>
      <sheetName val="T_29b"/>
      <sheetName val="T_30a"/>
      <sheetName val="T_30b"/>
      <sheetName val="T_31"/>
      <sheetName val="T_32a"/>
      <sheetName val="T_32b"/>
      <sheetName val="T_33"/>
      <sheetName val="T_34"/>
      <sheetName val="T_35a"/>
      <sheetName val="T_35b"/>
      <sheetName val="T_36a"/>
      <sheetName val="T_36b"/>
      <sheetName val="T_37a"/>
      <sheetName val="T_37b"/>
      <sheetName val="T_37c"/>
      <sheetName val="T_37d"/>
      <sheetName val="T_38a"/>
      <sheetName val="T_38b"/>
      <sheetName val="T_38c"/>
      <sheetName val="T_38d"/>
      <sheetName val="T_39a"/>
      <sheetName val="T_39b"/>
      <sheetName val="T_39c"/>
      <sheetName val="T_39d"/>
      <sheetName val="T_40a"/>
      <sheetName val="T_40b"/>
      <sheetName val="T_40c"/>
      <sheetName val="T_40d"/>
      <sheetName val="T_41a"/>
      <sheetName val="T_41b"/>
      <sheetName val="T_41c"/>
      <sheetName val="T_41d"/>
      <sheetName val="T_42a"/>
      <sheetName val="T_42b"/>
      <sheetName val="T_42c"/>
      <sheetName val="T_42d"/>
      <sheetName val="T_43a"/>
      <sheetName val="T_43b"/>
      <sheetName val="T_43c"/>
      <sheetName val="T_43d"/>
      <sheetName val="T_44a"/>
      <sheetName val="T_44b"/>
      <sheetName val="T_44c"/>
      <sheetName val="T_44d"/>
      <sheetName val="T_45a"/>
      <sheetName val="T_45b"/>
      <sheetName val="T_45c"/>
      <sheetName val="T_45d"/>
      <sheetName val="T_46a"/>
      <sheetName val="T_46b"/>
      <sheetName val="T_46c"/>
      <sheetName val="T_46d"/>
      <sheetName val="T_47"/>
      <sheetName val="T_48"/>
      <sheetName val="T_49a"/>
      <sheetName val="T_49b"/>
      <sheetName val="T_49c"/>
      <sheetName val="T_49d"/>
      <sheetName val="T_50a"/>
      <sheetName val="T_50b"/>
      <sheetName val="T_50c"/>
      <sheetName val="T_50d"/>
      <sheetName val="Import_Template"/>
      <sheetName val="T_51a"/>
      <sheetName val="T_51b"/>
      <sheetName val="T_51c"/>
      <sheetName val="T_51d"/>
      <sheetName val="T_52a"/>
      <sheetName val="T_52b"/>
      <sheetName val="T_52c"/>
      <sheetName val="T_52d"/>
      <sheetName val="T_53a"/>
      <sheetName val="T_53b"/>
      <sheetName val="T_53c"/>
      <sheetName val="T_53d"/>
      <sheetName val="T_54"/>
      <sheetName val="T_55a"/>
      <sheetName val="T_55b"/>
      <sheetName val="T_56"/>
      <sheetName val="T_57a"/>
      <sheetName val="T_57b"/>
      <sheetName val="T_58a"/>
      <sheetName val="T_58b"/>
      <sheetName val="T_C1a"/>
      <sheetName val="T_C1b"/>
      <sheetName val="Append D"/>
      <sheetName val="T_B1"/>
      <sheetName val="Table B1"/>
      <sheetName val="Home"/>
      <sheetName val="TableDef"/>
      <sheetName val="D_All_M"/>
      <sheetName val="D_All_YTD"/>
    </sheetNames>
    <sheetDataSet>
      <sheetData sheetId="120">
        <row r="3">
          <cell r="C3">
            <v>38822</v>
          </cell>
        </row>
        <row r="8">
          <cell r="C8">
            <v>20060400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45"/>
  </sheetPr>
  <dimension ref="A1:V158"/>
  <sheetViews>
    <sheetView tabSelected="1" workbookViewId="0" topLeftCell="M129">
      <selection activeCell="K2" sqref="K1:R16384"/>
    </sheetView>
  </sheetViews>
  <sheetFormatPr defaultColWidth="9.140625" defaultRowHeight="12.75"/>
  <cols>
    <col min="1" max="1" width="6.57421875" style="1" customWidth="1"/>
    <col min="2" max="2" width="49.00390625" style="1" customWidth="1"/>
    <col min="3" max="3" width="19.00390625" style="1" customWidth="1"/>
    <col min="4" max="4" width="6.28125" style="1" customWidth="1"/>
    <col min="5" max="5" width="7.57421875" style="1" customWidth="1"/>
    <col min="6" max="6" width="9.8515625" style="248" customWidth="1"/>
    <col min="7" max="7" width="11.28125" style="0" bestFit="1" customWidth="1"/>
    <col min="8" max="9" width="11.8515625" style="0" bestFit="1" customWidth="1"/>
    <col min="10" max="10" width="9.140625" style="242" customWidth="1"/>
    <col min="11" max="11" width="11.28125" style="0" bestFit="1" customWidth="1"/>
    <col min="12" max="13" width="11.8515625" style="0" bestFit="1" customWidth="1"/>
    <col min="14" max="14" width="9.140625" style="242" customWidth="1"/>
    <col min="15" max="17" width="12.28125" style="0" customWidth="1"/>
    <col min="18" max="18" width="9.140625" style="242" customWidth="1"/>
    <col min="19" max="19" width="11.421875" style="0" customWidth="1"/>
    <col min="20" max="20" width="12.00390625" style="0" customWidth="1"/>
    <col min="21" max="21" width="16.57421875" style="0" customWidth="1"/>
    <col min="22" max="22" width="9.140625" style="242" customWidth="1"/>
  </cols>
  <sheetData>
    <row r="1" spans="1:22" ht="15.75">
      <c r="A1" s="214" t="s">
        <v>625</v>
      </c>
      <c r="G1" s="253" t="s">
        <v>701</v>
      </c>
      <c r="H1" s="254"/>
      <c r="I1" s="254"/>
      <c r="J1" s="255"/>
      <c r="K1" s="253"/>
      <c r="L1" s="254"/>
      <c r="M1" s="254"/>
      <c r="N1" s="255"/>
      <c r="O1" s="253"/>
      <c r="P1" s="254"/>
      <c r="Q1" s="254"/>
      <c r="R1" s="255"/>
      <c r="S1" s="253" t="s">
        <v>703</v>
      </c>
      <c r="T1" s="254"/>
      <c r="U1" s="254"/>
      <c r="V1" s="255"/>
    </row>
    <row r="2" spans="1:2" ht="12.75">
      <c r="A2" s="7"/>
      <c r="B2" s="1" t="s">
        <v>626</v>
      </c>
    </row>
    <row r="3" spans="6:22" ht="12.75">
      <c r="F3" s="249"/>
      <c r="G3" s="209" t="s">
        <v>623</v>
      </c>
      <c r="H3" s="209" t="s">
        <v>624</v>
      </c>
      <c r="I3" s="209" t="s">
        <v>624</v>
      </c>
      <c r="J3" s="243" t="s">
        <v>638</v>
      </c>
      <c r="K3" s="209"/>
      <c r="L3" s="209"/>
      <c r="M3" s="209"/>
      <c r="N3" s="243"/>
      <c r="O3" s="209"/>
      <c r="P3" s="209"/>
      <c r="Q3" s="209"/>
      <c r="R3" s="243"/>
      <c r="S3" s="209" t="s">
        <v>623</v>
      </c>
      <c r="T3" s="209" t="s">
        <v>624</v>
      </c>
      <c r="U3" s="209" t="s">
        <v>624</v>
      </c>
      <c r="V3" s="243" t="s">
        <v>638</v>
      </c>
    </row>
    <row r="4" spans="1:22" ht="12.75">
      <c r="A4" s="18" t="s">
        <v>53</v>
      </c>
      <c r="B4" s="18" t="s">
        <v>54</v>
      </c>
      <c r="C4" s="18" t="s">
        <v>55</v>
      </c>
      <c r="D4" s="18" t="s">
        <v>56</v>
      </c>
      <c r="E4" s="18" t="s">
        <v>57</v>
      </c>
      <c r="F4" s="250" t="s">
        <v>58</v>
      </c>
      <c r="G4" s="224" t="s">
        <v>556</v>
      </c>
      <c r="H4" s="167" t="s">
        <v>557</v>
      </c>
      <c r="I4" s="212" t="s">
        <v>558</v>
      </c>
      <c r="J4" s="170" t="s">
        <v>637</v>
      </c>
      <c r="K4" s="224"/>
      <c r="L4" s="167"/>
      <c r="M4" s="212"/>
      <c r="N4" s="170"/>
      <c r="O4" s="224"/>
      <c r="P4" s="167"/>
      <c r="Q4" s="212"/>
      <c r="R4" s="170"/>
      <c r="S4" s="224" t="s">
        <v>556</v>
      </c>
      <c r="T4" s="167" t="s">
        <v>557</v>
      </c>
      <c r="U4" s="212" t="s">
        <v>558</v>
      </c>
      <c r="V4" s="170" t="s">
        <v>637</v>
      </c>
    </row>
    <row r="5" spans="1:22" ht="12.75">
      <c r="A5" s="24">
        <v>37</v>
      </c>
      <c r="B5" s="25" t="s">
        <v>70</v>
      </c>
      <c r="C5" s="25" t="s">
        <v>71</v>
      </c>
      <c r="D5" s="26" t="s">
        <v>72</v>
      </c>
      <c r="E5" s="26">
        <v>1</v>
      </c>
      <c r="F5" s="251" t="s">
        <v>73</v>
      </c>
      <c r="G5" s="213">
        <f>RefData!CC5</f>
        <v>0</v>
      </c>
      <c r="H5" s="213">
        <f>RefData!CD5</f>
        <v>5746.4</v>
      </c>
      <c r="I5" s="213">
        <f>RefData!CE5</f>
        <v>5746.4</v>
      </c>
      <c r="J5" s="247">
        <f>RefData!CF5</f>
        <v>2.9</v>
      </c>
      <c r="K5" s="213"/>
      <c r="L5" s="213"/>
      <c r="M5" s="213"/>
      <c r="N5" s="247"/>
      <c r="S5" s="241">
        <f>G5+K5+O5</f>
        <v>0</v>
      </c>
      <c r="T5" s="241">
        <f>H5+L5+P5</f>
        <v>5746.4</v>
      </c>
      <c r="U5" s="241">
        <f>I5+M5+Q5</f>
        <v>5746.4</v>
      </c>
      <c r="V5" s="244">
        <f>J5+N5+R5</f>
        <v>2.9</v>
      </c>
    </row>
    <row r="6" spans="1:22" ht="12.75">
      <c r="A6" s="24">
        <v>37.5</v>
      </c>
      <c r="B6" s="25" t="s">
        <v>76</v>
      </c>
      <c r="C6" s="25" t="s">
        <v>77</v>
      </c>
      <c r="D6" s="26" t="s">
        <v>78</v>
      </c>
      <c r="E6" s="26">
        <v>1</v>
      </c>
      <c r="F6" s="251" t="s">
        <v>73</v>
      </c>
      <c r="G6" s="213">
        <f>RefData!CC6</f>
        <v>0</v>
      </c>
      <c r="H6" s="213">
        <f>RefData!CD6</f>
        <v>2873.2</v>
      </c>
      <c r="I6" s="213">
        <f>RefData!CE6</f>
        <v>2873.2</v>
      </c>
      <c r="J6" s="247">
        <f>RefData!CF6</f>
        <v>1.45</v>
      </c>
      <c r="K6" s="213"/>
      <c r="L6" s="213"/>
      <c r="M6" s="213"/>
      <c r="N6" s="247"/>
      <c r="S6" s="241">
        <f aca="true" t="shared" si="0" ref="S6:S69">G6+K6+O6</f>
        <v>0</v>
      </c>
      <c r="T6" s="241">
        <f aca="true" t="shared" si="1" ref="T6:T69">H6+L6+P6</f>
        <v>2873.2</v>
      </c>
      <c r="U6" s="241">
        <f aca="true" t="shared" si="2" ref="U6:U69">I6+M6+Q6</f>
        <v>2873.2</v>
      </c>
      <c r="V6" s="244">
        <f aca="true" t="shared" si="3" ref="V6:V69">J6+N6+R6</f>
        <v>1.45</v>
      </c>
    </row>
    <row r="7" spans="1:22" ht="12.75">
      <c r="A7" s="24">
        <v>87</v>
      </c>
      <c r="B7" s="25" t="s">
        <v>81</v>
      </c>
      <c r="C7" s="25" t="s">
        <v>82</v>
      </c>
      <c r="D7" s="26" t="s">
        <v>83</v>
      </c>
      <c r="E7" s="26">
        <v>1</v>
      </c>
      <c r="F7" s="251" t="s">
        <v>73</v>
      </c>
      <c r="G7" s="213">
        <f>RefData!CC7</f>
        <v>0</v>
      </c>
      <c r="H7" s="213">
        <f>RefData!CD7</f>
        <v>2873.2</v>
      </c>
      <c r="I7" s="213">
        <f>RefData!CE7</f>
        <v>2873.2</v>
      </c>
      <c r="J7" s="247">
        <f>RefData!CF7</f>
        <v>1.45</v>
      </c>
      <c r="K7" s="213"/>
      <c r="L7" s="213"/>
      <c r="M7" s="213"/>
      <c r="N7" s="247"/>
      <c r="S7" s="241">
        <f t="shared" si="0"/>
        <v>0</v>
      </c>
      <c r="T7" s="241">
        <f t="shared" si="1"/>
        <v>2873.2</v>
      </c>
      <c r="U7" s="241">
        <f t="shared" si="2"/>
        <v>2873.2</v>
      </c>
      <c r="V7" s="244">
        <f t="shared" si="3"/>
        <v>1.45</v>
      </c>
    </row>
    <row r="8" spans="1:22" ht="12.75">
      <c r="A8" s="24">
        <v>87.3</v>
      </c>
      <c r="B8" s="25" t="s">
        <v>84</v>
      </c>
      <c r="C8" s="25" t="s">
        <v>85</v>
      </c>
      <c r="D8" s="26" t="s">
        <v>83</v>
      </c>
      <c r="E8" s="26">
        <v>1</v>
      </c>
      <c r="F8" s="251" t="s">
        <v>73</v>
      </c>
      <c r="G8" s="213">
        <f>RefData!CC8</f>
        <v>0</v>
      </c>
      <c r="H8" s="213">
        <f>RefData!CD8</f>
        <v>5746.4</v>
      </c>
      <c r="I8" s="213">
        <f>RefData!CE8</f>
        <v>5746.4</v>
      </c>
      <c r="J8" s="247">
        <f>RefData!CF8</f>
        <v>2.9</v>
      </c>
      <c r="K8" s="213"/>
      <c r="L8" s="213"/>
      <c r="M8" s="213"/>
      <c r="N8" s="247"/>
      <c r="S8" s="241">
        <f t="shared" si="0"/>
        <v>0</v>
      </c>
      <c r="T8" s="241">
        <f t="shared" si="1"/>
        <v>5746.4</v>
      </c>
      <c r="U8" s="241">
        <f t="shared" si="2"/>
        <v>5746.4</v>
      </c>
      <c r="V8" s="244">
        <f t="shared" si="3"/>
        <v>2.9</v>
      </c>
    </row>
    <row r="9" spans="1:22" ht="12.75">
      <c r="A9" s="24">
        <v>87.6</v>
      </c>
      <c r="B9" s="25" t="s">
        <v>86</v>
      </c>
      <c r="C9" s="25" t="s">
        <v>87</v>
      </c>
      <c r="D9" s="26" t="s">
        <v>83</v>
      </c>
      <c r="E9" s="26">
        <v>1</v>
      </c>
      <c r="F9" s="251" t="s">
        <v>73</v>
      </c>
      <c r="G9" s="213">
        <f>RefData!CC9</f>
        <v>0</v>
      </c>
      <c r="H9" s="213">
        <f>RefData!CD9</f>
        <v>2873.2</v>
      </c>
      <c r="I9" s="213">
        <f>RefData!CE9</f>
        <v>2873.2</v>
      </c>
      <c r="J9" s="247">
        <f>RefData!CF9</f>
        <v>1.45</v>
      </c>
      <c r="K9" s="213"/>
      <c r="L9" s="213"/>
      <c r="M9" s="213"/>
      <c r="N9" s="247"/>
      <c r="S9" s="241">
        <f t="shared" si="0"/>
        <v>0</v>
      </c>
      <c r="T9" s="241">
        <f t="shared" si="1"/>
        <v>2873.2</v>
      </c>
      <c r="U9" s="241">
        <f t="shared" si="2"/>
        <v>2873.2</v>
      </c>
      <c r="V9" s="244">
        <f t="shared" si="3"/>
        <v>1.45</v>
      </c>
    </row>
    <row r="10" spans="1:22" ht="12.75">
      <c r="A10" s="24">
        <v>88</v>
      </c>
      <c r="B10" s="25" t="s">
        <v>88</v>
      </c>
      <c r="C10" s="25" t="s">
        <v>89</v>
      </c>
      <c r="D10" s="26" t="s">
        <v>83</v>
      </c>
      <c r="E10" s="26">
        <v>1</v>
      </c>
      <c r="F10" s="251" t="s">
        <v>73</v>
      </c>
      <c r="G10" s="213">
        <f>RefData!CC10</f>
        <v>0</v>
      </c>
      <c r="H10" s="213">
        <f>RefData!CD10</f>
        <v>5746.4</v>
      </c>
      <c r="I10" s="213">
        <f>RefData!CE10</f>
        <v>5746.4</v>
      </c>
      <c r="J10" s="247">
        <f>RefData!CF10</f>
        <v>2.9</v>
      </c>
      <c r="K10" s="213"/>
      <c r="L10" s="213"/>
      <c r="M10" s="213"/>
      <c r="N10" s="247"/>
      <c r="S10" s="241">
        <f t="shared" si="0"/>
        <v>0</v>
      </c>
      <c r="T10" s="241">
        <f t="shared" si="1"/>
        <v>5746.4</v>
      </c>
      <c r="U10" s="241">
        <f t="shared" si="2"/>
        <v>5746.4</v>
      </c>
      <c r="V10" s="244">
        <f t="shared" si="3"/>
        <v>2.9</v>
      </c>
    </row>
    <row r="11" spans="1:22" ht="12.75">
      <c r="A11" s="24">
        <v>89</v>
      </c>
      <c r="B11" s="25" t="s">
        <v>90</v>
      </c>
      <c r="C11" s="25" t="s">
        <v>91</v>
      </c>
      <c r="D11" s="26" t="s">
        <v>83</v>
      </c>
      <c r="E11" s="26">
        <v>1</v>
      </c>
      <c r="F11" s="251" t="s">
        <v>73</v>
      </c>
      <c r="G11" s="213">
        <f>RefData!CC11</f>
        <v>0</v>
      </c>
      <c r="H11" s="213">
        <f>RefData!CD11</f>
        <v>8619.599999999999</v>
      </c>
      <c r="I11" s="213">
        <f>RefData!CE11</f>
        <v>8619.599999999999</v>
      </c>
      <c r="J11" s="247">
        <f>RefData!CF11</f>
        <v>4.35</v>
      </c>
      <c r="K11" s="213"/>
      <c r="L11" s="213"/>
      <c r="M11" s="213"/>
      <c r="N11" s="247"/>
      <c r="S11" s="241">
        <f t="shared" si="0"/>
        <v>0</v>
      </c>
      <c r="T11" s="241">
        <f t="shared" si="1"/>
        <v>8619.599999999999</v>
      </c>
      <c r="U11" s="241">
        <f t="shared" si="2"/>
        <v>8619.599999999999</v>
      </c>
      <c r="V11" s="244">
        <f t="shared" si="3"/>
        <v>4.35</v>
      </c>
    </row>
    <row r="12" spans="1:22" ht="12.75">
      <c r="A12" s="24">
        <v>90</v>
      </c>
      <c r="B12" s="25" t="s">
        <v>92</v>
      </c>
      <c r="C12" s="25" t="s">
        <v>87</v>
      </c>
      <c r="D12" s="26" t="s">
        <v>83</v>
      </c>
      <c r="E12" s="26">
        <v>1</v>
      </c>
      <c r="F12" s="251" t="s">
        <v>73</v>
      </c>
      <c r="G12" s="213">
        <f>RefData!CC12</f>
        <v>0</v>
      </c>
      <c r="H12" s="213">
        <f>RefData!CD12</f>
        <v>5746.4</v>
      </c>
      <c r="I12" s="213">
        <f>RefData!CE12</f>
        <v>5746.4</v>
      </c>
      <c r="J12" s="247">
        <f>RefData!CF12</f>
        <v>2.9</v>
      </c>
      <c r="K12" s="213"/>
      <c r="L12" s="213"/>
      <c r="M12" s="213"/>
      <c r="N12" s="247"/>
      <c r="S12" s="241">
        <f t="shared" si="0"/>
        <v>0</v>
      </c>
      <c r="T12" s="241">
        <f t="shared" si="1"/>
        <v>5746.4</v>
      </c>
      <c r="U12" s="241">
        <f t="shared" si="2"/>
        <v>5746.4</v>
      </c>
      <c r="V12" s="244">
        <f t="shared" si="3"/>
        <v>2.9</v>
      </c>
    </row>
    <row r="13" spans="1:22" ht="12.75">
      <c r="A13" s="33">
        <v>105</v>
      </c>
      <c r="B13" s="34" t="s">
        <v>93</v>
      </c>
      <c r="C13" s="34" t="s">
        <v>94</v>
      </c>
      <c r="D13" s="35" t="s">
        <v>95</v>
      </c>
      <c r="E13" s="35">
        <v>1</v>
      </c>
      <c r="F13" s="251" t="s">
        <v>73</v>
      </c>
      <c r="G13" s="213">
        <f>RefData!CC13</f>
        <v>0</v>
      </c>
      <c r="H13" s="213">
        <f>RefData!CD13</f>
        <v>5746.4</v>
      </c>
      <c r="I13" s="213">
        <f>RefData!CE13</f>
        <v>5746.4</v>
      </c>
      <c r="J13" s="247">
        <f>RefData!CF13</f>
        <v>2.9</v>
      </c>
      <c r="K13" s="213"/>
      <c r="L13" s="213"/>
      <c r="M13" s="213"/>
      <c r="N13" s="247"/>
      <c r="O13" s="213"/>
      <c r="P13" s="213"/>
      <c r="Q13" s="213"/>
      <c r="R13" s="246"/>
      <c r="S13" s="241">
        <f t="shared" si="0"/>
        <v>0</v>
      </c>
      <c r="T13" s="241">
        <f t="shared" si="1"/>
        <v>5746.4</v>
      </c>
      <c r="U13" s="241">
        <f t="shared" si="2"/>
        <v>5746.4</v>
      </c>
      <c r="V13" s="244">
        <f t="shared" si="3"/>
        <v>2.9</v>
      </c>
    </row>
    <row r="14" spans="1:22" ht="12.75">
      <c r="A14" s="33">
        <v>106</v>
      </c>
      <c r="B14" s="34" t="s">
        <v>96</v>
      </c>
      <c r="C14" s="34" t="s">
        <v>97</v>
      </c>
      <c r="D14" s="35" t="s">
        <v>95</v>
      </c>
      <c r="E14" s="35">
        <v>1</v>
      </c>
      <c r="F14" s="251" t="s">
        <v>73</v>
      </c>
      <c r="G14" s="213">
        <f>RefData!CC14</f>
        <v>0</v>
      </c>
      <c r="H14" s="213">
        <f>RefData!CD14</f>
        <v>8619.599999999999</v>
      </c>
      <c r="I14" s="213">
        <f>RefData!CE14</f>
        <v>8619.599999999999</v>
      </c>
      <c r="J14" s="247">
        <f>RefData!CF14</f>
        <v>4.35</v>
      </c>
      <c r="K14" s="213"/>
      <c r="L14" s="213"/>
      <c r="M14" s="213"/>
      <c r="N14" s="247"/>
      <c r="S14" s="241">
        <f t="shared" si="0"/>
        <v>0</v>
      </c>
      <c r="T14" s="241">
        <f t="shared" si="1"/>
        <v>8619.599999999999</v>
      </c>
      <c r="U14" s="241">
        <f t="shared" si="2"/>
        <v>8619.599999999999</v>
      </c>
      <c r="V14" s="244">
        <f t="shared" si="3"/>
        <v>4.35</v>
      </c>
    </row>
    <row r="15" spans="1:22" ht="12.75">
      <c r="A15" s="33">
        <v>107</v>
      </c>
      <c r="B15" s="34" t="s">
        <v>98</v>
      </c>
      <c r="C15" s="34" t="s">
        <v>99</v>
      </c>
      <c r="D15" s="35" t="s">
        <v>95</v>
      </c>
      <c r="E15" s="35">
        <v>1</v>
      </c>
      <c r="F15" s="251" t="s">
        <v>73</v>
      </c>
      <c r="G15" s="213">
        <f>RefData!CC15</f>
        <v>0</v>
      </c>
      <c r="H15" s="213">
        <f>RefData!CD15</f>
        <v>5746.4</v>
      </c>
      <c r="I15" s="213">
        <f>RefData!CE15</f>
        <v>5746.4</v>
      </c>
      <c r="J15" s="247">
        <f>RefData!CF15</f>
        <v>2.9</v>
      </c>
      <c r="K15" s="213"/>
      <c r="L15" s="213"/>
      <c r="M15" s="213"/>
      <c r="N15" s="247"/>
      <c r="S15" s="241">
        <f t="shared" si="0"/>
        <v>0</v>
      </c>
      <c r="T15" s="241">
        <f t="shared" si="1"/>
        <v>5746.4</v>
      </c>
      <c r="U15" s="241">
        <f t="shared" si="2"/>
        <v>5746.4</v>
      </c>
      <c r="V15" s="244">
        <f t="shared" si="3"/>
        <v>2.9</v>
      </c>
    </row>
    <row r="16" spans="1:22" ht="12.75">
      <c r="A16" s="24">
        <v>140</v>
      </c>
      <c r="B16" s="25" t="s">
        <v>100</v>
      </c>
      <c r="C16" s="25" t="s">
        <v>101</v>
      </c>
      <c r="D16" s="26" t="s">
        <v>102</v>
      </c>
      <c r="E16" s="26">
        <v>1</v>
      </c>
      <c r="F16" s="251" t="s">
        <v>73</v>
      </c>
      <c r="G16" s="213">
        <f>RefData!CC16</f>
        <v>0</v>
      </c>
      <c r="H16" s="213">
        <f>RefData!CD16</f>
        <v>2873.2</v>
      </c>
      <c r="I16" s="213">
        <f>RefData!CE16</f>
        <v>2873.2</v>
      </c>
      <c r="J16" s="247">
        <f>RefData!CF16</f>
        <v>1.45</v>
      </c>
      <c r="K16" s="213"/>
      <c r="L16" s="213"/>
      <c r="M16" s="213"/>
      <c r="N16" s="247"/>
      <c r="S16" s="241">
        <f t="shared" si="0"/>
        <v>0</v>
      </c>
      <c r="T16" s="241">
        <f t="shared" si="1"/>
        <v>2873.2</v>
      </c>
      <c r="U16" s="241">
        <f t="shared" si="2"/>
        <v>2873.2</v>
      </c>
      <c r="V16" s="244">
        <f t="shared" si="3"/>
        <v>1.45</v>
      </c>
    </row>
    <row r="17" spans="1:22" ht="12.75">
      <c r="A17" s="33">
        <v>104</v>
      </c>
      <c r="B17" s="34" t="s">
        <v>103</v>
      </c>
      <c r="C17" s="34" t="s">
        <v>104</v>
      </c>
      <c r="D17" s="35" t="s">
        <v>95</v>
      </c>
      <c r="E17" s="35">
        <v>1</v>
      </c>
      <c r="F17" s="251" t="s">
        <v>105</v>
      </c>
      <c r="G17" s="213">
        <f>RefData!CC17</f>
        <v>0</v>
      </c>
      <c r="H17" s="213">
        <f>RefData!CD17</f>
        <v>2873.2</v>
      </c>
      <c r="I17" s="213">
        <f>RefData!CE17</f>
        <v>2873.2</v>
      </c>
      <c r="J17" s="247">
        <f>RefData!CF17</f>
        <v>1.45</v>
      </c>
      <c r="K17" s="213"/>
      <c r="L17" s="213"/>
      <c r="M17" s="213"/>
      <c r="N17" s="247"/>
      <c r="S17" s="241">
        <f t="shared" si="0"/>
        <v>0</v>
      </c>
      <c r="T17" s="241">
        <f t="shared" si="1"/>
        <v>2873.2</v>
      </c>
      <c r="U17" s="241">
        <f t="shared" si="2"/>
        <v>2873.2</v>
      </c>
      <c r="V17" s="244">
        <f t="shared" si="3"/>
        <v>1.45</v>
      </c>
    </row>
    <row r="18" spans="1:22" ht="12.75">
      <c r="A18" s="33">
        <v>108</v>
      </c>
      <c r="B18" s="34" t="s">
        <v>106</v>
      </c>
      <c r="C18" s="34" t="s">
        <v>107</v>
      </c>
      <c r="D18" s="35" t="s">
        <v>95</v>
      </c>
      <c r="E18" s="35">
        <v>1</v>
      </c>
      <c r="F18" s="251" t="s">
        <v>105</v>
      </c>
      <c r="G18" s="213">
        <f>RefData!CC18</f>
        <v>0</v>
      </c>
      <c r="H18" s="213">
        <f>RefData!CD18</f>
        <v>2873.2</v>
      </c>
      <c r="I18" s="213">
        <f>RefData!CE18</f>
        <v>2873.2</v>
      </c>
      <c r="J18" s="247">
        <f>RefData!CF18</f>
        <v>1.45</v>
      </c>
      <c r="K18" s="213"/>
      <c r="L18" s="213"/>
      <c r="M18" s="213"/>
      <c r="N18" s="247"/>
      <c r="S18" s="241">
        <f t="shared" si="0"/>
        <v>0</v>
      </c>
      <c r="T18" s="241">
        <f t="shared" si="1"/>
        <v>2873.2</v>
      </c>
      <c r="U18" s="241">
        <f t="shared" si="2"/>
        <v>2873.2</v>
      </c>
      <c r="V18" s="244">
        <f t="shared" si="3"/>
        <v>1.45</v>
      </c>
    </row>
    <row r="19" spans="1:22" ht="12.75">
      <c r="A19" s="24">
        <v>147</v>
      </c>
      <c r="B19" s="25" t="s">
        <v>108</v>
      </c>
      <c r="C19" s="25" t="s">
        <v>109</v>
      </c>
      <c r="D19" s="26" t="s">
        <v>110</v>
      </c>
      <c r="E19" s="26">
        <v>1</v>
      </c>
      <c r="F19" s="251" t="s">
        <v>105</v>
      </c>
      <c r="G19" s="213">
        <f>RefData!CC19</f>
        <v>0</v>
      </c>
      <c r="H19" s="213">
        <f>RefData!CD19</f>
        <v>2873.2</v>
      </c>
      <c r="I19" s="213">
        <f>RefData!CE19</f>
        <v>2873.2</v>
      </c>
      <c r="J19" s="247">
        <f>RefData!CF19</f>
        <v>1.45</v>
      </c>
      <c r="K19" s="213"/>
      <c r="L19" s="213"/>
      <c r="M19" s="213"/>
      <c r="N19" s="247"/>
      <c r="S19" s="241">
        <f t="shared" si="0"/>
        <v>0</v>
      </c>
      <c r="T19" s="241">
        <f t="shared" si="1"/>
        <v>2873.2</v>
      </c>
      <c r="U19" s="241">
        <f t="shared" si="2"/>
        <v>2873.2</v>
      </c>
      <c r="V19" s="244">
        <f t="shared" si="3"/>
        <v>1.45</v>
      </c>
    </row>
    <row r="20" spans="1:22" ht="12.75">
      <c r="A20" s="24">
        <v>41</v>
      </c>
      <c r="B20" s="25" t="s">
        <v>111</v>
      </c>
      <c r="C20" s="25" t="s">
        <v>112</v>
      </c>
      <c r="D20" s="26" t="s">
        <v>113</v>
      </c>
      <c r="E20" s="26">
        <v>2</v>
      </c>
      <c r="F20" s="251" t="s">
        <v>114</v>
      </c>
      <c r="G20" s="213">
        <f>RefData!CC20</f>
        <v>0</v>
      </c>
      <c r="H20" s="213">
        <f>RefData!CD20</f>
        <v>5746.4</v>
      </c>
      <c r="I20" s="213">
        <f>RefData!CE20</f>
        <v>5746.4</v>
      </c>
      <c r="J20" s="247">
        <f>RefData!CF20</f>
        <v>2.9</v>
      </c>
      <c r="K20" s="213"/>
      <c r="L20" s="213"/>
      <c r="M20" s="213"/>
      <c r="N20" s="247"/>
      <c r="S20" s="241">
        <f t="shared" si="0"/>
        <v>0</v>
      </c>
      <c r="T20" s="241">
        <f t="shared" si="1"/>
        <v>5746.4</v>
      </c>
      <c r="U20" s="241">
        <f t="shared" si="2"/>
        <v>5746.4</v>
      </c>
      <c r="V20" s="244">
        <f t="shared" si="3"/>
        <v>2.9</v>
      </c>
    </row>
    <row r="21" spans="1:22" ht="12.75">
      <c r="A21" s="24">
        <v>42</v>
      </c>
      <c r="B21" s="25" t="s">
        <v>115</v>
      </c>
      <c r="C21" s="25" t="s">
        <v>116</v>
      </c>
      <c r="D21" s="26" t="s">
        <v>113</v>
      </c>
      <c r="E21" s="26">
        <v>2</v>
      </c>
      <c r="F21" s="251" t="s">
        <v>114</v>
      </c>
      <c r="G21" s="213">
        <f>RefData!CC21</f>
        <v>0</v>
      </c>
      <c r="H21" s="213">
        <f>RefData!CD21</f>
        <v>8619.599999999999</v>
      </c>
      <c r="I21" s="213">
        <f>RefData!CE21</f>
        <v>8619.599999999999</v>
      </c>
      <c r="J21" s="247">
        <f>RefData!CF21</f>
        <v>4.35</v>
      </c>
      <c r="K21" s="213"/>
      <c r="L21" s="213"/>
      <c r="M21" s="213"/>
      <c r="N21" s="247"/>
      <c r="S21" s="241">
        <f t="shared" si="0"/>
        <v>0</v>
      </c>
      <c r="T21" s="241">
        <f t="shared" si="1"/>
        <v>8619.599999999999</v>
      </c>
      <c r="U21" s="241">
        <f t="shared" si="2"/>
        <v>8619.599999999999</v>
      </c>
      <c r="V21" s="244">
        <f t="shared" si="3"/>
        <v>4.35</v>
      </c>
    </row>
    <row r="22" spans="1:22" ht="12.75">
      <c r="A22" s="24">
        <v>43</v>
      </c>
      <c r="B22" s="25" t="s">
        <v>117</v>
      </c>
      <c r="C22" s="25" t="s">
        <v>118</v>
      </c>
      <c r="D22" s="26" t="s">
        <v>113</v>
      </c>
      <c r="E22" s="26">
        <v>2</v>
      </c>
      <c r="F22" s="251" t="s">
        <v>114</v>
      </c>
      <c r="G22" s="213">
        <f>RefData!CC22</f>
        <v>0</v>
      </c>
      <c r="H22" s="213">
        <f>RefData!CD22</f>
        <v>5746.4</v>
      </c>
      <c r="I22" s="213">
        <f>RefData!CE22</f>
        <v>5746.4</v>
      </c>
      <c r="J22" s="247">
        <f>RefData!CF22</f>
        <v>2.9</v>
      </c>
      <c r="K22" s="213"/>
      <c r="L22" s="213"/>
      <c r="M22" s="213"/>
      <c r="N22" s="247"/>
      <c r="S22" s="241">
        <f t="shared" si="0"/>
        <v>0</v>
      </c>
      <c r="T22" s="241">
        <f t="shared" si="1"/>
        <v>5746.4</v>
      </c>
      <c r="U22" s="241">
        <f t="shared" si="2"/>
        <v>5746.4</v>
      </c>
      <c r="V22" s="244">
        <f t="shared" si="3"/>
        <v>2.9</v>
      </c>
    </row>
    <row r="23" spans="1:22" ht="12.75">
      <c r="A23" s="24">
        <v>46</v>
      </c>
      <c r="B23" s="25" t="s">
        <v>119</v>
      </c>
      <c r="C23" s="25" t="s">
        <v>120</v>
      </c>
      <c r="D23" s="26" t="s">
        <v>113</v>
      </c>
      <c r="E23" s="26">
        <v>2</v>
      </c>
      <c r="F23" s="251" t="s">
        <v>114</v>
      </c>
      <c r="G23" s="213">
        <f>RefData!CC23</f>
        <v>0</v>
      </c>
      <c r="H23" s="213">
        <f>RefData!CD23</f>
        <v>8619.599999999999</v>
      </c>
      <c r="I23" s="213">
        <f>RefData!CE23</f>
        <v>8619.599999999999</v>
      </c>
      <c r="J23" s="247">
        <f>RefData!CF23</f>
        <v>4.35</v>
      </c>
      <c r="K23" s="213"/>
      <c r="L23" s="213"/>
      <c r="M23" s="213"/>
      <c r="N23" s="247"/>
      <c r="S23" s="241">
        <f t="shared" si="0"/>
        <v>0</v>
      </c>
      <c r="T23" s="241">
        <f t="shared" si="1"/>
        <v>8619.599999999999</v>
      </c>
      <c r="U23" s="241">
        <f t="shared" si="2"/>
        <v>8619.599999999999</v>
      </c>
      <c r="V23" s="244">
        <f t="shared" si="3"/>
        <v>4.35</v>
      </c>
    </row>
    <row r="24" spans="1:22" ht="12.75">
      <c r="A24" s="24">
        <v>47</v>
      </c>
      <c r="B24" s="25" t="s">
        <v>121</v>
      </c>
      <c r="C24" s="25" t="s">
        <v>122</v>
      </c>
      <c r="D24" s="26" t="s">
        <v>123</v>
      </c>
      <c r="E24" s="26">
        <v>2</v>
      </c>
      <c r="F24" s="251" t="s">
        <v>114</v>
      </c>
      <c r="G24" s="213">
        <f>RefData!CC24</f>
        <v>0</v>
      </c>
      <c r="H24" s="213">
        <f>RefData!CD24</f>
        <v>8619.599999999999</v>
      </c>
      <c r="I24" s="213">
        <f>RefData!CE24</f>
        <v>8619.599999999999</v>
      </c>
      <c r="J24" s="247">
        <f>RefData!CF24</f>
        <v>4.35</v>
      </c>
      <c r="K24" s="213"/>
      <c r="L24" s="213"/>
      <c r="M24" s="213"/>
      <c r="N24" s="247"/>
      <c r="S24" s="241">
        <f t="shared" si="0"/>
        <v>0</v>
      </c>
      <c r="T24" s="241">
        <f t="shared" si="1"/>
        <v>8619.599999999999</v>
      </c>
      <c r="U24" s="241">
        <f t="shared" si="2"/>
        <v>8619.599999999999</v>
      </c>
      <c r="V24" s="244">
        <f t="shared" si="3"/>
        <v>4.35</v>
      </c>
    </row>
    <row r="25" spans="1:22" ht="12.75">
      <c r="A25" s="24">
        <v>48</v>
      </c>
      <c r="B25" s="25" t="s">
        <v>124</v>
      </c>
      <c r="C25" s="25" t="s">
        <v>125</v>
      </c>
      <c r="D25" s="26" t="s">
        <v>123</v>
      </c>
      <c r="E25" s="26">
        <v>2</v>
      </c>
      <c r="F25" s="251" t="s">
        <v>114</v>
      </c>
      <c r="G25" s="213">
        <f>RefData!CC25</f>
        <v>0</v>
      </c>
      <c r="H25" s="213">
        <f>RefData!CD25</f>
        <v>2873.2</v>
      </c>
      <c r="I25" s="213">
        <f>RefData!CE25</f>
        <v>2873.2</v>
      </c>
      <c r="J25" s="247">
        <f>RefData!CF25</f>
        <v>1.45</v>
      </c>
      <c r="K25" s="213"/>
      <c r="L25" s="213"/>
      <c r="M25" s="213"/>
      <c r="N25" s="247"/>
      <c r="S25" s="241">
        <f t="shared" si="0"/>
        <v>0</v>
      </c>
      <c r="T25" s="241">
        <f t="shared" si="1"/>
        <v>2873.2</v>
      </c>
      <c r="U25" s="241">
        <f t="shared" si="2"/>
        <v>2873.2</v>
      </c>
      <c r="V25" s="244">
        <f t="shared" si="3"/>
        <v>1.45</v>
      </c>
    </row>
    <row r="26" spans="1:22" ht="12.75">
      <c r="A26" s="24">
        <v>53</v>
      </c>
      <c r="B26" s="25" t="s">
        <v>117</v>
      </c>
      <c r="C26" s="25" t="s">
        <v>126</v>
      </c>
      <c r="D26" s="26" t="s">
        <v>127</v>
      </c>
      <c r="E26" s="26">
        <v>2</v>
      </c>
      <c r="F26" s="251" t="s">
        <v>114</v>
      </c>
      <c r="G26" s="213">
        <f>RefData!CC26</f>
        <v>0</v>
      </c>
      <c r="H26" s="213">
        <f>RefData!CD26</f>
        <v>8619.599999999999</v>
      </c>
      <c r="I26" s="213">
        <f>RefData!CE26</f>
        <v>8619.599999999999</v>
      </c>
      <c r="J26" s="247">
        <f>RefData!CF26</f>
        <v>4.35</v>
      </c>
      <c r="K26" s="213"/>
      <c r="L26" s="213"/>
      <c r="M26" s="213"/>
      <c r="N26" s="247"/>
      <c r="S26" s="241">
        <f t="shared" si="0"/>
        <v>0</v>
      </c>
      <c r="T26" s="241">
        <f t="shared" si="1"/>
        <v>8619.599999999999</v>
      </c>
      <c r="U26" s="241">
        <f t="shared" si="2"/>
        <v>8619.599999999999</v>
      </c>
      <c r="V26" s="244">
        <f t="shared" si="3"/>
        <v>4.35</v>
      </c>
    </row>
    <row r="27" spans="1:22" ht="12.75">
      <c r="A27" s="24">
        <v>54</v>
      </c>
      <c r="B27" s="25" t="s">
        <v>128</v>
      </c>
      <c r="C27" s="25" t="s">
        <v>129</v>
      </c>
      <c r="D27" s="26" t="s">
        <v>127</v>
      </c>
      <c r="E27" s="26">
        <v>2</v>
      </c>
      <c r="F27" s="251" t="s">
        <v>114</v>
      </c>
      <c r="G27" s="213">
        <f>RefData!CC27</f>
        <v>0</v>
      </c>
      <c r="H27" s="213">
        <f>RefData!CD27</f>
        <v>2873.2</v>
      </c>
      <c r="I27" s="213">
        <f>RefData!CE27</f>
        <v>2873.2</v>
      </c>
      <c r="J27" s="247">
        <f>RefData!CF27</f>
        <v>1.45</v>
      </c>
      <c r="K27" s="213"/>
      <c r="L27" s="213"/>
      <c r="M27" s="213"/>
      <c r="N27" s="247"/>
      <c r="S27" s="241">
        <f t="shared" si="0"/>
        <v>0</v>
      </c>
      <c r="T27" s="241">
        <f t="shared" si="1"/>
        <v>2873.2</v>
      </c>
      <c r="U27" s="241">
        <f t="shared" si="2"/>
        <v>2873.2</v>
      </c>
      <c r="V27" s="244">
        <f t="shared" si="3"/>
        <v>1.45</v>
      </c>
    </row>
    <row r="28" spans="1:22" ht="12.75">
      <c r="A28" s="24">
        <v>75</v>
      </c>
      <c r="B28" s="25" t="s">
        <v>117</v>
      </c>
      <c r="C28" s="25" t="s">
        <v>130</v>
      </c>
      <c r="D28" s="26" t="s">
        <v>131</v>
      </c>
      <c r="E28" s="26">
        <v>2</v>
      </c>
      <c r="F28" s="251" t="s">
        <v>114</v>
      </c>
      <c r="G28" s="213">
        <f>RefData!CC28</f>
        <v>0</v>
      </c>
      <c r="H28" s="213">
        <f>RefData!CD28</f>
        <v>5746.4</v>
      </c>
      <c r="I28" s="213">
        <f>RefData!CE28</f>
        <v>5746.4</v>
      </c>
      <c r="J28" s="247">
        <f>RefData!CF28</f>
        <v>2.9</v>
      </c>
      <c r="K28" s="213"/>
      <c r="L28" s="213"/>
      <c r="M28" s="213"/>
      <c r="N28" s="247"/>
      <c r="S28" s="241">
        <f t="shared" si="0"/>
        <v>0</v>
      </c>
      <c r="T28" s="241">
        <f t="shared" si="1"/>
        <v>5746.4</v>
      </c>
      <c r="U28" s="241">
        <f t="shared" si="2"/>
        <v>5746.4</v>
      </c>
      <c r="V28" s="244">
        <f t="shared" si="3"/>
        <v>2.9</v>
      </c>
    </row>
    <row r="29" spans="1:22" ht="12.75">
      <c r="A29" s="33">
        <v>95</v>
      </c>
      <c r="B29" s="34" t="s">
        <v>132</v>
      </c>
      <c r="C29" s="34" t="s">
        <v>133</v>
      </c>
      <c r="D29" s="35" t="s">
        <v>134</v>
      </c>
      <c r="E29" s="35">
        <v>2</v>
      </c>
      <c r="F29" s="252" t="s">
        <v>114</v>
      </c>
      <c r="G29" s="213">
        <f>RefData!CC29</f>
        <v>0</v>
      </c>
      <c r="H29" s="213">
        <f>RefData!CD29</f>
        <v>5746.4</v>
      </c>
      <c r="I29" s="213">
        <f>RefData!CE29</f>
        <v>5746.4</v>
      </c>
      <c r="J29" s="247">
        <f>RefData!CF29</f>
        <v>2.9</v>
      </c>
      <c r="K29" s="213"/>
      <c r="L29" s="213"/>
      <c r="M29" s="213"/>
      <c r="N29" s="247"/>
      <c r="S29" s="241">
        <f t="shared" si="0"/>
        <v>0</v>
      </c>
      <c r="T29" s="241">
        <f t="shared" si="1"/>
        <v>5746.4</v>
      </c>
      <c r="U29" s="241">
        <f t="shared" si="2"/>
        <v>5746.4</v>
      </c>
      <c r="V29" s="244">
        <f t="shared" si="3"/>
        <v>2.9</v>
      </c>
    </row>
    <row r="30" spans="1:22" ht="12.75">
      <c r="A30" s="33">
        <v>96</v>
      </c>
      <c r="B30" s="34" t="s">
        <v>117</v>
      </c>
      <c r="C30" s="34" t="s">
        <v>135</v>
      </c>
      <c r="D30" s="35" t="s">
        <v>134</v>
      </c>
      <c r="E30" s="35">
        <v>2</v>
      </c>
      <c r="F30" s="252" t="s">
        <v>114</v>
      </c>
      <c r="G30" s="213">
        <f>RefData!CC30</f>
        <v>0</v>
      </c>
      <c r="H30" s="213">
        <f>RefData!CD30</f>
        <v>2873.2</v>
      </c>
      <c r="I30" s="213">
        <f>RefData!CE30</f>
        <v>2873.2</v>
      </c>
      <c r="J30" s="247">
        <f>RefData!CF30</f>
        <v>1.45</v>
      </c>
      <c r="K30" s="213"/>
      <c r="L30" s="213"/>
      <c r="M30" s="213"/>
      <c r="N30" s="247"/>
      <c r="S30" s="241">
        <f t="shared" si="0"/>
        <v>0</v>
      </c>
      <c r="T30" s="241">
        <f t="shared" si="1"/>
        <v>2873.2</v>
      </c>
      <c r="U30" s="241">
        <f t="shared" si="2"/>
        <v>2873.2</v>
      </c>
      <c r="V30" s="244">
        <f t="shared" si="3"/>
        <v>1.45</v>
      </c>
    </row>
    <row r="31" spans="1:22" ht="12.75">
      <c r="A31" s="33">
        <v>97</v>
      </c>
      <c r="B31" s="34" t="s">
        <v>136</v>
      </c>
      <c r="C31" s="34" t="s">
        <v>137</v>
      </c>
      <c r="D31" s="35" t="s">
        <v>134</v>
      </c>
      <c r="E31" s="35">
        <v>2</v>
      </c>
      <c r="F31" s="252" t="s">
        <v>114</v>
      </c>
      <c r="G31" s="213">
        <f>RefData!CC31</f>
        <v>0</v>
      </c>
      <c r="H31" s="213">
        <f>RefData!CD31</f>
        <v>5746.4</v>
      </c>
      <c r="I31" s="213">
        <f>RefData!CE31</f>
        <v>5746.4</v>
      </c>
      <c r="J31" s="247">
        <f>RefData!CF31</f>
        <v>2.9</v>
      </c>
      <c r="K31" s="213"/>
      <c r="L31" s="213"/>
      <c r="M31" s="213"/>
      <c r="N31" s="247"/>
      <c r="S31" s="241">
        <f t="shared" si="0"/>
        <v>0</v>
      </c>
      <c r="T31" s="241">
        <f t="shared" si="1"/>
        <v>5746.4</v>
      </c>
      <c r="U31" s="241">
        <f t="shared" si="2"/>
        <v>5746.4</v>
      </c>
      <c r="V31" s="244">
        <f t="shared" si="3"/>
        <v>2.9</v>
      </c>
    </row>
    <row r="32" spans="1:22" ht="12.75">
      <c r="A32" s="33">
        <v>98</v>
      </c>
      <c r="B32" s="34" t="s">
        <v>93</v>
      </c>
      <c r="C32" s="34" t="s">
        <v>133</v>
      </c>
      <c r="D32" s="35" t="s">
        <v>134</v>
      </c>
      <c r="E32" s="35">
        <v>2</v>
      </c>
      <c r="F32" s="252" t="s">
        <v>114</v>
      </c>
      <c r="G32" s="213">
        <f>RefData!CC32</f>
        <v>0</v>
      </c>
      <c r="H32" s="213">
        <f>RefData!CD32</f>
        <v>5746.4</v>
      </c>
      <c r="I32" s="213">
        <f>RefData!CE32</f>
        <v>5746.4</v>
      </c>
      <c r="J32" s="247">
        <f>RefData!CF32</f>
        <v>2.9</v>
      </c>
      <c r="K32" s="213"/>
      <c r="L32" s="213"/>
      <c r="M32" s="213"/>
      <c r="N32" s="247"/>
      <c r="S32" s="241">
        <f t="shared" si="0"/>
        <v>0</v>
      </c>
      <c r="T32" s="241">
        <f t="shared" si="1"/>
        <v>5746.4</v>
      </c>
      <c r="U32" s="241">
        <f t="shared" si="2"/>
        <v>5746.4</v>
      </c>
      <c r="V32" s="244">
        <f t="shared" si="3"/>
        <v>2.9</v>
      </c>
    </row>
    <row r="33" spans="1:22" ht="12.75">
      <c r="A33" s="24">
        <v>109</v>
      </c>
      <c r="B33" s="25" t="s">
        <v>138</v>
      </c>
      <c r="C33" s="25" t="s">
        <v>139</v>
      </c>
      <c r="D33" s="26" t="s">
        <v>140</v>
      </c>
      <c r="E33" s="26">
        <v>2</v>
      </c>
      <c r="F33" s="251" t="s">
        <v>114</v>
      </c>
      <c r="G33" s="213">
        <f>RefData!CC33</f>
        <v>0</v>
      </c>
      <c r="H33" s="213">
        <f>RefData!CD33</f>
        <v>5746.4</v>
      </c>
      <c r="I33" s="213">
        <f>RefData!CE33</f>
        <v>5746.4</v>
      </c>
      <c r="J33" s="247">
        <f>RefData!CF33</f>
        <v>2.9</v>
      </c>
      <c r="K33" s="213"/>
      <c r="L33" s="213"/>
      <c r="M33" s="213"/>
      <c r="N33" s="247"/>
      <c r="S33" s="241">
        <f t="shared" si="0"/>
        <v>0</v>
      </c>
      <c r="T33" s="241">
        <f t="shared" si="1"/>
        <v>5746.4</v>
      </c>
      <c r="U33" s="241">
        <f t="shared" si="2"/>
        <v>5746.4</v>
      </c>
      <c r="V33" s="244">
        <f t="shared" si="3"/>
        <v>2.9</v>
      </c>
    </row>
    <row r="34" spans="1:22" ht="12.75">
      <c r="A34" s="24">
        <v>76</v>
      </c>
      <c r="B34" s="25" t="s">
        <v>141</v>
      </c>
      <c r="C34" s="25" t="s">
        <v>142</v>
      </c>
      <c r="D34" s="26" t="s">
        <v>143</v>
      </c>
      <c r="E34" s="26">
        <v>2</v>
      </c>
      <c r="F34" s="251" t="s">
        <v>144</v>
      </c>
      <c r="G34" s="213">
        <f>RefData!CC34</f>
        <v>0</v>
      </c>
      <c r="H34" s="213">
        <f>RefData!CD34</f>
        <v>8619.599999999999</v>
      </c>
      <c r="I34" s="213">
        <f>RefData!CE34</f>
        <v>8619.599999999999</v>
      </c>
      <c r="J34" s="247">
        <f>RefData!CF34</f>
        <v>4.35</v>
      </c>
      <c r="K34" s="213"/>
      <c r="L34" s="213"/>
      <c r="M34" s="213"/>
      <c r="N34" s="247"/>
      <c r="S34" s="241">
        <f t="shared" si="0"/>
        <v>0</v>
      </c>
      <c r="T34" s="241">
        <f t="shared" si="1"/>
        <v>8619.599999999999</v>
      </c>
      <c r="U34" s="241">
        <f t="shared" si="2"/>
        <v>8619.599999999999</v>
      </c>
      <c r="V34" s="244">
        <f t="shared" si="3"/>
        <v>4.35</v>
      </c>
    </row>
    <row r="35" spans="1:22" ht="12.75">
      <c r="A35" s="24">
        <v>77</v>
      </c>
      <c r="B35" s="25" t="s">
        <v>117</v>
      </c>
      <c r="C35" s="25" t="s">
        <v>145</v>
      </c>
      <c r="D35" s="26" t="s">
        <v>143</v>
      </c>
      <c r="E35" s="26">
        <v>2</v>
      </c>
      <c r="F35" s="251" t="s">
        <v>144</v>
      </c>
      <c r="G35" s="213">
        <f>RefData!CC35</f>
        <v>0</v>
      </c>
      <c r="H35" s="213">
        <f>RefData!CD35</f>
        <v>2873.2</v>
      </c>
      <c r="I35" s="213">
        <f>RefData!CE35</f>
        <v>2873.2</v>
      </c>
      <c r="J35" s="247">
        <f>RefData!CF35</f>
        <v>1.45</v>
      </c>
      <c r="K35" s="213"/>
      <c r="L35" s="213"/>
      <c r="M35" s="213"/>
      <c r="N35" s="247"/>
      <c r="S35" s="241">
        <f t="shared" si="0"/>
        <v>0</v>
      </c>
      <c r="T35" s="241">
        <f t="shared" si="1"/>
        <v>2873.2</v>
      </c>
      <c r="U35" s="241">
        <f t="shared" si="2"/>
        <v>2873.2</v>
      </c>
      <c r="V35" s="244">
        <f t="shared" si="3"/>
        <v>1.45</v>
      </c>
    </row>
    <row r="36" spans="1:22" ht="12.75">
      <c r="A36" s="24">
        <v>94</v>
      </c>
      <c r="B36" s="25" t="s">
        <v>146</v>
      </c>
      <c r="C36" s="25" t="s">
        <v>147</v>
      </c>
      <c r="D36" s="26" t="s">
        <v>148</v>
      </c>
      <c r="E36" s="26">
        <v>2</v>
      </c>
      <c r="F36" s="251" t="s">
        <v>144</v>
      </c>
      <c r="G36" s="213">
        <f>RefData!CC36</f>
        <v>0</v>
      </c>
      <c r="H36" s="213">
        <f>RefData!CD36</f>
        <v>2873.2</v>
      </c>
      <c r="I36" s="213">
        <f>RefData!CE36</f>
        <v>2873.2</v>
      </c>
      <c r="J36" s="247">
        <f>RefData!CF36</f>
        <v>1.45</v>
      </c>
      <c r="K36" s="213"/>
      <c r="L36" s="213"/>
      <c r="M36" s="213"/>
      <c r="N36" s="247"/>
      <c r="S36" s="241">
        <f t="shared" si="0"/>
        <v>0</v>
      </c>
      <c r="T36" s="241">
        <f t="shared" si="1"/>
        <v>2873.2</v>
      </c>
      <c r="U36" s="241">
        <f t="shared" si="2"/>
        <v>2873.2</v>
      </c>
      <c r="V36" s="244">
        <f t="shared" si="3"/>
        <v>1.45</v>
      </c>
    </row>
    <row r="37" spans="1:22" ht="12.75">
      <c r="A37" s="24">
        <v>148</v>
      </c>
      <c r="B37" s="25" t="s">
        <v>149</v>
      </c>
      <c r="C37" s="25" t="s">
        <v>150</v>
      </c>
      <c r="D37" s="26" t="s">
        <v>151</v>
      </c>
      <c r="E37" s="26">
        <v>2</v>
      </c>
      <c r="F37" s="251" t="s">
        <v>144</v>
      </c>
      <c r="G37" s="213">
        <f>RefData!CC37</f>
        <v>0</v>
      </c>
      <c r="H37" s="213">
        <f>RefData!CD37</f>
        <v>2873.2</v>
      </c>
      <c r="I37" s="213">
        <f>RefData!CE37</f>
        <v>2873.2</v>
      </c>
      <c r="J37" s="247">
        <f>RefData!CF37</f>
        <v>1.45</v>
      </c>
      <c r="K37" s="213"/>
      <c r="L37" s="213"/>
      <c r="M37" s="213"/>
      <c r="N37" s="247"/>
      <c r="S37" s="241">
        <f t="shared" si="0"/>
        <v>0</v>
      </c>
      <c r="T37" s="241">
        <f t="shared" si="1"/>
        <v>2873.2</v>
      </c>
      <c r="U37" s="241">
        <f t="shared" si="2"/>
        <v>2873.2</v>
      </c>
      <c r="V37" s="244">
        <f t="shared" si="3"/>
        <v>1.45</v>
      </c>
    </row>
    <row r="38" spans="1:22" ht="12.75">
      <c r="A38" s="24">
        <v>50</v>
      </c>
      <c r="B38" s="25" t="s">
        <v>152</v>
      </c>
      <c r="C38" s="25" t="s">
        <v>153</v>
      </c>
      <c r="D38" s="26" t="s">
        <v>154</v>
      </c>
      <c r="E38" s="26">
        <v>2</v>
      </c>
      <c r="F38" s="251" t="s">
        <v>155</v>
      </c>
      <c r="G38" s="213">
        <f>RefData!CC38</f>
        <v>0</v>
      </c>
      <c r="H38" s="213">
        <f>RefData!CD38</f>
        <v>5746.4</v>
      </c>
      <c r="I38" s="213">
        <f>RefData!CE38</f>
        <v>5746.4</v>
      </c>
      <c r="J38" s="247">
        <f>RefData!CF38</f>
        <v>2.9</v>
      </c>
      <c r="K38" s="213"/>
      <c r="L38" s="213"/>
      <c r="M38" s="213"/>
      <c r="N38" s="247"/>
      <c r="S38" s="241">
        <f t="shared" si="0"/>
        <v>0</v>
      </c>
      <c r="T38" s="241">
        <f t="shared" si="1"/>
        <v>5746.4</v>
      </c>
      <c r="U38" s="241">
        <f t="shared" si="2"/>
        <v>5746.4</v>
      </c>
      <c r="V38" s="244">
        <f t="shared" si="3"/>
        <v>2.9</v>
      </c>
    </row>
    <row r="39" spans="1:22" ht="12.75">
      <c r="A39" s="24">
        <v>51</v>
      </c>
      <c r="B39" s="25" t="s">
        <v>156</v>
      </c>
      <c r="C39" s="25" t="s">
        <v>157</v>
      </c>
      <c r="D39" s="26" t="s">
        <v>154</v>
      </c>
      <c r="E39" s="26">
        <v>2</v>
      </c>
      <c r="F39" s="251" t="s">
        <v>155</v>
      </c>
      <c r="G39" s="213">
        <f>RefData!CC39</f>
        <v>0</v>
      </c>
      <c r="H39" s="213">
        <f>RefData!CD39</f>
        <v>5746.4</v>
      </c>
      <c r="I39" s="213">
        <f>RefData!CE39</f>
        <v>5746.4</v>
      </c>
      <c r="J39" s="247">
        <f>RefData!CF39</f>
        <v>2.9</v>
      </c>
      <c r="K39" s="213"/>
      <c r="L39" s="213"/>
      <c r="M39" s="213"/>
      <c r="N39" s="247"/>
      <c r="S39" s="241">
        <f t="shared" si="0"/>
        <v>0</v>
      </c>
      <c r="T39" s="241">
        <f t="shared" si="1"/>
        <v>5746.4</v>
      </c>
      <c r="U39" s="241">
        <f t="shared" si="2"/>
        <v>5746.4</v>
      </c>
      <c r="V39" s="244">
        <f t="shared" si="3"/>
        <v>2.9</v>
      </c>
    </row>
    <row r="40" spans="1:22" ht="12.75">
      <c r="A40" s="24">
        <v>52</v>
      </c>
      <c r="B40" s="25" t="s">
        <v>158</v>
      </c>
      <c r="C40" s="25" t="s">
        <v>159</v>
      </c>
      <c r="D40" s="26" t="s">
        <v>154</v>
      </c>
      <c r="E40" s="26">
        <v>2</v>
      </c>
      <c r="F40" s="251" t="s">
        <v>155</v>
      </c>
      <c r="G40" s="213">
        <f>RefData!CC40</f>
        <v>0</v>
      </c>
      <c r="H40" s="213">
        <f>RefData!CD40</f>
        <v>5746.4</v>
      </c>
      <c r="I40" s="213">
        <f>RefData!CE40</f>
        <v>5746.4</v>
      </c>
      <c r="J40" s="247">
        <f>RefData!CF40</f>
        <v>2.9</v>
      </c>
      <c r="K40" s="213"/>
      <c r="L40" s="213"/>
      <c r="M40" s="213"/>
      <c r="N40" s="247"/>
      <c r="S40" s="241">
        <f t="shared" si="0"/>
        <v>0</v>
      </c>
      <c r="T40" s="241">
        <f t="shared" si="1"/>
        <v>5746.4</v>
      </c>
      <c r="U40" s="241">
        <f t="shared" si="2"/>
        <v>5746.4</v>
      </c>
      <c r="V40" s="244">
        <f t="shared" si="3"/>
        <v>2.9</v>
      </c>
    </row>
    <row r="41" spans="1:22" ht="12.75">
      <c r="A41" s="33">
        <v>99</v>
      </c>
      <c r="B41" s="34" t="s">
        <v>160</v>
      </c>
      <c r="C41" s="34" t="s">
        <v>161</v>
      </c>
      <c r="D41" s="35" t="s">
        <v>162</v>
      </c>
      <c r="E41" s="35">
        <v>2</v>
      </c>
      <c r="F41" s="252" t="s">
        <v>155</v>
      </c>
      <c r="G41" s="213">
        <f>RefData!CC41</f>
        <v>0</v>
      </c>
      <c r="H41" s="213">
        <f>RefData!CD41</f>
        <v>5746.4</v>
      </c>
      <c r="I41" s="213">
        <f>RefData!CE41</f>
        <v>5746.4</v>
      </c>
      <c r="J41" s="247">
        <f>RefData!CF41</f>
        <v>2.9</v>
      </c>
      <c r="K41" s="213"/>
      <c r="L41" s="213"/>
      <c r="M41" s="213"/>
      <c r="N41" s="247"/>
      <c r="S41" s="241">
        <f t="shared" si="0"/>
        <v>0</v>
      </c>
      <c r="T41" s="241">
        <f t="shared" si="1"/>
        <v>5746.4</v>
      </c>
      <c r="U41" s="241">
        <f t="shared" si="2"/>
        <v>5746.4</v>
      </c>
      <c r="V41" s="244">
        <f t="shared" si="3"/>
        <v>2.9</v>
      </c>
    </row>
    <row r="42" spans="1:22" ht="12.75">
      <c r="A42" s="33">
        <v>100</v>
      </c>
      <c r="B42" s="41" t="s">
        <v>163</v>
      </c>
      <c r="C42" s="34" t="s">
        <v>164</v>
      </c>
      <c r="D42" s="35" t="s">
        <v>162</v>
      </c>
      <c r="E42" s="35">
        <v>2</v>
      </c>
      <c r="F42" s="252" t="s">
        <v>155</v>
      </c>
      <c r="G42" s="213">
        <f>RefData!CC42</f>
        <v>0</v>
      </c>
      <c r="H42" s="213">
        <f>RefData!CD42</f>
        <v>2873.2</v>
      </c>
      <c r="I42" s="213">
        <f>RefData!CE42</f>
        <v>2873.2</v>
      </c>
      <c r="J42" s="247">
        <f>RefData!CF42</f>
        <v>1.45</v>
      </c>
      <c r="K42" s="213"/>
      <c r="L42" s="213"/>
      <c r="M42" s="213"/>
      <c r="N42" s="247"/>
      <c r="S42" s="241">
        <f t="shared" si="0"/>
        <v>0</v>
      </c>
      <c r="T42" s="241">
        <f t="shared" si="1"/>
        <v>2873.2</v>
      </c>
      <c r="U42" s="241">
        <f t="shared" si="2"/>
        <v>2873.2</v>
      </c>
      <c r="V42" s="244">
        <f t="shared" si="3"/>
        <v>1.45</v>
      </c>
    </row>
    <row r="43" spans="1:22" ht="12.75">
      <c r="A43" s="33">
        <v>101</v>
      </c>
      <c r="B43" s="34" t="s">
        <v>165</v>
      </c>
      <c r="C43" s="34" t="s">
        <v>166</v>
      </c>
      <c r="D43" s="35" t="s">
        <v>162</v>
      </c>
      <c r="E43" s="35">
        <v>2</v>
      </c>
      <c r="F43" s="252" t="s">
        <v>155</v>
      </c>
      <c r="G43" s="213">
        <f>RefData!CC43</f>
        <v>0</v>
      </c>
      <c r="H43" s="213">
        <f>RefData!CD43</f>
        <v>2873.2</v>
      </c>
      <c r="I43" s="213">
        <f>RefData!CE43</f>
        <v>2873.2</v>
      </c>
      <c r="J43" s="247">
        <f>RefData!CF43</f>
        <v>1.45</v>
      </c>
      <c r="K43" s="213"/>
      <c r="L43" s="213"/>
      <c r="M43" s="213"/>
      <c r="N43" s="247"/>
      <c r="S43" s="241">
        <f t="shared" si="0"/>
        <v>0</v>
      </c>
      <c r="T43" s="241">
        <f t="shared" si="1"/>
        <v>2873.2</v>
      </c>
      <c r="U43" s="241">
        <f t="shared" si="2"/>
        <v>2873.2</v>
      </c>
      <c r="V43" s="244">
        <f t="shared" si="3"/>
        <v>1.45</v>
      </c>
    </row>
    <row r="44" spans="1:22" ht="12.75">
      <c r="A44" s="33">
        <v>102</v>
      </c>
      <c r="B44" s="34" t="s">
        <v>93</v>
      </c>
      <c r="C44" s="34" t="s">
        <v>166</v>
      </c>
      <c r="D44" s="35" t="s">
        <v>162</v>
      </c>
      <c r="E44" s="35">
        <v>2</v>
      </c>
      <c r="F44" s="252" t="s">
        <v>155</v>
      </c>
      <c r="G44" s="213">
        <f>RefData!CC44</f>
        <v>0</v>
      </c>
      <c r="H44" s="213">
        <f>RefData!CD44</f>
        <v>5746.4</v>
      </c>
      <c r="I44" s="213">
        <f>RefData!CE44</f>
        <v>5746.4</v>
      </c>
      <c r="J44" s="247">
        <f>RefData!CF44</f>
        <v>2.9</v>
      </c>
      <c r="K44" s="213"/>
      <c r="L44" s="213"/>
      <c r="M44" s="213"/>
      <c r="N44" s="247"/>
      <c r="S44" s="241">
        <f t="shared" si="0"/>
        <v>0</v>
      </c>
      <c r="T44" s="241">
        <f t="shared" si="1"/>
        <v>5746.4</v>
      </c>
      <c r="U44" s="241">
        <f t="shared" si="2"/>
        <v>5746.4</v>
      </c>
      <c r="V44" s="244">
        <f t="shared" si="3"/>
        <v>2.9</v>
      </c>
    </row>
    <row r="45" spans="1:22" ht="12.75">
      <c r="A45" s="33">
        <v>103</v>
      </c>
      <c r="B45" s="34" t="s">
        <v>167</v>
      </c>
      <c r="C45" s="34" t="s">
        <v>168</v>
      </c>
      <c r="D45" s="35" t="s">
        <v>162</v>
      </c>
      <c r="E45" s="35">
        <v>2</v>
      </c>
      <c r="F45" s="252" t="s">
        <v>155</v>
      </c>
      <c r="G45" s="213">
        <f>RefData!CC45</f>
        <v>0</v>
      </c>
      <c r="H45" s="213">
        <f>RefData!CD45</f>
        <v>5746.4</v>
      </c>
      <c r="I45" s="213">
        <f>RefData!CE45</f>
        <v>5746.4</v>
      </c>
      <c r="J45" s="247">
        <f>RefData!CF45</f>
        <v>2.9</v>
      </c>
      <c r="K45" s="213"/>
      <c r="L45" s="213"/>
      <c r="M45" s="213"/>
      <c r="N45" s="247"/>
      <c r="S45" s="241">
        <f t="shared" si="0"/>
        <v>0</v>
      </c>
      <c r="T45" s="241">
        <f t="shared" si="1"/>
        <v>5746.4</v>
      </c>
      <c r="U45" s="241">
        <f t="shared" si="2"/>
        <v>5746.4</v>
      </c>
      <c r="V45" s="244">
        <f t="shared" si="3"/>
        <v>2.9</v>
      </c>
    </row>
    <row r="46" spans="1:22" ht="12.75">
      <c r="A46" s="33">
        <v>110</v>
      </c>
      <c r="B46" s="34" t="s">
        <v>169</v>
      </c>
      <c r="C46" s="34" t="s">
        <v>170</v>
      </c>
      <c r="D46" s="35" t="s">
        <v>171</v>
      </c>
      <c r="E46" s="35">
        <v>3</v>
      </c>
      <c r="F46" s="252" t="s">
        <v>172</v>
      </c>
      <c r="G46" s="213">
        <f>RefData!CC46</f>
        <v>0</v>
      </c>
      <c r="H46" s="213">
        <f>RefData!CD46</f>
        <v>2873.2</v>
      </c>
      <c r="I46" s="213">
        <f>RefData!CE46</f>
        <v>2873.2</v>
      </c>
      <c r="J46" s="247">
        <f>RefData!CF46</f>
        <v>1.45</v>
      </c>
      <c r="K46" s="213"/>
      <c r="L46" s="213"/>
      <c r="M46" s="213"/>
      <c r="N46" s="247"/>
      <c r="S46" s="241">
        <f t="shared" si="0"/>
        <v>0</v>
      </c>
      <c r="T46" s="241">
        <f t="shared" si="1"/>
        <v>2873.2</v>
      </c>
      <c r="U46" s="241">
        <f t="shared" si="2"/>
        <v>2873.2</v>
      </c>
      <c r="V46" s="244">
        <f t="shared" si="3"/>
        <v>1.45</v>
      </c>
    </row>
    <row r="47" spans="1:22" ht="12.75">
      <c r="A47" s="33">
        <v>111</v>
      </c>
      <c r="B47" s="34" t="s">
        <v>173</v>
      </c>
      <c r="C47" s="34" t="s">
        <v>174</v>
      </c>
      <c r="D47" s="35" t="s">
        <v>171</v>
      </c>
      <c r="E47" s="35">
        <v>3</v>
      </c>
      <c r="F47" s="252" t="s">
        <v>172</v>
      </c>
      <c r="G47" s="213">
        <f>RefData!CC47</f>
        <v>0</v>
      </c>
      <c r="H47" s="213">
        <f>RefData!CD47</f>
        <v>2873.2</v>
      </c>
      <c r="I47" s="213">
        <f>RefData!CE47</f>
        <v>2873.2</v>
      </c>
      <c r="J47" s="247">
        <f>RefData!CF47</f>
        <v>1.45</v>
      </c>
      <c r="K47" s="213"/>
      <c r="L47" s="213"/>
      <c r="M47" s="213"/>
      <c r="N47" s="247"/>
      <c r="S47" s="241">
        <f t="shared" si="0"/>
        <v>0</v>
      </c>
      <c r="T47" s="241">
        <f t="shared" si="1"/>
        <v>2873.2</v>
      </c>
      <c r="U47" s="241">
        <f t="shared" si="2"/>
        <v>2873.2</v>
      </c>
      <c r="V47" s="244">
        <f t="shared" si="3"/>
        <v>1.45</v>
      </c>
    </row>
    <row r="48" spans="1:22" ht="12.75">
      <c r="A48" s="33">
        <v>114</v>
      </c>
      <c r="B48" s="34" t="s">
        <v>175</v>
      </c>
      <c r="C48" s="34" t="s">
        <v>176</v>
      </c>
      <c r="D48" s="35" t="s">
        <v>171</v>
      </c>
      <c r="E48" s="35">
        <v>3</v>
      </c>
      <c r="F48" s="252" t="s">
        <v>172</v>
      </c>
      <c r="G48" s="213">
        <f>RefData!CC48</f>
        <v>0</v>
      </c>
      <c r="H48" s="213">
        <f>RefData!CD48</f>
        <v>5746.4</v>
      </c>
      <c r="I48" s="213">
        <f>RefData!CE48</f>
        <v>5746.4</v>
      </c>
      <c r="J48" s="247">
        <f>RefData!CF48</f>
        <v>2.9</v>
      </c>
      <c r="K48" s="213"/>
      <c r="L48" s="213"/>
      <c r="M48" s="213"/>
      <c r="N48" s="247"/>
      <c r="S48" s="241">
        <f t="shared" si="0"/>
        <v>0</v>
      </c>
      <c r="T48" s="241">
        <f t="shared" si="1"/>
        <v>5746.4</v>
      </c>
      <c r="U48" s="241">
        <f t="shared" si="2"/>
        <v>5746.4</v>
      </c>
      <c r="V48" s="244">
        <f t="shared" si="3"/>
        <v>2.9</v>
      </c>
    </row>
    <row r="49" spans="1:22" ht="12.75">
      <c r="A49" s="33">
        <v>121</v>
      </c>
      <c r="B49" s="42" t="s">
        <v>177</v>
      </c>
      <c r="C49" s="34" t="s">
        <v>178</v>
      </c>
      <c r="D49" s="35" t="s">
        <v>171</v>
      </c>
      <c r="E49" s="35">
        <v>3</v>
      </c>
      <c r="F49" s="252" t="s">
        <v>172</v>
      </c>
      <c r="G49" s="213">
        <f>RefData!CC49</f>
        <v>0</v>
      </c>
      <c r="H49" s="213">
        <f>RefData!CD49</f>
        <v>2873.2</v>
      </c>
      <c r="I49" s="213">
        <f>RefData!CE49</f>
        <v>2873.2</v>
      </c>
      <c r="J49" s="247">
        <f>RefData!CF49</f>
        <v>1.45</v>
      </c>
      <c r="K49" s="213"/>
      <c r="L49" s="213"/>
      <c r="M49" s="213"/>
      <c r="N49" s="247"/>
      <c r="S49" s="241">
        <f t="shared" si="0"/>
        <v>0</v>
      </c>
      <c r="T49" s="241">
        <f t="shared" si="1"/>
        <v>2873.2</v>
      </c>
      <c r="U49" s="241">
        <f t="shared" si="2"/>
        <v>2873.2</v>
      </c>
      <c r="V49" s="244">
        <f t="shared" si="3"/>
        <v>1.45</v>
      </c>
    </row>
    <row r="50" spans="1:22" ht="12.75">
      <c r="A50" s="33">
        <v>125</v>
      </c>
      <c r="B50" s="34" t="s">
        <v>179</v>
      </c>
      <c r="C50" s="34" t="s">
        <v>180</v>
      </c>
      <c r="D50" s="35" t="s">
        <v>171</v>
      </c>
      <c r="E50" s="35">
        <v>3</v>
      </c>
      <c r="F50" s="252" t="s">
        <v>172</v>
      </c>
      <c r="G50" s="213">
        <f>RefData!CC50</f>
        <v>0</v>
      </c>
      <c r="H50" s="213">
        <f>RefData!CD50</f>
        <v>5746.4</v>
      </c>
      <c r="I50" s="213">
        <f>RefData!CE50</f>
        <v>5746.4</v>
      </c>
      <c r="J50" s="247">
        <f>RefData!CF50</f>
        <v>2.9</v>
      </c>
      <c r="K50" s="213"/>
      <c r="L50" s="213"/>
      <c r="M50" s="213"/>
      <c r="N50" s="247"/>
      <c r="S50" s="241">
        <f t="shared" si="0"/>
        <v>0</v>
      </c>
      <c r="T50" s="241">
        <f t="shared" si="1"/>
        <v>5746.4</v>
      </c>
      <c r="U50" s="241">
        <f t="shared" si="2"/>
        <v>5746.4</v>
      </c>
      <c r="V50" s="244">
        <f t="shared" si="3"/>
        <v>2.9</v>
      </c>
    </row>
    <row r="51" spans="1:22" ht="12.75">
      <c r="A51" s="33">
        <v>130</v>
      </c>
      <c r="B51" s="34" t="s">
        <v>181</v>
      </c>
      <c r="C51" s="34" t="s">
        <v>182</v>
      </c>
      <c r="D51" s="35" t="s">
        <v>171</v>
      </c>
      <c r="E51" s="35">
        <v>3</v>
      </c>
      <c r="F51" s="252" t="s">
        <v>172</v>
      </c>
      <c r="G51" s="213">
        <f>RefData!CC51</f>
        <v>0</v>
      </c>
      <c r="H51" s="213">
        <f>RefData!CD51</f>
        <v>5746.4</v>
      </c>
      <c r="I51" s="213">
        <f>RefData!CE51</f>
        <v>5746.4</v>
      </c>
      <c r="J51" s="247">
        <f>RefData!CF51</f>
        <v>2.9</v>
      </c>
      <c r="K51" s="213"/>
      <c r="L51" s="213"/>
      <c r="M51" s="213"/>
      <c r="N51" s="247"/>
      <c r="S51" s="241">
        <f t="shared" si="0"/>
        <v>0</v>
      </c>
      <c r="T51" s="241">
        <f t="shared" si="1"/>
        <v>5746.4</v>
      </c>
      <c r="U51" s="241">
        <f t="shared" si="2"/>
        <v>5746.4</v>
      </c>
      <c r="V51" s="244">
        <f t="shared" si="3"/>
        <v>2.9</v>
      </c>
    </row>
    <row r="52" spans="1:22" ht="12.75">
      <c r="A52" s="33">
        <v>131</v>
      </c>
      <c r="B52" s="34" t="s">
        <v>181</v>
      </c>
      <c r="C52" s="34" t="s">
        <v>183</v>
      </c>
      <c r="D52" s="35" t="s">
        <v>171</v>
      </c>
      <c r="E52" s="35">
        <v>3</v>
      </c>
      <c r="F52" s="252" t="s">
        <v>172</v>
      </c>
      <c r="G52" s="213">
        <f>RefData!CC52</f>
        <v>0</v>
      </c>
      <c r="H52" s="213">
        <f>RefData!CD52</f>
        <v>5746.4</v>
      </c>
      <c r="I52" s="213">
        <f>RefData!CE52</f>
        <v>5746.4</v>
      </c>
      <c r="J52" s="247">
        <f>RefData!CF52</f>
        <v>2.9</v>
      </c>
      <c r="K52" s="213"/>
      <c r="L52" s="213"/>
      <c r="M52" s="213"/>
      <c r="N52" s="247"/>
      <c r="S52" s="241">
        <f t="shared" si="0"/>
        <v>0</v>
      </c>
      <c r="T52" s="241">
        <f t="shared" si="1"/>
        <v>5746.4</v>
      </c>
      <c r="U52" s="241">
        <f t="shared" si="2"/>
        <v>5746.4</v>
      </c>
      <c r="V52" s="244">
        <f t="shared" si="3"/>
        <v>2.9</v>
      </c>
    </row>
    <row r="53" spans="1:22" ht="12.75">
      <c r="A53" s="33">
        <v>112</v>
      </c>
      <c r="B53" s="34" t="s">
        <v>184</v>
      </c>
      <c r="C53" s="34" t="s">
        <v>185</v>
      </c>
      <c r="D53" s="35" t="s">
        <v>171</v>
      </c>
      <c r="E53" s="35">
        <v>3</v>
      </c>
      <c r="F53" s="252" t="s">
        <v>186</v>
      </c>
      <c r="G53" s="213">
        <f>RefData!CC53</f>
        <v>0</v>
      </c>
      <c r="H53" s="213">
        <f>RefData!CD53</f>
        <v>8619.599999999999</v>
      </c>
      <c r="I53" s="213">
        <f>RefData!CE53</f>
        <v>8619.599999999999</v>
      </c>
      <c r="J53" s="247">
        <f>RefData!CF53</f>
        <v>4.35</v>
      </c>
      <c r="K53" s="213"/>
      <c r="L53" s="213"/>
      <c r="M53" s="213"/>
      <c r="N53" s="247"/>
      <c r="S53" s="241">
        <f t="shared" si="0"/>
        <v>0</v>
      </c>
      <c r="T53" s="241">
        <f t="shared" si="1"/>
        <v>8619.599999999999</v>
      </c>
      <c r="U53" s="241">
        <f t="shared" si="2"/>
        <v>8619.599999999999</v>
      </c>
      <c r="V53" s="244">
        <f t="shared" si="3"/>
        <v>4.35</v>
      </c>
    </row>
    <row r="54" spans="1:22" ht="12.75">
      <c r="A54" s="33">
        <v>113</v>
      </c>
      <c r="B54" s="34" t="s">
        <v>121</v>
      </c>
      <c r="C54" s="34" t="s">
        <v>187</v>
      </c>
      <c r="D54" s="35" t="s">
        <v>171</v>
      </c>
      <c r="E54" s="35">
        <v>3</v>
      </c>
      <c r="F54" s="252" t="s">
        <v>186</v>
      </c>
      <c r="G54" s="213">
        <f>RefData!CC54</f>
        <v>0</v>
      </c>
      <c r="H54" s="213">
        <f>RefData!CD54</f>
        <v>8619.599999999999</v>
      </c>
      <c r="I54" s="213">
        <f>RefData!CE54</f>
        <v>8619.599999999999</v>
      </c>
      <c r="J54" s="247">
        <f>RefData!CF54</f>
        <v>4.35</v>
      </c>
      <c r="K54" s="213"/>
      <c r="L54" s="213"/>
      <c r="M54" s="213"/>
      <c r="N54" s="247"/>
      <c r="S54" s="241">
        <f t="shared" si="0"/>
        <v>0</v>
      </c>
      <c r="T54" s="241">
        <f t="shared" si="1"/>
        <v>8619.599999999999</v>
      </c>
      <c r="U54" s="241">
        <f t="shared" si="2"/>
        <v>8619.599999999999</v>
      </c>
      <c r="V54" s="244">
        <f t="shared" si="3"/>
        <v>4.35</v>
      </c>
    </row>
    <row r="55" spans="1:22" ht="12.75">
      <c r="A55" s="33">
        <v>115</v>
      </c>
      <c r="B55" s="34" t="s">
        <v>188</v>
      </c>
      <c r="C55" s="34" t="s">
        <v>189</v>
      </c>
      <c r="D55" s="35" t="s">
        <v>171</v>
      </c>
      <c r="E55" s="35">
        <v>3</v>
      </c>
      <c r="F55" s="252" t="s">
        <v>186</v>
      </c>
      <c r="G55" s="213">
        <f>RefData!CC55</f>
        <v>0</v>
      </c>
      <c r="H55" s="213">
        <f>RefData!CD55</f>
        <v>5746.4</v>
      </c>
      <c r="I55" s="213">
        <f>RefData!CE55</f>
        <v>5746.4</v>
      </c>
      <c r="J55" s="247">
        <f>RefData!CF55</f>
        <v>2.9</v>
      </c>
      <c r="K55" s="213"/>
      <c r="L55" s="213"/>
      <c r="M55" s="213"/>
      <c r="N55" s="247"/>
      <c r="S55" s="241">
        <f t="shared" si="0"/>
        <v>0</v>
      </c>
      <c r="T55" s="241">
        <f t="shared" si="1"/>
        <v>5746.4</v>
      </c>
      <c r="U55" s="241">
        <f t="shared" si="2"/>
        <v>5746.4</v>
      </c>
      <c r="V55" s="244">
        <f t="shared" si="3"/>
        <v>2.9</v>
      </c>
    </row>
    <row r="56" spans="1:22" ht="12.75">
      <c r="A56" s="33">
        <v>117</v>
      </c>
      <c r="B56" s="41" t="s">
        <v>190</v>
      </c>
      <c r="C56" s="34" t="s">
        <v>191</v>
      </c>
      <c r="D56" s="35" t="s">
        <v>171</v>
      </c>
      <c r="E56" s="35">
        <v>3</v>
      </c>
      <c r="F56" s="252" t="s">
        <v>186</v>
      </c>
      <c r="G56" s="213">
        <f>RefData!CC56</f>
        <v>0</v>
      </c>
      <c r="H56" s="213">
        <f>RefData!CD56</f>
        <v>5746.4</v>
      </c>
      <c r="I56" s="213">
        <f>RefData!CE56</f>
        <v>5746.4</v>
      </c>
      <c r="J56" s="247">
        <f>RefData!CF56</f>
        <v>2.9</v>
      </c>
      <c r="K56" s="213"/>
      <c r="L56" s="213"/>
      <c r="M56" s="213"/>
      <c r="N56" s="247"/>
      <c r="S56" s="241">
        <f t="shared" si="0"/>
        <v>0</v>
      </c>
      <c r="T56" s="241">
        <f t="shared" si="1"/>
        <v>5746.4</v>
      </c>
      <c r="U56" s="241">
        <f t="shared" si="2"/>
        <v>5746.4</v>
      </c>
      <c r="V56" s="244">
        <f t="shared" si="3"/>
        <v>2.9</v>
      </c>
    </row>
    <row r="57" spans="1:22" ht="12.75">
      <c r="A57" s="33">
        <v>118</v>
      </c>
      <c r="B57" s="34" t="s">
        <v>192</v>
      </c>
      <c r="C57" s="34" t="s">
        <v>193</v>
      </c>
      <c r="D57" s="35" t="s">
        <v>171</v>
      </c>
      <c r="E57" s="35">
        <v>3</v>
      </c>
      <c r="F57" s="252" t="s">
        <v>186</v>
      </c>
      <c r="G57" s="213">
        <f>RefData!CC57</f>
        <v>0</v>
      </c>
      <c r="H57" s="213">
        <f>RefData!CD57</f>
        <v>8619.599999999999</v>
      </c>
      <c r="I57" s="213">
        <f>RefData!CE57</f>
        <v>8619.599999999999</v>
      </c>
      <c r="J57" s="247">
        <f>RefData!CF57</f>
        <v>4.35</v>
      </c>
      <c r="K57" s="213"/>
      <c r="L57" s="213"/>
      <c r="M57" s="213"/>
      <c r="N57" s="247"/>
      <c r="S57" s="241">
        <f t="shared" si="0"/>
        <v>0</v>
      </c>
      <c r="T57" s="241">
        <f t="shared" si="1"/>
        <v>8619.599999999999</v>
      </c>
      <c r="U57" s="241">
        <f t="shared" si="2"/>
        <v>8619.599999999999</v>
      </c>
      <c r="V57" s="244">
        <f t="shared" si="3"/>
        <v>4.35</v>
      </c>
    </row>
    <row r="58" spans="1:22" ht="12.75">
      <c r="A58" s="33">
        <v>119</v>
      </c>
      <c r="B58" s="34" t="s">
        <v>115</v>
      </c>
      <c r="C58" s="34" t="s">
        <v>194</v>
      </c>
      <c r="D58" s="35" t="s">
        <v>171</v>
      </c>
      <c r="E58" s="35">
        <v>3</v>
      </c>
      <c r="F58" s="252" t="s">
        <v>186</v>
      </c>
      <c r="G58" s="213">
        <f>RefData!CC58</f>
        <v>0</v>
      </c>
      <c r="H58" s="213">
        <f>RefData!CD58</f>
        <v>8619.599999999999</v>
      </c>
      <c r="I58" s="213">
        <f>RefData!CE58</f>
        <v>8619.599999999999</v>
      </c>
      <c r="J58" s="247">
        <f>RefData!CF58</f>
        <v>4.35</v>
      </c>
      <c r="K58" s="213"/>
      <c r="L58" s="213"/>
      <c r="M58" s="213"/>
      <c r="N58" s="247"/>
      <c r="S58" s="241">
        <f t="shared" si="0"/>
        <v>0</v>
      </c>
      <c r="T58" s="241">
        <f t="shared" si="1"/>
        <v>8619.599999999999</v>
      </c>
      <c r="U58" s="241">
        <f t="shared" si="2"/>
        <v>8619.599999999999</v>
      </c>
      <c r="V58" s="244">
        <f t="shared" si="3"/>
        <v>4.35</v>
      </c>
    </row>
    <row r="59" spans="1:22" ht="12.75">
      <c r="A59" s="33">
        <v>120</v>
      </c>
      <c r="B59" s="34" t="s">
        <v>195</v>
      </c>
      <c r="C59" s="34" t="s">
        <v>189</v>
      </c>
      <c r="D59" s="35" t="s">
        <v>171</v>
      </c>
      <c r="E59" s="35">
        <v>3</v>
      </c>
      <c r="F59" s="252" t="s">
        <v>186</v>
      </c>
      <c r="G59" s="213">
        <f>RefData!CC59</f>
        <v>0</v>
      </c>
      <c r="H59" s="213">
        <f>RefData!CD59</f>
        <v>8619.599999999999</v>
      </c>
      <c r="I59" s="213">
        <f>RefData!CE59</f>
        <v>8619.599999999999</v>
      </c>
      <c r="J59" s="247">
        <f>RefData!CF59</f>
        <v>4.35</v>
      </c>
      <c r="K59" s="213"/>
      <c r="L59" s="213"/>
      <c r="M59" s="213"/>
      <c r="N59" s="247"/>
      <c r="S59" s="241">
        <f t="shared" si="0"/>
        <v>0</v>
      </c>
      <c r="T59" s="241">
        <f t="shared" si="1"/>
        <v>8619.599999999999</v>
      </c>
      <c r="U59" s="241">
        <f t="shared" si="2"/>
        <v>8619.599999999999</v>
      </c>
      <c r="V59" s="244">
        <f t="shared" si="3"/>
        <v>4.35</v>
      </c>
    </row>
    <row r="60" spans="1:22" ht="12.75">
      <c r="A60" s="33">
        <v>122</v>
      </c>
      <c r="B60" s="34" t="s">
        <v>196</v>
      </c>
      <c r="C60" s="34" t="s">
        <v>197</v>
      </c>
      <c r="D60" s="35" t="s">
        <v>171</v>
      </c>
      <c r="E60" s="35">
        <v>3</v>
      </c>
      <c r="F60" s="252" t="s">
        <v>186</v>
      </c>
      <c r="G60" s="213">
        <f>RefData!CC60</f>
        <v>0</v>
      </c>
      <c r="H60" s="213">
        <f>RefData!CD60</f>
        <v>8619.599999999999</v>
      </c>
      <c r="I60" s="213">
        <f>RefData!CE60</f>
        <v>8619.599999999999</v>
      </c>
      <c r="J60" s="247">
        <f>RefData!CF60</f>
        <v>4.35</v>
      </c>
      <c r="K60" s="213"/>
      <c r="L60" s="213"/>
      <c r="M60" s="213"/>
      <c r="N60" s="247"/>
      <c r="S60" s="241">
        <f t="shared" si="0"/>
        <v>0</v>
      </c>
      <c r="T60" s="241">
        <f t="shared" si="1"/>
        <v>8619.599999999999</v>
      </c>
      <c r="U60" s="241">
        <f t="shared" si="2"/>
        <v>8619.599999999999</v>
      </c>
      <c r="V60" s="244">
        <f t="shared" si="3"/>
        <v>4.35</v>
      </c>
    </row>
    <row r="61" spans="1:22" ht="12.75">
      <c r="A61" s="33">
        <v>123</v>
      </c>
      <c r="B61" s="34" t="s">
        <v>117</v>
      </c>
      <c r="C61" s="34" t="s">
        <v>187</v>
      </c>
      <c r="D61" s="35" t="s">
        <v>171</v>
      </c>
      <c r="E61" s="35">
        <v>3</v>
      </c>
      <c r="F61" s="252" t="s">
        <v>186</v>
      </c>
      <c r="G61" s="213">
        <f>RefData!CC61</f>
        <v>0</v>
      </c>
      <c r="H61" s="213">
        <f>RefData!CD61</f>
        <v>2873.2</v>
      </c>
      <c r="I61" s="213">
        <f>RefData!CE61</f>
        <v>2873.2</v>
      </c>
      <c r="J61" s="247">
        <f>RefData!CF61</f>
        <v>1.45</v>
      </c>
      <c r="K61" s="213"/>
      <c r="L61" s="213"/>
      <c r="M61" s="213"/>
      <c r="N61" s="247"/>
      <c r="S61" s="241">
        <f t="shared" si="0"/>
        <v>0</v>
      </c>
      <c r="T61" s="241">
        <f t="shared" si="1"/>
        <v>2873.2</v>
      </c>
      <c r="U61" s="241">
        <f t="shared" si="2"/>
        <v>2873.2</v>
      </c>
      <c r="V61" s="244">
        <f t="shared" si="3"/>
        <v>1.45</v>
      </c>
    </row>
    <row r="62" spans="1:22" ht="12.75">
      <c r="A62" s="33">
        <v>124</v>
      </c>
      <c r="B62" s="34" t="s">
        <v>198</v>
      </c>
      <c r="C62" s="34" t="s">
        <v>185</v>
      </c>
      <c r="D62" s="35" t="s">
        <v>171</v>
      </c>
      <c r="E62" s="35">
        <v>3</v>
      </c>
      <c r="F62" s="252" t="s">
        <v>186</v>
      </c>
      <c r="G62" s="213">
        <f>RefData!CC62</f>
        <v>0</v>
      </c>
      <c r="H62" s="213">
        <f>RefData!CD62</f>
        <v>8619.599999999999</v>
      </c>
      <c r="I62" s="213">
        <f>RefData!CE62</f>
        <v>8619.599999999999</v>
      </c>
      <c r="J62" s="247">
        <f>RefData!CF62</f>
        <v>4.35</v>
      </c>
      <c r="K62" s="213"/>
      <c r="L62" s="213"/>
      <c r="M62" s="213"/>
      <c r="N62" s="247"/>
      <c r="S62" s="241">
        <f t="shared" si="0"/>
        <v>0</v>
      </c>
      <c r="T62" s="241">
        <f t="shared" si="1"/>
        <v>8619.599999999999</v>
      </c>
      <c r="U62" s="241">
        <f t="shared" si="2"/>
        <v>8619.599999999999</v>
      </c>
      <c r="V62" s="244">
        <f t="shared" si="3"/>
        <v>4.35</v>
      </c>
    </row>
    <row r="63" spans="1:22" ht="12.75">
      <c r="A63" s="33">
        <v>126</v>
      </c>
      <c r="B63" s="34" t="s">
        <v>179</v>
      </c>
      <c r="C63" s="34" t="s">
        <v>199</v>
      </c>
      <c r="D63" s="35" t="s">
        <v>171</v>
      </c>
      <c r="E63" s="35">
        <v>3</v>
      </c>
      <c r="F63" s="252" t="s">
        <v>186</v>
      </c>
      <c r="G63" s="213">
        <f>RefData!CC63</f>
        <v>0</v>
      </c>
      <c r="H63" s="213">
        <f>RefData!CD63</f>
        <v>8619.599999999999</v>
      </c>
      <c r="I63" s="213">
        <f>RefData!CE63</f>
        <v>8619.599999999999</v>
      </c>
      <c r="J63" s="247">
        <f>RefData!CF63</f>
        <v>4.35</v>
      </c>
      <c r="K63" s="213"/>
      <c r="L63" s="213"/>
      <c r="M63" s="213"/>
      <c r="N63" s="247"/>
      <c r="S63" s="241">
        <f t="shared" si="0"/>
        <v>0</v>
      </c>
      <c r="T63" s="241">
        <f t="shared" si="1"/>
        <v>8619.599999999999</v>
      </c>
      <c r="U63" s="241">
        <f t="shared" si="2"/>
        <v>8619.599999999999</v>
      </c>
      <c r="V63" s="244">
        <f t="shared" si="3"/>
        <v>4.35</v>
      </c>
    </row>
    <row r="64" spans="1:22" ht="12.75">
      <c r="A64" s="33">
        <v>127</v>
      </c>
      <c r="B64" s="41" t="s">
        <v>200</v>
      </c>
      <c r="C64" s="34" t="s">
        <v>185</v>
      </c>
      <c r="D64" s="35" t="s">
        <v>171</v>
      </c>
      <c r="E64" s="35">
        <v>3</v>
      </c>
      <c r="F64" s="252" t="s">
        <v>186</v>
      </c>
      <c r="G64" s="213">
        <f>RefData!CC64</f>
        <v>0</v>
      </c>
      <c r="H64" s="213">
        <f>RefData!CD64</f>
        <v>8619.599999999999</v>
      </c>
      <c r="I64" s="213">
        <f>RefData!CE64</f>
        <v>8619.599999999999</v>
      </c>
      <c r="J64" s="247">
        <f>RefData!CF64</f>
        <v>4.35</v>
      </c>
      <c r="K64" s="213"/>
      <c r="L64" s="213"/>
      <c r="M64" s="213"/>
      <c r="N64" s="247"/>
      <c r="S64" s="241">
        <f t="shared" si="0"/>
        <v>0</v>
      </c>
      <c r="T64" s="241">
        <f t="shared" si="1"/>
        <v>8619.599999999999</v>
      </c>
      <c r="U64" s="241">
        <f t="shared" si="2"/>
        <v>8619.599999999999</v>
      </c>
      <c r="V64" s="244">
        <f t="shared" si="3"/>
        <v>4.35</v>
      </c>
    </row>
    <row r="65" spans="1:22" ht="12.75">
      <c r="A65" s="33">
        <v>128</v>
      </c>
      <c r="B65" s="34" t="s">
        <v>201</v>
      </c>
      <c r="C65" s="34" t="s">
        <v>202</v>
      </c>
      <c r="D65" s="35" t="s">
        <v>171</v>
      </c>
      <c r="E65" s="35">
        <v>3</v>
      </c>
      <c r="F65" s="252" t="s">
        <v>186</v>
      </c>
      <c r="G65" s="213">
        <f>RefData!CC65</f>
        <v>0</v>
      </c>
      <c r="H65" s="213">
        <f>RefData!CD65</f>
        <v>8619.599999999999</v>
      </c>
      <c r="I65" s="213">
        <f>RefData!CE65</f>
        <v>8619.599999999999</v>
      </c>
      <c r="J65" s="247">
        <f>RefData!CF65</f>
        <v>4.35</v>
      </c>
      <c r="K65" s="213"/>
      <c r="L65" s="213"/>
      <c r="M65" s="213"/>
      <c r="N65" s="247"/>
      <c r="S65" s="241">
        <f t="shared" si="0"/>
        <v>0</v>
      </c>
      <c r="T65" s="241">
        <f t="shared" si="1"/>
        <v>8619.599999999999</v>
      </c>
      <c r="U65" s="241">
        <f t="shared" si="2"/>
        <v>8619.599999999999</v>
      </c>
      <c r="V65" s="244">
        <f t="shared" si="3"/>
        <v>4.35</v>
      </c>
    </row>
    <row r="66" spans="1:22" ht="12.75">
      <c r="A66" s="33">
        <v>129</v>
      </c>
      <c r="B66" s="42" t="s">
        <v>203</v>
      </c>
      <c r="C66" s="34" t="s">
        <v>189</v>
      </c>
      <c r="D66" s="35" t="s">
        <v>171</v>
      </c>
      <c r="E66" s="35">
        <v>3</v>
      </c>
      <c r="F66" s="252" t="s">
        <v>186</v>
      </c>
      <c r="G66" s="213">
        <f>RefData!CC66</f>
        <v>0</v>
      </c>
      <c r="H66" s="213">
        <f>RefData!CD66</f>
        <v>2873.2</v>
      </c>
      <c r="I66" s="213">
        <f>RefData!CE66</f>
        <v>2873.2</v>
      </c>
      <c r="J66" s="247">
        <f>RefData!CF66</f>
        <v>1.45</v>
      </c>
      <c r="K66" s="213"/>
      <c r="L66" s="213"/>
      <c r="M66" s="213"/>
      <c r="N66" s="247"/>
      <c r="S66" s="241">
        <f t="shared" si="0"/>
        <v>0</v>
      </c>
      <c r="T66" s="241">
        <f t="shared" si="1"/>
        <v>2873.2</v>
      </c>
      <c r="U66" s="241">
        <f t="shared" si="2"/>
        <v>2873.2</v>
      </c>
      <c r="V66" s="244">
        <f t="shared" si="3"/>
        <v>1.45</v>
      </c>
    </row>
    <row r="67" spans="1:22" ht="12.75">
      <c r="A67" s="33">
        <v>129.5</v>
      </c>
      <c r="B67" s="34" t="s">
        <v>204</v>
      </c>
      <c r="C67" s="34" t="s">
        <v>205</v>
      </c>
      <c r="D67" s="35" t="s">
        <v>171</v>
      </c>
      <c r="E67" s="35">
        <v>3</v>
      </c>
      <c r="F67" s="252" t="s">
        <v>186</v>
      </c>
      <c r="G67" s="213">
        <f>RefData!CC67</f>
        <v>0</v>
      </c>
      <c r="H67" s="213">
        <f>RefData!CD67</f>
        <v>2873.2</v>
      </c>
      <c r="I67" s="213">
        <f>RefData!CE67</f>
        <v>2873.2</v>
      </c>
      <c r="J67" s="247">
        <f>RefData!CF67</f>
        <v>1.45</v>
      </c>
      <c r="K67" s="213"/>
      <c r="L67" s="213"/>
      <c r="M67" s="213"/>
      <c r="N67" s="247"/>
      <c r="S67" s="241">
        <f t="shared" si="0"/>
        <v>0</v>
      </c>
      <c r="T67" s="241">
        <f t="shared" si="1"/>
        <v>2873.2</v>
      </c>
      <c r="U67" s="241">
        <f t="shared" si="2"/>
        <v>2873.2</v>
      </c>
      <c r="V67" s="244">
        <f t="shared" si="3"/>
        <v>1.45</v>
      </c>
    </row>
    <row r="68" spans="1:22" ht="12.75">
      <c r="A68" s="33">
        <v>132</v>
      </c>
      <c r="B68" s="34" t="s">
        <v>206</v>
      </c>
      <c r="C68" s="34" t="s">
        <v>189</v>
      </c>
      <c r="D68" s="35" t="s">
        <v>171</v>
      </c>
      <c r="E68" s="35">
        <v>3</v>
      </c>
      <c r="F68" s="252" t="s">
        <v>186</v>
      </c>
      <c r="G68" s="213">
        <f>RefData!CC68</f>
        <v>0</v>
      </c>
      <c r="H68" s="213">
        <f>RefData!CD68</f>
        <v>5746.4</v>
      </c>
      <c r="I68" s="213">
        <f>RefData!CE68</f>
        <v>5746.4</v>
      </c>
      <c r="J68" s="247">
        <f>RefData!CF68</f>
        <v>2.9</v>
      </c>
      <c r="K68" s="213"/>
      <c r="L68" s="213"/>
      <c r="M68" s="213"/>
      <c r="N68" s="247"/>
      <c r="S68" s="241">
        <f t="shared" si="0"/>
        <v>0</v>
      </c>
      <c r="T68" s="241">
        <f t="shared" si="1"/>
        <v>5746.4</v>
      </c>
      <c r="U68" s="241">
        <f t="shared" si="2"/>
        <v>5746.4</v>
      </c>
      <c r="V68" s="244">
        <f t="shared" si="3"/>
        <v>2.9</v>
      </c>
    </row>
    <row r="69" spans="1:22" ht="12.75">
      <c r="A69" s="33">
        <v>133</v>
      </c>
      <c r="B69" s="34" t="s">
        <v>207</v>
      </c>
      <c r="C69" s="34" t="s">
        <v>197</v>
      </c>
      <c r="D69" s="35" t="s">
        <v>171</v>
      </c>
      <c r="E69" s="35">
        <v>3</v>
      </c>
      <c r="F69" s="252" t="s">
        <v>186</v>
      </c>
      <c r="G69" s="213">
        <f>RefData!CC69</f>
        <v>0</v>
      </c>
      <c r="H69" s="213">
        <f>RefData!CD69</f>
        <v>5746.4</v>
      </c>
      <c r="I69" s="213">
        <f>RefData!CE69</f>
        <v>5746.4</v>
      </c>
      <c r="J69" s="247">
        <f>RefData!CF69</f>
        <v>2.9</v>
      </c>
      <c r="K69" s="213"/>
      <c r="L69" s="213"/>
      <c r="M69" s="213"/>
      <c r="N69" s="247"/>
      <c r="S69" s="241">
        <f t="shared" si="0"/>
        <v>0</v>
      </c>
      <c r="T69" s="241">
        <f t="shared" si="1"/>
        <v>5746.4</v>
      </c>
      <c r="U69" s="241">
        <f t="shared" si="2"/>
        <v>5746.4</v>
      </c>
      <c r="V69" s="244">
        <f t="shared" si="3"/>
        <v>2.9</v>
      </c>
    </row>
    <row r="70" spans="1:22" ht="12.75">
      <c r="A70" s="33">
        <v>134</v>
      </c>
      <c r="B70" s="34" t="s">
        <v>207</v>
      </c>
      <c r="C70" s="34" t="s">
        <v>187</v>
      </c>
      <c r="D70" s="35" t="s">
        <v>171</v>
      </c>
      <c r="E70" s="35">
        <v>3</v>
      </c>
      <c r="F70" s="252" t="s">
        <v>186</v>
      </c>
      <c r="G70" s="213">
        <f>RefData!CC70</f>
        <v>0</v>
      </c>
      <c r="H70" s="213">
        <f>RefData!CD70</f>
        <v>8619.599999999999</v>
      </c>
      <c r="I70" s="213">
        <f>RefData!CE70</f>
        <v>8619.599999999999</v>
      </c>
      <c r="J70" s="247">
        <f>RefData!CF70</f>
        <v>4.35</v>
      </c>
      <c r="K70" s="213"/>
      <c r="L70" s="213"/>
      <c r="M70" s="213"/>
      <c r="N70" s="247"/>
      <c r="S70" s="241">
        <f aca="true" t="shared" si="4" ref="S70:S133">G70+K70+O70</f>
        <v>0</v>
      </c>
      <c r="T70" s="241">
        <f aca="true" t="shared" si="5" ref="T70:T133">H70+L70+P70</f>
        <v>8619.599999999999</v>
      </c>
      <c r="U70" s="241">
        <f aca="true" t="shared" si="6" ref="U70:U133">I70+M70+Q70</f>
        <v>8619.599999999999</v>
      </c>
      <c r="V70" s="244">
        <f aca="true" t="shared" si="7" ref="V70:V133">J70+N70+R70</f>
        <v>4.35</v>
      </c>
    </row>
    <row r="71" spans="1:22" ht="12.75">
      <c r="A71" s="24">
        <v>1</v>
      </c>
      <c r="B71" s="25" t="s">
        <v>208</v>
      </c>
      <c r="C71" s="25" t="s">
        <v>209</v>
      </c>
      <c r="D71" s="26" t="s">
        <v>210</v>
      </c>
      <c r="E71" s="26">
        <v>3</v>
      </c>
      <c r="F71" s="251" t="s">
        <v>211</v>
      </c>
      <c r="G71" s="213">
        <f>RefData!CC71</f>
        <v>0</v>
      </c>
      <c r="H71" s="213">
        <f>RefData!CD71</f>
        <v>2873.2</v>
      </c>
      <c r="I71" s="213">
        <f>RefData!CE71</f>
        <v>2873.2</v>
      </c>
      <c r="J71" s="247">
        <f>RefData!CF71</f>
        <v>1.45</v>
      </c>
      <c r="K71" s="213"/>
      <c r="L71" s="213"/>
      <c r="M71" s="213"/>
      <c r="N71" s="247"/>
      <c r="S71" s="241">
        <f t="shared" si="4"/>
        <v>0</v>
      </c>
      <c r="T71" s="241">
        <f t="shared" si="5"/>
        <v>2873.2</v>
      </c>
      <c r="U71" s="241">
        <f t="shared" si="6"/>
        <v>2873.2</v>
      </c>
      <c r="V71" s="244">
        <f t="shared" si="7"/>
        <v>1.45</v>
      </c>
    </row>
    <row r="72" spans="1:22" ht="12.75">
      <c r="A72" s="24">
        <v>3</v>
      </c>
      <c r="B72" s="25" t="s">
        <v>212</v>
      </c>
      <c r="C72" s="25" t="s">
        <v>213</v>
      </c>
      <c r="D72" s="26" t="s">
        <v>210</v>
      </c>
      <c r="E72" s="26">
        <v>3</v>
      </c>
      <c r="F72" s="251" t="s">
        <v>211</v>
      </c>
      <c r="G72" s="213">
        <f>RefData!CC72</f>
        <v>0</v>
      </c>
      <c r="H72" s="213">
        <f>RefData!CD72</f>
        <v>5746.4</v>
      </c>
      <c r="I72" s="213">
        <f>RefData!CE72</f>
        <v>5746.4</v>
      </c>
      <c r="J72" s="247">
        <f>RefData!CF72</f>
        <v>2.9</v>
      </c>
      <c r="K72" s="213"/>
      <c r="L72" s="213"/>
      <c r="M72" s="213"/>
      <c r="N72" s="247"/>
      <c r="S72" s="241">
        <f t="shared" si="4"/>
        <v>0</v>
      </c>
      <c r="T72" s="241">
        <f t="shared" si="5"/>
        <v>5746.4</v>
      </c>
      <c r="U72" s="241">
        <f t="shared" si="6"/>
        <v>5746.4</v>
      </c>
      <c r="V72" s="244">
        <f t="shared" si="7"/>
        <v>2.9</v>
      </c>
    </row>
    <row r="73" spans="1:22" ht="12.75">
      <c r="A73" s="24">
        <v>55</v>
      </c>
      <c r="B73" s="25" t="s">
        <v>214</v>
      </c>
      <c r="C73" s="25" t="s">
        <v>215</v>
      </c>
      <c r="D73" s="26" t="s">
        <v>216</v>
      </c>
      <c r="E73" s="26">
        <v>3</v>
      </c>
      <c r="F73" s="251" t="s">
        <v>211</v>
      </c>
      <c r="G73" s="213">
        <f>RefData!CC73</f>
        <v>0</v>
      </c>
      <c r="H73" s="213">
        <f>RefData!CD73</f>
        <v>2873.2</v>
      </c>
      <c r="I73" s="213">
        <f>RefData!CE73</f>
        <v>2873.2</v>
      </c>
      <c r="J73" s="247">
        <f>RefData!CF73</f>
        <v>1.45</v>
      </c>
      <c r="K73" s="213"/>
      <c r="L73" s="213"/>
      <c r="M73" s="213"/>
      <c r="N73" s="247"/>
      <c r="S73" s="241">
        <f t="shared" si="4"/>
        <v>0</v>
      </c>
      <c r="T73" s="241">
        <f t="shared" si="5"/>
        <v>2873.2</v>
      </c>
      <c r="U73" s="241">
        <f t="shared" si="6"/>
        <v>2873.2</v>
      </c>
      <c r="V73" s="244">
        <f t="shared" si="7"/>
        <v>1.45</v>
      </c>
    </row>
    <row r="74" spans="1:22" ht="12.75">
      <c r="A74" s="24">
        <v>56</v>
      </c>
      <c r="B74" s="25" t="s">
        <v>217</v>
      </c>
      <c r="C74" s="25" t="s">
        <v>215</v>
      </c>
      <c r="D74" s="26" t="s">
        <v>216</v>
      </c>
      <c r="E74" s="26">
        <v>3</v>
      </c>
      <c r="F74" s="251" t="s">
        <v>211</v>
      </c>
      <c r="G74" s="213">
        <f>RefData!CC74</f>
        <v>0</v>
      </c>
      <c r="H74" s="213">
        <f>RefData!CD74</f>
        <v>2873.2</v>
      </c>
      <c r="I74" s="213">
        <f>RefData!CE74</f>
        <v>2873.2</v>
      </c>
      <c r="J74" s="247">
        <f>RefData!CF74</f>
        <v>1.45</v>
      </c>
      <c r="K74" s="213"/>
      <c r="L74" s="213"/>
      <c r="M74" s="213"/>
      <c r="N74" s="247"/>
      <c r="S74" s="241">
        <f t="shared" si="4"/>
        <v>0</v>
      </c>
      <c r="T74" s="241">
        <f t="shared" si="5"/>
        <v>2873.2</v>
      </c>
      <c r="U74" s="241">
        <f t="shared" si="6"/>
        <v>2873.2</v>
      </c>
      <c r="V74" s="244">
        <f t="shared" si="7"/>
        <v>1.45</v>
      </c>
    </row>
    <row r="75" spans="1:22" ht="12.75">
      <c r="A75" s="24">
        <v>61</v>
      </c>
      <c r="B75" s="25" t="s">
        <v>218</v>
      </c>
      <c r="C75" s="25" t="s">
        <v>215</v>
      </c>
      <c r="D75" s="26" t="s">
        <v>216</v>
      </c>
      <c r="E75" s="26">
        <v>3</v>
      </c>
      <c r="F75" s="251" t="s">
        <v>211</v>
      </c>
      <c r="G75" s="213">
        <f>RefData!CC75</f>
        <v>0</v>
      </c>
      <c r="H75" s="213">
        <f>RefData!CD75</f>
        <v>8619.599999999999</v>
      </c>
      <c r="I75" s="213">
        <f>RefData!CE75</f>
        <v>8619.599999999999</v>
      </c>
      <c r="J75" s="247">
        <f>RefData!CF75</f>
        <v>4.35</v>
      </c>
      <c r="K75" s="213"/>
      <c r="L75" s="213"/>
      <c r="M75" s="213"/>
      <c r="N75" s="247"/>
      <c r="S75" s="241">
        <f t="shared" si="4"/>
        <v>0</v>
      </c>
      <c r="T75" s="241">
        <f t="shared" si="5"/>
        <v>8619.599999999999</v>
      </c>
      <c r="U75" s="241">
        <f t="shared" si="6"/>
        <v>8619.599999999999</v>
      </c>
      <c r="V75" s="244">
        <f t="shared" si="7"/>
        <v>4.35</v>
      </c>
    </row>
    <row r="76" spans="1:22" ht="12.75">
      <c r="A76" s="24">
        <v>62</v>
      </c>
      <c r="B76" s="25" t="s">
        <v>219</v>
      </c>
      <c r="C76" s="25" t="s">
        <v>220</v>
      </c>
      <c r="D76" s="26" t="s">
        <v>216</v>
      </c>
      <c r="E76" s="26">
        <v>3</v>
      </c>
      <c r="F76" s="251" t="s">
        <v>211</v>
      </c>
      <c r="G76" s="213">
        <f>RefData!CC76</f>
        <v>0</v>
      </c>
      <c r="H76" s="213">
        <f>RefData!CD76</f>
        <v>8619.599999999999</v>
      </c>
      <c r="I76" s="213">
        <f>RefData!CE76</f>
        <v>8619.599999999999</v>
      </c>
      <c r="J76" s="247">
        <f>RefData!CF76</f>
        <v>4.35</v>
      </c>
      <c r="K76" s="213"/>
      <c r="L76" s="213"/>
      <c r="M76" s="213"/>
      <c r="N76" s="247"/>
      <c r="S76" s="241">
        <f t="shared" si="4"/>
        <v>0</v>
      </c>
      <c r="T76" s="241">
        <f t="shared" si="5"/>
        <v>8619.599999999999</v>
      </c>
      <c r="U76" s="241">
        <f t="shared" si="6"/>
        <v>8619.599999999999</v>
      </c>
      <c r="V76" s="244">
        <f t="shared" si="7"/>
        <v>4.35</v>
      </c>
    </row>
    <row r="77" spans="1:22" ht="12.75">
      <c r="A77" s="24">
        <v>63</v>
      </c>
      <c r="B77" s="25" t="s">
        <v>221</v>
      </c>
      <c r="C77" s="25" t="s">
        <v>222</v>
      </c>
      <c r="D77" s="26" t="s">
        <v>216</v>
      </c>
      <c r="E77" s="26">
        <v>3</v>
      </c>
      <c r="F77" s="251" t="s">
        <v>211</v>
      </c>
      <c r="G77" s="213">
        <f>RefData!CC77</f>
        <v>0</v>
      </c>
      <c r="H77" s="213">
        <f>RefData!CD77</f>
        <v>8619.599999999999</v>
      </c>
      <c r="I77" s="213">
        <f>RefData!CE77</f>
        <v>8619.599999999999</v>
      </c>
      <c r="J77" s="247">
        <f>RefData!CF77</f>
        <v>4.35</v>
      </c>
      <c r="K77" s="213"/>
      <c r="L77" s="213"/>
      <c r="M77" s="213"/>
      <c r="N77" s="247"/>
      <c r="S77" s="241">
        <f t="shared" si="4"/>
        <v>0</v>
      </c>
      <c r="T77" s="241">
        <f t="shared" si="5"/>
        <v>8619.599999999999</v>
      </c>
      <c r="U77" s="241">
        <f t="shared" si="6"/>
        <v>8619.599999999999</v>
      </c>
      <c r="V77" s="244">
        <f t="shared" si="7"/>
        <v>4.35</v>
      </c>
    </row>
    <row r="78" spans="1:22" ht="12.75">
      <c r="A78" s="24">
        <v>64</v>
      </c>
      <c r="B78" s="25" t="s">
        <v>223</v>
      </c>
      <c r="C78" s="25" t="s">
        <v>224</v>
      </c>
      <c r="D78" s="26" t="s">
        <v>216</v>
      </c>
      <c r="E78" s="26">
        <v>3</v>
      </c>
      <c r="F78" s="251" t="s">
        <v>211</v>
      </c>
      <c r="G78" s="213">
        <f>RefData!CC78</f>
        <v>0</v>
      </c>
      <c r="H78" s="213">
        <f>RefData!CD78</f>
        <v>5746.4</v>
      </c>
      <c r="I78" s="213">
        <f>RefData!CE78</f>
        <v>5746.4</v>
      </c>
      <c r="J78" s="247">
        <f>RefData!CF78</f>
        <v>2.9</v>
      </c>
      <c r="K78" s="213"/>
      <c r="L78" s="213"/>
      <c r="M78" s="213"/>
      <c r="N78" s="247"/>
      <c r="S78" s="241">
        <f t="shared" si="4"/>
        <v>0</v>
      </c>
      <c r="T78" s="241">
        <f t="shared" si="5"/>
        <v>5746.4</v>
      </c>
      <c r="U78" s="241">
        <f t="shared" si="6"/>
        <v>5746.4</v>
      </c>
      <c r="V78" s="244">
        <f t="shared" si="7"/>
        <v>2.9</v>
      </c>
    </row>
    <row r="79" spans="1:22" ht="12.75">
      <c r="A79" s="24">
        <v>65</v>
      </c>
      <c r="B79" s="25" t="s">
        <v>117</v>
      </c>
      <c r="C79" s="25" t="s">
        <v>225</v>
      </c>
      <c r="D79" s="26" t="s">
        <v>216</v>
      </c>
      <c r="E79" s="26">
        <v>3</v>
      </c>
      <c r="F79" s="251" t="s">
        <v>211</v>
      </c>
      <c r="G79" s="213">
        <f>RefData!CC79</f>
        <v>0</v>
      </c>
      <c r="H79" s="213">
        <f>RefData!CD79</f>
        <v>8619.599999999999</v>
      </c>
      <c r="I79" s="213">
        <f>RefData!CE79</f>
        <v>8619.599999999999</v>
      </c>
      <c r="J79" s="247">
        <f>RefData!CF79</f>
        <v>4.35</v>
      </c>
      <c r="K79" s="213"/>
      <c r="L79" s="213"/>
      <c r="M79" s="213"/>
      <c r="N79" s="247"/>
      <c r="S79" s="241">
        <f t="shared" si="4"/>
        <v>0</v>
      </c>
      <c r="T79" s="241">
        <f t="shared" si="5"/>
        <v>8619.599999999999</v>
      </c>
      <c r="U79" s="241">
        <f t="shared" si="6"/>
        <v>8619.599999999999</v>
      </c>
      <c r="V79" s="244">
        <f t="shared" si="7"/>
        <v>4.35</v>
      </c>
    </row>
    <row r="80" spans="1:22" ht="12.75">
      <c r="A80" s="24">
        <v>66</v>
      </c>
      <c r="B80" s="25" t="s">
        <v>198</v>
      </c>
      <c r="C80" s="25" t="s">
        <v>226</v>
      </c>
      <c r="D80" s="26" t="s">
        <v>216</v>
      </c>
      <c r="E80" s="26">
        <v>3</v>
      </c>
      <c r="F80" s="251" t="s">
        <v>211</v>
      </c>
      <c r="G80" s="213">
        <f>RefData!CC80</f>
        <v>0</v>
      </c>
      <c r="H80" s="213">
        <f>RefData!CD80</f>
        <v>8619.599999999999</v>
      </c>
      <c r="I80" s="213">
        <f>RefData!CE80</f>
        <v>8619.599999999999</v>
      </c>
      <c r="J80" s="247">
        <f>RefData!CF80</f>
        <v>4.35</v>
      </c>
      <c r="K80" s="213"/>
      <c r="L80" s="213"/>
      <c r="M80" s="213"/>
      <c r="N80" s="247"/>
      <c r="S80" s="241">
        <f t="shared" si="4"/>
        <v>0</v>
      </c>
      <c r="T80" s="241">
        <f t="shared" si="5"/>
        <v>8619.599999999999</v>
      </c>
      <c r="U80" s="241">
        <f t="shared" si="6"/>
        <v>8619.599999999999</v>
      </c>
      <c r="V80" s="244">
        <f t="shared" si="7"/>
        <v>4.35</v>
      </c>
    </row>
    <row r="81" spans="1:22" ht="12.75">
      <c r="A81" s="24">
        <v>67</v>
      </c>
      <c r="B81" s="25" t="s">
        <v>227</v>
      </c>
      <c r="C81" s="25" t="s">
        <v>228</v>
      </c>
      <c r="D81" s="26" t="s">
        <v>216</v>
      </c>
      <c r="E81" s="26">
        <v>3</v>
      </c>
      <c r="F81" s="251" t="s">
        <v>211</v>
      </c>
      <c r="G81" s="213">
        <f>RefData!CC81</f>
        <v>0</v>
      </c>
      <c r="H81" s="213">
        <f>RefData!CD81</f>
        <v>8619.599999999999</v>
      </c>
      <c r="I81" s="213">
        <f>RefData!CE81</f>
        <v>8619.599999999999</v>
      </c>
      <c r="J81" s="247">
        <f>RefData!CF81</f>
        <v>4.35</v>
      </c>
      <c r="K81" s="213"/>
      <c r="L81" s="213"/>
      <c r="M81" s="213"/>
      <c r="N81" s="247"/>
      <c r="S81" s="241">
        <f t="shared" si="4"/>
        <v>0</v>
      </c>
      <c r="T81" s="241">
        <f t="shared" si="5"/>
        <v>8619.599999999999</v>
      </c>
      <c r="U81" s="241">
        <f t="shared" si="6"/>
        <v>8619.599999999999</v>
      </c>
      <c r="V81" s="244">
        <f t="shared" si="7"/>
        <v>4.35</v>
      </c>
    </row>
    <row r="82" spans="1:22" ht="12.75">
      <c r="A82" s="24">
        <v>68</v>
      </c>
      <c r="B82" s="25" t="s">
        <v>149</v>
      </c>
      <c r="C82" s="25" t="s">
        <v>229</v>
      </c>
      <c r="D82" s="26" t="s">
        <v>216</v>
      </c>
      <c r="E82" s="26">
        <v>3</v>
      </c>
      <c r="F82" s="251" t="s">
        <v>211</v>
      </c>
      <c r="G82" s="213">
        <f>RefData!CC82</f>
        <v>0</v>
      </c>
      <c r="H82" s="213">
        <f>RefData!CD82</f>
        <v>5746.4</v>
      </c>
      <c r="I82" s="213">
        <f>RefData!CE82</f>
        <v>5746.4</v>
      </c>
      <c r="J82" s="247">
        <f>RefData!CF82</f>
        <v>2.9</v>
      </c>
      <c r="K82" s="213"/>
      <c r="L82" s="213"/>
      <c r="M82" s="213"/>
      <c r="N82" s="247"/>
      <c r="S82" s="241">
        <f t="shared" si="4"/>
        <v>0</v>
      </c>
      <c r="T82" s="241">
        <f t="shared" si="5"/>
        <v>5746.4</v>
      </c>
      <c r="U82" s="241">
        <f t="shared" si="6"/>
        <v>5746.4</v>
      </c>
      <c r="V82" s="244">
        <f t="shared" si="7"/>
        <v>2.9</v>
      </c>
    </row>
    <row r="83" spans="1:22" ht="12.75">
      <c r="A83" s="24">
        <v>69</v>
      </c>
      <c r="B83" s="25" t="s">
        <v>230</v>
      </c>
      <c r="C83" s="25" t="s">
        <v>228</v>
      </c>
      <c r="D83" s="26" t="s">
        <v>216</v>
      </c>
      <c r="E83" s="26">
        <v>3</v>
      </c>
      <c r="F83" s="251" t="s">
        <v>211</v>
      </c>
      <c r="G83" s="213">
        <f>RefData!CC83</f>
        <v>0</v>
      </c>
      <c r="H83" s="213">
        <f>RefData!CD83</f>
        <v>5746.4</v>
      </c>
      <c r="I83" s="213">
        <f>RefData!CE83</f>
        <v>5746.4</v>
      </c>
      <c r="J83" s="247">
        <f>RefData!CF83</f>
        <v>2.9</v>
      </c>
      <c r="K83" s="213"/>
      <c r="L83" s="213"/>
      <c r="M83" s="213"/>
      <c r="N83" s="247"/>
      <c r="S83" s="241">
        <f t="shared" si="4"/>
        <v>0</v>
      </c>
      <c r="T83" s="241">
        <f t="shared" si="5"/>
        <v>5746.4</v>
      </c>
      <c r="U83" s="241">
        <f t="shared" si="6"/>
        <v>5746.4</v>
      </c>
      <c r="V83" s="244">
        <f t="shared" si="7"/>
        <v>2.9</v>
      </c>
    </row>
    <row r="84" spans="1:22" ht="12.75">
      <c r="A84" s="24">
        <v>71</v>
      </c>
      <c r="B84" s="25" t="s">
        <v>231</v>
      </c>
      <c r="C84" s="25" t="s">
        <v>232</v>
      </c>
      <c r="D84" s="26" t="s">
        <v>216</v>
      </c>
      <c r="E84" s="26">
        <v>3</v>
      </c>
      <c r="F84" s="251" t="s">
        <v>211</v>
      </c>
      <c r="G84" s="213">
        <f>RefData!CC84</f>
        <v>0</v>
      </c>
      <c r="H84" s="213">
        <f>RefData!CD84</f>
        <v>2873.2</v>
      </c>
      <c r="I84" s="213">
        <f>RefData!CE84</f>
        <v>2873.2</v>
      </c>
      <c r="J84" s="247">
        <f>RefData!CF84</f>
        <v>1.45</v>
      </c>
      <c r="K84" s="213"/>
      <c r="L84" s="213"/>
      <c r="M84" s="213"/>
      <c r="N84" s="247"/>
      <c r="S84" s="241">
        <f t="shared" si="4"/>
        <v>0</v>
      </c>
      <c r="T84" s="241">
        <f t="shared" si="5"/>
        <v>2873.2</v>
      </c>
      <c r="U84" s="241">
        <f t="shared" si="6"/>
        <v>2873.2</v>
      </c>
      <c r="V84" s="244">
        <f t="shared" si="7"/>
        <v>1.45</v>
      </c>
    </row>
    <row r="85" spans="1:22" ht="12.75">
      <c r="A85" s="24">
        <v>72</v>
      </c>
      <c r="B85" s="25" t="s">
        <v>233</v>
      </c>
      <c r="C85" s="25" t="s">
        <v>234</v>
      </c>
      <c r="D85" s="26" t="s">
        <v>216</v>
      </c>
      <c r="E85" s="26">
        <v>3</v>
      </c>
      <c r="F85" s="251" t="s">
        <v>211</v>
      </c>
      <c r="G85" s="213">
        <f>RefData!CC85</f>
        <v>0</v>
      </c>
      <c r="H85" s="213">
        <f>RefData!CD85</f>
        <v>2873.2</v>
      </c>
      <c r="I85" s="213">
        <f>RefData!CE85</f>
        <v>2873.2</v>
      </c>
      <c r="J85" s="247">
        <f>RefData!CF85</f>
        <v>1.45</v>
      </c>
      <c r="K85" s="213"/>
      <c r="L85" s="213"/>
      <c r="M85" s="213"/>
      <c r="N85" s="247"/>
      <c r="S85" s="241">
        <f t="shared" si="4"/>
        <v>0</v>
      </c>
      <c r="T85" s="241">
        <f t="shared" si="5"/>
        <v>2873.2</v>
      </c>
      <c r="U85" s="241">
        <f t="shared" si="6"/>
        <v>2873.2</v>
      </c>
      <c r="V85" s="244">
        <f t="shared" si="7"/>
        <v>1.45</v>
      </c>
    </row>
    <row r="86" spans="1:22" ht="12.75">
      <c r="A86" s="24">
        <v>73</v>
      </c>
      <c r="B86" s="25" t="s">
        <v>235</v>
      </c>
      <c r="C86" s="25" t="s">
        <v>236</v>
      </c>
      <c r="D86" s="26" t="s">
        <v>216</v>
      </c>
      <c r="E86" s="26">
        <v>3</v>
      </c>
      <c r="F86" s="251" t="s">
        <v>211</v>
      </c>
      <c r="G86" s="213">
        <f>RefData!CC86</f>
        <v>0</v>
      </c>
      <c r="H86" s="213">
        <f>RefData!CD86</f>
        <v>8619.599999999999</v>
      </c>
      <c r="I86" s="213">
        <f>RefData!CE86</f>
        <v>8619.599999999999</v>
      </c>
      <c r="J86" s="247">
        <f>RefData!CF86</f>
        <v>4.35</v>
      </c>
      <c r="K86" s="213"/>
      <c r="L86" s="213"/>
      <c r="M86" s="213"/>
      <c r="N86" s="247"/>
      <c r="S86" s="241">
        <f t="shared" si="4"/>
        <v>0</v>
      </c>
      <c r="T86" s="241">
        <f t="shared" si="5"/>
        <v>8619.599999999999</v>
      </c>
      <c r="U86" s="241">
        <f t="shared" si="6"/>
        <v>8619.599999999999</v>
      </c>
      <c r="V86" s="244">
        <f t="shared" si="7"/>
        <v>4.35</v>
      </c>
    </row>
    <row r="87" spans="1:22" ht="12.75">
      <c r="A87" s="24">
        <v>74</v>
      </c>
      <c r="B87" s="25" t="s">
        <v>207</v>
      </c>
      <c r="C87" s="25" t="s">
        <v>237</v>
      </c>
      <c r="D87" s="26" t="s">
        <v>216</v>
      </c>
      <c r="E87" s="26">
        <v>3</v>
      </c>
      <c r="F87" s="251" t="s">
        <v>211</v>
      </c>
      <c r="G87" s="213">
        <f>RefData!CC87</f>
        <v>0</v>
      </c>
      <c r="H87" s="213">
        <f>RefData!CD87</f>
        <v>5746.4</v>
      </c>
      <c r="I87" s="213">
        <f>RefData!CE87</f>
        <v>5746.4</v>
      </c>
      <c r="J87" s="247">
        <f>RefData!CF87</f>
        <v>2.9</v>
      </c>
      <c r="K87" s="213"/>
      <c r="L87" s="213"/>
      <c r="M87" s="213"/>
      <c r="N87" s="247"/>
      <c r="S87" s="241">
        <f t="shared" si="4"/>
        <v>0</v>
      </c>
      <c r="T87" s="241">
        <f t="shared" si="5"/>
        <v>5746.4</v>
      </c>
      <c r="U87" s="241">
        <f t="shared" si="6"/>
        <v>5746.4</v>
      </c>
      <c r="V87" s="244">
        <f t="shared" si="7"/>
        <v>2.9</v>
      </c>
    </row>
    <row r="88" spans="1:22" ht="12.75">
      <c r="A88" s="24">
        <v>78</v>
      </c>
      <c r="B88" s="25" t="s">
        <v>238</v>
      </c>
      <c r="C88" s="25" t="s">
        <v>239</v>
      </c>
      <c r="D88" s="26" t="s">
        <v>240</v>
      </c>
      <c r="E88" s="26">
        <v>3</v>
      </c>
      <c r="F88" s="251" t="s">
        <v>211</v>
      </c>
      <c r="G88" s="213">
        <f>RefData!CC88</f>
        <v>0</v>
      </c>
      <c r="H88" s="213">
        <f>RefData!CD88</f>
        <v>8619.599999999999</v>
      </c>
      <c r="I88" s="213">
        <f>RefData!CE88</f>
        <v>8619.599999999999</v>
      </c>
      <c r="J88" s="247">
        <f>RefData!CF88</f>
        <v>4.35</v>
      </c>
      <c r="K88" s="213"/>
      <c r="L88" s="213"/>
      <c r="M88" s="213"/>
      <c r="N88" s="247"/>
      <c r="S88" s="241">
        <f t="shared" si="4"/>
        <v>0</v>
      </c>
      <c r="T88" s="241">
        <f t="shared" si="5"/>
        <v>8619.599999999999</v>
      </c>
      <c r="U88" s="241">
        <f t="shared" si="6"/>
        <v>8619.599999999999</v>
      </c>
      <c r="V88" s="244">
        <f t="shared" si="7"/>
        <v>4.35</v>
      </c>
    </row>
    <row r="89" spans="1:22" ht="12.75">
      <c r="A89" s="24">
        <v>1.5</v>
      </c>
      <c r="B89" s="25" t="s">
        <v>241</v>
      </c>
      <c r="C89" s="25" t="s">
        <v>242</v>
      </c>
      <c r="D89" s="26" t="s">
        <v>210</v>
      </c>
      <c r="E89" s="26">
        <v>3</v>
      </c>
      <c r="F89" s="251" t="s">
        <v>243</v>
      </c>
      <c r="G89" s="213">
        <f>RefData!CC89</f>
        <v>0</v>
      </c>
      <c r="H89" s="213">
        <f>RefData!CD89</f>
        <v>2873.2</v>
      </c>
      <c r="I89" s="213">
        <f>RefData!CE89</f>
        <v>2873.2</v>
      </c>
      <c r="J89" s="247">
        <f>RefData!CF89</f>
        <v>1.45</v>
      </c>
      <c r="K89" s="213"/>
      <c r="L89" s="213"/>
      <c r="M89" s="213"/>
      <c r="N89" s="247"/>
      <c r="S89" s="241">
        <f t="shared" si="4"/>
        <v>0</v>
      </c>
      <c r="T89" s="241">
        <f t="shared" si="5"/>
        <v>2873.2</v>
      </c>
      <c r="U89" s="241">
        <f t="shared" si="6"/>
        <v>2873.2</v>
      </c>
      <c r="V89" s="244">
        <f t="shared" si="7"/>
        <v>1.45</v>
      </c>
    </row>
    <row r="90" spans="1:22" ht="12.75">
      <c r="A90" s="24">
        <v>2</v>
      </c>
      <c r="B90" s="25" t="s">
        <v>244</v>
      </c>
      <c r="C90" s="25" t="s">
        <v>245</v>
      </c>
      <c r="D90" s="26" t="s">
        <v>210</v>
      </c>
      <c r="E90" s="26">
        <v>3</v>
      </c>
      <c r="F90" s="251" t="s">
        <v>243</v>
      </c>
      <c r="G90" s="213">
        <f>RefData!CC90</f>
        <v>0</v>
      </c>
      <c r="H90" s="213">
        <f>RefData!CD90</f>
        <v>2873.2</v>
      </c>
      <c r="I90" s="213">
        <f>RefData!CE90</f>
        <v>2873.2</v>
      </c>
      <c r="J90" s="247">
        <f>RefData!CF90</f>
        <v>1.45</v>
      </c>
      <c r="K90" s="213"/>
      <c r="L90" s="213"/>
      <c r="M90" s="213"/>
      <c r="N90" s="247"/>
      <c r="S90" s="241">
        <f t="shared" si="4"/>
        <v>0</v>
      </c>
      <c r="T90" s="241">
        <f t="shared" si="5"/>
        <v>2873.2</v>
      </c>
      <c r="U90" s="241">
        <f t="shared" si="6"/>
        <v>2873.2</v>
      </c>
      <c r="V90" s="244">
        <f t="shared" si="7"/>
        <v>1.45</v>
      </c>
    </row>
    <row r="91" spans="1:22" ht="12.75">
      <c r="A91" s="24">
        <v>11</v>
      </c>
      <c r="B91" s="25" t="s">
        <v>246</v>
      </c>
      <c r="C91" s="25" t="s">
        <v>247</v>
      </c>
      <c r="D91" s="26" t="s">
        <v>248</v>
      </c>
      <c r="E91" s="26">
        <v>3</v>
      </c>
      <c r="F91" s="251" t="s">
        <v>243</v>
      </c>
      <c r="G91" s="213">
        <f>RefData!CC91</f>
        <v>0</v>
      </c>
      <c r="H91" s="213">
        <f>RefData!CD91</f>
        <v>2873.2</v>
      </c>
      <c r="I91" s="213">
        <f>RefData!CE91</f>
        <v>2873.2</v>
      </c>
      <c r="J91" s="247">
        <f>RefData!CF91</f>
        <v>1.45</v>
      </c>
      <c r="K91" s="213"/>
      <c r="L91" s="213"/>
      <c r="M91" s="213"/>
      <c r="N91" s="247"/>
      <c r="S91" s="241">
        <f t="shared" si="4"/>
        <v>0</v>
      </c>
      <c r="T91" s="241">
        <f t="shared" si="5"/>
        <v>2873.2</v>
      </c>
      <c r="U91" s="241">
        <f t="shared" si="6"/>
        <v>2873.2</v>
      </c>
      <c r="V91" s="244">
        <f t="shared" si="7"/>
        <v>1.45</v>
      </c>
    </row>
    <row r="92" spans="1:22" ht="12.75">
      <c r="A92" s="24">
        <v>12</v>
      </c>
      <c r="B92" s="25" t="s">
        <v>249</v>
      </c>
      <c r="C92" s="25" t="s">
        <v>159</v>
      </c>
      <c r="D92" s="26" t="s">
        <v>248</v>
      </c>
      <c r="E92" s="26">
        <v>3</v>
      </c>
      <c r="F92" s="251" t="s">
        <v>243</v>
      </c>
      <c r="G92" s="213">
        <f>RefData!CC92</f>
        <v>0</v>
      </c>
      <c r="H92" s="213">
        <f>RefData!CD92</f>
        <v>2873.2</v>
      </c>
      <c r="I92" s="213">
        <f>RefData!CE92</f>
        <v>2873.2</v>
      </c>
      <c r="J92" s="247">
        <f>RefData!CF92</f>
        <v>1.45</v>
      </c>
      <c r="K92" s="213"/>
      <c r="L92" s="213"/>
      <c r="M92" s="213"/>
      <c r="N92" s="247"/>
      <c r="S92" s="241">
        <f t="shared" si="4"/>
        <v>0</v>
      </c>
      <c r="T92" s="241">
        <f t="shared" si="5"/>
        <v>2873.2</v>
      </c>
      <c r="U92" s="241">
        <f t="shared" si="6"/>
        <v>2873.2</v>
      </c>
      <c r="V92" s="244">
        <f t="shared" si="7"/>
        <v>1.45</v>
      </c>
    </row>
    <row r="93" spans="1:22" ht="12.75">
      <c r="A93" s="24">
        <v>57</v>
      </c>
      <c r="B93" s="25" t="s">
        <v>250</v>
      </c>
      <c r="C93" s="25" t="s">
        <v>251</v>
      </c>
      <c r="D93" s="26" t="s">
        <v>216</v>
      </c>
      <c r="E93" s="26">
        <v>3</v>
      </c>
      <c r="F93" s="251" t="s">
        <v>243</v>
      </c>
      <c r="G93" s="213">
        <f>RefData!CC93</f>
        <v>0</v>
      </c>
      <c r="H93" s="213">
        <f>RefData!CD93</f>
        <v>2873.2</v>
      </c>
      <c r="I93" s="213">
        <f>RefData!CE93</f>
        <v>2873.2</v>
      </c>
      <c r="J93" s="247">
        <f>RefData!CF93</f>
        <v>1.45</v>
      </c>
      <c r="K93" s="213"/>
      <c r="L93" s="213"/>
      <c r="M93" s="213"/>
      <c r="N93" s="247"/>
      <c r="S93" s="241">
        <f t="shared" si="4"/>
        <v>0</v>
      </c>
      <c r="T93" s="241">
        <f t="shared" si="5"/>
        <v>2873.2</v>
      </c>
      <c r="U93" s="241">
        <f t="shared" si="6"/>
        <v>2873.2</v>
      </c>
      <c r="V93" s="244">
        <f t="shared" si="7"/>
        <v>1.45</v>
      </c>
    </row>
    <row r="94" spans="1:22" ht="12.75">
      <c r="A94" s="24">
        <v>58</v>
      </c>
      <c r="B94" s="25" t="s">
        <v>250</v>
      </c>
      <c r="C94" s="25" t="s">
        <v>252</v>
      </c>
      <c r="D94" s="26" t="s">
        <v>216</v>
      </c>
      <c r="E94" s="26">
        <v>3</v>
      </c>
      <c r="F94" s="251" t="s">
        <v>243</v>
      </c>
      <c r="G94" s="213">
        <f>RefData!CC94</f>
        <v>0</v>
      </c>
      <c r="H94" s="213">
        <f>RefData!CD94</f>
        <v>2873.2</v>
      </c>
      <c r="I94" s="213">
        <f>RefData!CE94</f>
        <v>2873.2</v>
      </c>
      <c r="J94" s="247">
        <f>RefData!CF94</f>
        <v>1.45</v>
      </c>
      <c r="K94" s="213"/>
      <c r="L94" s="213"/>
      <c r="M94" s="213"/>
      <c r="N94" s="247"/>
      <c r="S94" s="241">
        <f t="shared" si="4"/>
        <v>0</v>
      </c>
      <c r="T94" s="241">
        <f t="shared" si="5"/>
        <v>2873.2</v>
      </c>
      <c r="U94" s="241">
        <f t="shared" si="6"/>
        <v>2873.2</v>
      </c>
      <c r="V94" s="244">
        <f t="shared" si="7"/>
        <v>1.45</v>
      </c>
    </row>
    <row r="95" spans="1:22" ht="12.75">
      <c r="A95" s="24">
        <v>70</v>
      </c>
      <c r="B95" s="25" t="s">
        <v>253</v>
      </c>
      <c r="C95" s="25" t="s">
        <v>254</v>
      </c>
      <c r="D95" s="26" t="s">
        <v>216</v>
      </c>
      <c r="E95" s="26">
        <v>3</v>
      </c>
      <c r="F95" s="251" t="s">
        <v>243</v>
      </c>
      <c r="G95" s="213">
        <f>RefData!CC95</f>
        <v>0</v>
      </c>
      <c r="H95" s="213">
        <f>RefData!CD95</f>
        <v>2873.2</v>
      </c>
      <c r="I95" s="213">
        <f>RefData!CE95</f>
        <v>2873.2</v>
      </c>
      <c r="J95" s="247">
        <f>RefData!CF95</f>
        <v>1.45</v>
      </c>
      <c r="K95" s="213"/>
      <c r="L95" s="213"/>
      <c r="M95" s="213"/>
      <c r="N95" s="247"/>
      <c r="S95" s="241">
        <f t="shared" si="4"/>
        <v>0</v>
      </c>
      <c r="T95" s="241">
        <f t="shared" si="5"/>
        <v>2873.2</v>
      </c>
      <c r="U95" s="241">
        <f t="shared" si="6"/>
        <v>2873.2</v>
      </c>
      <c r="V95" s="244">
        <f t="shared" si="7"/>
        <v>1.45</v>
      </c>
    </row>
    <row r="96" spans="1:22" ht="12.75">
      <c r="A96" s="24">
        <v>79</v>
      </c>
      <c r="B96" s="25" t="s">
        <v>255</v>
      </c>
      <c r="C96" s="25" t="s">
        <v>256</v>
      </c>
      <c r="D96" s="26" t="s">
        <v>240</v>
      </c>
      <c r="E96" s="26">
        <v>3</v>
      </c>
      <c r="F96" s="251" t="s">
        <v>243</v>
      </c>
      <c r="G96" s="213">
        <f>RefData!CC96</f>
        <v>0</v>
      </c>
      <c r="H96" s="213">
        <f>RefData!CD96</f>
        <v>2873.2</v>
      </c>
      <c r="I96" s="213">
        <f>RefData!CE96</f>
        <v>2873.2</v>
      </c>
      <c r="J96" s="247">
        <f>RefData!CF96</f>
        <v>1.45</v>
      </c>
      <c r="K96" s="213"/>
      <c r="L96" s="213"/>
      <c r="M96" s="213"/>
      <c r="N96" s="247"/>
      <c r="S96" s="241">
        <f t="shared" si="4"/>
        <v>0</v>
      </c>
      <c r="T96" s="241">
        <f t="shared" si="5"/>
        <v>2873.2</v>
      </c>
      <c r="U96" s="241">
        <f t="shared" si="6"/>
        <v>2873.2</v>
      </c>
      <c r="V96" s="244">
        <f t="shared" si="7"/>
        <v>1.45</v>
      </c>
    </row>
    <row r="97" spans="1:22" ht="12.75">
      <c r="A97" s="24">
        <v>80</v>
      </c>
      <c r="B97" s="25" t="s">
        <v>257</v>
      </c>
      <c r="C97" s="25" t="s">
        <v>258</v>
      </c>
      <c r="D97" s="26" t="s">
        <v>240</v>
      </c>
      <c r="E97" s="26">
        <v>3</v>
      </c>
      <c r="F97" s="251" t="s">
        <v>243</v>
      </c>
      <c r="G97" s="213">
        <f>RefData!CC97</f>
        <v>0</v>
      </c>
      <c r="H97" s="213">
        <f>RefData!CD97</f>
        <v>0</v>
      </c>
      <c r="I97" s="213">
        <f>RefData!CE97</f>
        <v>0</v>
      </c>
      <c r="J97" s="247">
        <f>RefData!CF97</f>
        <v>0</v>
      </c>
      <c r="K97" s="213"/>
      <c r="L97" s="213"/>
      <c r="M97" s="213"/>
      <c r="N97" s="247"/>
      <c r="S97" s="241">
        <f t="shared" si="4"/>
        <v>0</v>
      </c>
      <c r="T97" s="241">
        <f t="shared" si="5"/>
        <v>0</v>
      </c>
      <c r="U97" s="241">
        <f t="shared" si="6"/>
        <v>0</v>
      </c>
      <c r="V97" s="244">
        <f t="shared" si="7"/>
        <v>0</v>
      </c>
    </row>
    <row r="98" spans="1:22" ht="12.75">
      <c r="A98" s="24">
        <v>81</v>
      </c>
      <c r="B98" s="25" t="s">
        <v>257</v>
      </c>
      <c r="C98" s="25" t="s">
        <v>259</v>
      </c>
      <c r="D98" s="26" t="s">
        <v>240</v>
      </c>
      <c r="E98" s="26">
        <v>3</v>
      </c>
      <c r="F98" s="251" t="s">
        <v>243</v>
      </c>
      <c r="G98" s="213">
        <f>RefData!CC98</f>
        <v>0</v>
      </c>
      <c r="H98" s="213">
        <f>RefData!CD98</f>
        <v>2873.2</v>
      </c>
      <c r="I98" s="213">
        <f>RefData!CE98</f>
        <v>2873.2</v>
      </c>
      <c r="J98" s="247">
        <f>RefData!CF98</f>
        <v>1.45</v>
      </c>
      <c r="K98" s="213"/>
      <c r="L98" s="213"/>
      <c r="M98" s="213"/>
      <c r="N98" s="247"/>
      <c r="S98" s="241">
        <f t="shared" si="4"/>
        <v>0</v>
      </c>
      <c r="T98" s="241">
        <f t="shared" si="5"/>
        <v>2873.2</v>
      </c>
      <c r="U98" s="241">
        <f t="shared" si="6"/>
        <v>2873.2</v>
      </c>
      <c r="V98" s="244">
        <f t="shared" si="7"/>
        <v>1.45</v>
      </c>
    </row>
    <row r="99" spans="1:22" ht="12.75">
      <c r="A99" s="24">
        <v>91</v>
      </c>
      <c r="B99" s="25" t="s">
        <v>260</v>
      </c>
      <c r="C99" s="25" t="s">
        <v>261</v>
      </c>
      <c r="D99" s="26" t="s">
        <v>262</v>
      </c>
      <c r="E99" s="26">
        <v>3</v>
      </c>
      <c r="F99" s="251" t="s">
        <v>263</v>
      </c>
      <c r="G99" s="213">
        <f>RefData!CC99</f>
        <v>0</v>
      </c>
      <c r="H99" s="213">
        <f>RefData!CD99</f>
        <v>2873.2</v>
      </c>
      <c r="I99" s="213">
        <f>RefData!CE99</f>
        <v>2873.2</v>
      </c>
      <c r="J99" s="247">
        <f>RefData!CF99</f>
        <v>1.45</v>
      </c>
      <c r="K99" s="213"/>
      <c r="L99" s="213"/>
      <c r="M99" s="213"/>
      <c r="N99" s="247"/>
      <c r="S99" s="241">
        <f t="shared" si="4"/>
        <v>0</v>
      </c>
      <c r="T99" s="241">
        <f t="shared" si="5"/>
        <v>2873.2</v>
      </c>
      <c r="U99" s="241">
        <f t="shared" si="6"/>
        <v>2873.2</v>
      </c>
      <c r="V99" s="244">
        <f t="shared" si="7"/>
        <v>1.45</v>
      </c>
    </row>
    <row r="100" spans="1:22" ht="12.75">
      <c r="A100" s="24">
        <v>92</v>
      </c>
      <c r="B100" s="46" t="s">
        <v>260</v>
      </c>
      <c r="C100" s="25" t="s">
        <v>264</v>
      </c>
      <c r="D100" s="26" t="s">
        <v>262</v>
      </c>
      <c r="E100" s="26">
        <v>3</v>
      </c>
      <c r="F100" s="251" t="s">
        <v>263</v>
      </c>
      <c r="G100" s="213">
        <f>RefData!CC100</f>
        <v>0</v>
      </c>
      <c r="H100" s="213">
        <f>RefData!CD100</f>
        <v>2873.2</v>
      </c>
      <c r="I100" s="213">
        <f>RefData!CE100</f>
        <v>2873.2</v>
      </c>
      <c r="J100" s="247">
        <f>RefData!CF100</f>
        <v>1.45</v>
      </c>
      <c r="K100" s="213"/>
      <c r="L100" s="213"/>
      <c r="M100" s="213"/>
      <c r="N100" s="247"/>
      <c r="S100" s="241">
        <f t="shared" si="4"/>
        <v>0</v>
      </c>
      <c r="T100" s="241">
        <f t="shared" si="5"/>
        <v>2873.2</v>
      </c>
      <c r="U100" s="241">
        <f t="shared" si="6"/>
        <v>2873.2</v>
      </c>
      <c r="V100" s="244">
        <f t="shared" si="7"/>
        <v>1.45</v>
      </c>
    </row>
    <row r="101" spans="1:22" ht="12.75">
      <c r="A101" s="24">
        <v>93</v>
      </c>
      <c r="B101" s="25" t="s">
        <v>265</v>
      </c>
      <c r="C101" s="25" t="s">
        <v>266</v>
      </c>
      <c r="D101" s="26" t="s">
        <v>262</v>
      </c>
      <c r="E101" s="26">
        <v>3</v>
      </c>
      <c r="F101" s="251" t="s">
        <v>263</v>
      </c>
      <c r="G101" s="213">
        <f>RefData!CC101</f>
        <v>0</v>
      </c>
      <c r="H101" s="213">
        <f>RefData!CD101</f>
        <v>5746.4</v>
      </c>
      <c r="I101" s="213">
        <f>RefData!CE101</f>
        <v>5746.4</v>
      </c>
      <c r="J101" s="247">
        <f>RefData!CF101</f>
        <v>2.9</v>
      </c>
      <c r="K101" s="213"/>
      <c r="L101" s="213"/>
      <c r="M101" s="213"/>
      <c r="N101" s="247"/>
      <c r="S101" s="241">
        <f t="shared" si="4"/>
        <v>0</v>
      </c>
      <c r="T101" s="241">
        <f t="shared" si="5"/>
        <v>5746.4</v>
      </c>
      <c r="U101" s="241">
        <f t="shared" si="6"/>
        <v>5746.4</v>
      </c>
      <c r="V101" s="244">
        <f t="shared" si="7"/>
        <v>2.9</v>
      </c>
    </row>
    <row r="102" spans="1:22" ht="12.75">
      <c r="A102" s="24">
        <v>35</v>
      </c>
      <c r="B102" s="25" t="s">
        <v>267</v>
      </c>
      <c r="C102" s="25" t="s">
        <v>268</v>
      </c>
      <c r="D102" s="26" t="s">
        <v>269</v>
      </c>
      <c r="E102" s="26">
        <v>4</v>
      </c>
      <c r="F102" s="251" t="s">
        <v>270</v>
      </c>
      <c r="G102" s="213">
        <f>RefData!CC102</f>
        <v>0</v>
      </c>
      <c r="H102" s="213">
        <f>RefData!CD102</f>
        <v>2873.2</v>
      </c>
      <c r="I102" s="213">
        <f>RefData!CE102</f>
        <v>2873.2</v>
      </c>
      <c r="J102" s="247">
        <f>RefData!CF102</f>
        <v>1.45</v>
      </c>
      <c r="K102" s="213"/>
      <c r="L102" s="213"/>
      <c r="M102" s="213"/>
      <c r="N102" s="247"/>
      <c r="S102" s="241">
        <f t="shared" si="4"/>
        <v>0</v>
      </c>
      <c r="T102" s="241">
        <f t="shared" si="5"/>
        <v>2873.2</v>
      </c>
      <c r="U102" s="241">
        <f t="shared" si="6"/>
        <v>2873.2</v>
      </c>
      <c r="V102" s="244">
        <f t="shared" si="7"/>
        <v>1.45</v>
      </c>
    </row>
    <row r="103" spans="1:22" ht="12.75">
      <c r="A103" s="24">
        <v>36</v>
      </c>
      <c r="B103" s="25" t="s">
        <v>271</v>
      </c>
      <c r="C103" s="25" t="s">
        <v>272</v>
      </c>
      <c r="D103" s="26" t="s">
        <v>269</v>
      </c>
      <c r="E103" s="26">
        <v>4</v>
      </c>
      <c r="F103" s="251" t="s">
        <v>270</v>
      </c>
      <c r="G103" s="213">
        <f>RefData!CC103</f>
        <v>0</v>
      </c>
      <c r="H103" s="213">
        <f>RefData!CD103</f>
        <v>2873.2</v>
      </c>
      <c r="I103" s="213">
        <f>RefData!CE103</f>
        <v>2873.2</v>
      </c>
      <c r="J103" s="247">
        <f>RefData!CF103</f>
        <v>1.45</v>
      </c>
      <c r="K103" s="213"/>
      <c r="L103" s="213"/>
      <c r="M103" s="213"/>
      <c r="N103" s="247"/>
      <c r="S103" s="241">
        <f t="shared" si="4"/>
        <v>0</v>
      </c>
      <c r="T103" s="241">
        <f t="shared" si="5"/>
        <v>2873.2</v>
      </c>
      <c r="U103" s="241">
        <f t="shared" si="6"/>
        <v>2873.2</v>
      </c>
      <c r="V103" s="244">
        <f t="shared" si="7"/>
        <v>1.45</v>
      </c>
    </row>
    <row r="104" spans="1:22" ht="12.75">
      <c r="A104" s="33">
        <v>82</v>
      </c>
      <c r="B104" s="34" t="s">
        <v>273</v>
      </c>
      <c r="C104" s="34" t="s">
        <v>274</v>
      </c>
      <c r="D104" s="35" t="s">
        <v>275</v>
      </c>
      <c r="E104" s="35">
        <v>4</v>
      </c>
      <c r="F104" s="252" t="s">
        <v>270</v>
      </c>
      <c r="G104" s="213">
        <f>RefData!CC104</f>
        <v>0</v>
      </c>
      <c r="H104" s="213">
        <f>RefData!CD104</f>
        <v>2873.2</v>
      </c>
      <c r="I104" s="213">
        <f>RefData!CE104</f>
        <v>2873.2</v>
      </c>
      <c r="J104" s="247">
        <f>RefData!CF104</f>
        <v>1.45</v>
      </c>
      <c r="K104" s="213"/>
      <c r="L104" s="213"/>
      <c r="M104" s="213"/>
      <c r="N104" s="247"/>
      <c r="S104" s="241">
        <f t="shared" si="4"/>
        <v>0</v>
      </c>
      <c r="T104" s="241">
        <f t="shared" si="5"/>
        <v>2873.2</v>
      </c>
      <c r="U104" s="241">
        <f t="shared" si="6"/>
        <v>2873.2</v>
      </c>
      <c r="V104" s="244">
        <f t="shared" si="7"/>
        <v>1.45</v>
      </c>
    </row>
    <row r="105" spans="1:22" ht="12.75">
      <c r="A105" s="33">
        <v>83</v>
      </c>
      <c r="B105" s="34" t="s">
        <v>160</v>
      </c>
      <c r="C105" s="34" t="s">
        <v>276</v>
      </c>
      <c r="D105" s="35" t="s">
        <v>275</v>
      </c>
      <c r="E105" s="35">
        <v>4</v>
      </c>
      <c r="F105" s="252" t="s">
        <v>270</v>
      </c>
      <c r="G105" s="213">
        <f>RefData!CC105</f>
        <v>0</v>
      </c>
      <c r="H105" s="213">
        <f>RefData!CD105</f>
        <v>2873.2</v>
      </c>
      <c r="I105" s="213">
        <f>RefData!CE105</f>
        <v>2873.2</v>
      </c>
      <c r="J105" s="247">
        <f>RefData!CF105</f>
        <v>1.45</v>
      </c>
      <c r="K105" s="213"/>
      <c r="L105" s="213"/>
      <c r="M105" s="213"/>
      <c r="N105" s="247"/>
      <c r="S105" s="241">
        <f t="shared" si="4"/>
        <v>0</v>
      </c>
      <c r="T105" s="241">
        <f t="shared" si="5"/>
        <v>2873.2</v>
      </c>
      <c r="U105" s="241">
        <f t="shared" si="6"/>
        <v>2873.2</v>
      </c>
      <c r="V105" s="244">
        <f t="shared" si="7"/>
        <v>1.45</v>
      </c>
    </row>
    <row r="106" spans="1:22" ht="12.75">
      <c r="A106" s="33">
        <v>84</v>
      </c>
      <c r="B106" s="34" t="s">
        <v>221</v>
      </c>
      <c r="C106" s="34" t="s">
        <v>276</v>
      </c>
      <c r="D106" s="35" t="s">
        <v>275</v>
      </c>
      <c r="E106" s="35">
        <v>4</v>
      </c>
      <c r="F106" s="252" t="s">
        <v>270</v>
      </c>
      <c r="G106" s="213">
        <f>RefData!CC106</f>
        <v>0</v>
      </c>
      <c r="H106" s="213">
        <f>RefData!CD106</f>
        <v>2873.2</v>
      </c>
      <c r="I106" s="213">
        <f>RefData!CE106</f>
        <v>2873.2</v>
      </c>
      <c r="J106" s="247">
        <f>RefData!CF106</f>
        <v>1.45</v>
      </c>
      <c r="K106" s="213"/>
      <c r="L106" s="213"/>
      <c r="M106" s="213"/>
      <c r="N106" s="247"/>
      <c r="S106" s="241">
        <f t="shared" si="4"/>
        <v>0</v>
      </c>
      <c r="T106" s="241">
        <f t="shared" si="5"/>
        <v>2873.2</v>
      </c>
      <c r="U106" s="241">
        <f t="shared" si="6"/>
        <v>2873.2</v>
      </c>
      <c r="V106" s="244">
        <f t="shared" si="7"/>
        <v>1.45</v>
      </c>
    </row>
    <row r="107" spans="1:22" ht="12.75">
      <c r="A107" s="33">
        <v>85</v>
      </c>
      <c r="B107" s="34" t="s">
        <v>277</v>
      </c>
      <c r="C107" s="34" t="s">
        <v>278</v>
      </c>
      <c r="D107" s="35" t="s">
        <v>275</v>
      </c>
      <c r="E107" s="35">
        <v>4</v>
      </c>
      <c r="F107" s="252" t="s">
        <v>270</v>
      </c>
      <c r="G107" s="213">
        <f>RefData!CC107</f>
        <v>0</v>
      </c>
      <c r="H107" s="213">
        <f>RefData!CD107</f>
        <v>2873.2</v>
      </c>
      <c r="I107" s="213">
        <f>RefData!CE107</f>
        <v>2873.2</v>
      </c>
      <c r="J107" s="247">
        <f>RefData!CF107</f>
        <v>1.45</v>
      </c>
      <c r="K107" s="213"/>
      <c r="L107" s="213"/>
      <c r="M107" s="213"/>
      <c r="N107" s="247"/>
      <c r="S107" s="241">
        <f t="shared" si="4"/>
        <v>0</v>
      </c>
      <c r="T107" s="241">
        <f t="shared" si="5"/>
        <v>2873.2</v>
      </c>
      <c r="U107" s="241">
        <f t="shared" si="6"/>
        <v>2873.2</v>
      </c>
      <c r="V107" s="244">
        <f t="shared" si="7"/>
        <v>1.45</v>
      </c>
    </row>
    <row r="108" spans="1:22" ht="12.75">
      <c r="A108" s="24">
        <v>135</v>
      </c>
      <c r="B108" s="25" t="s">
        <v>279</v>
      </c>
      <c r="C108" s="25" t="s">
        <v>280</v>
      </c>
      <c r="D108" s="26" t="s">
        <v>281</v>
      </c>
      <c r="E108" s="26">
        <v>4</v>
      </c>
      <c r="F108" s="252" t="s">
        <v>270</v>
      </c>
      <c r="G108" s="213">
        <f>RefData!CC108</f>
        <v>0</v>
      </c>
      <c r="H108" s="213">
        <f>RefData!CD108</f>
        <v>2873.2</v>
      </c>
      <c r="I108" s="213">
        <f>RefData!CE108</f>
        <v>2873.2</v>
      </c>
      <c r="J108" s="247">
        <f>RefData!CF108</f>
        <v>1.45</v>
      </c>
      <c r="K108" s="213"/>
      <c r="L108" s="213"/>
      <c r="M108" s="213"/>
      <c r="N108" s="247"/>
      <c r="S108" s="241">
        <f t="shared" si="4"/>
        <v>0</v>
      </c>
      <c r="T108" s="241">
        <f t="shared" si="5"/>
        <v>2873.2</v>
      </c>
      <c r="U108" s="241">
        <f t="shared" si="6"/>
        <v>2873.2</v>
      </c>
      <c r="V108" s="244">
        <f t="shared" si="7"/>
        <v>1.45</v>
      </c>
    </row>
    <row r="109" spans="1:22" ht="12.75">
      <c r="A109" s="33">
        <v>136</v>
      </c>
      <c r="B109" s="34" t="s">
        <v>84</v>
      </c>
      <c r="C109" s="34" t="s">
        <v>280</v>
      </c>
      <c r="D109" s="35" t="s">
        <v>281</v>
      </c>
      <c r="E109" s="35">
        <v>4</v>
      </c>
      <c r="F109" s="252" t="s">
        <v>270</v>
      </c>
      <c r="G109" s="213">
        <f>RefData!CC109</f>
        <v>0</v>
      </c>
      <c r="H109" s="213">
        <f>RefData!CD109</f>
        <v>2873.2</v>
      </c>
      <c r="I109" s="213">
        <f>RefData!CE109</f>
        <v>2873.2</v>
      </c>
      <c r="J109" s="247">
        <f>RefData!CF109</f>
        <v>1.45</v>
      </c>
      <c r="K109" s="213"/>
      <c r="L109" s="213"/>
      <c r="M109" s="213"/>
      <c r="N109" s="247"/>
      <c r="S109" s="241">
        <f t="shared" si="4"/>
        <v>0</v>
      </c>
      <c r="T109" s="241">
        <f t="shared" si="5"/>
        <v>2873.2</v>
      </c>
      <c r="U109" s="241">
        <f t="shared" si="6"/>
        <v>2873.2</v>
      </c>
      <c r="V109" s="244">
        <f t="shared" si="7"/>
        <v>1.45</v>
      </c>
    </row>
    <row r="110" spans="1:22" ht="12.75">
      <c r="A110" s="33">
        <v>137</v>
      </c>
      <c r="B110" s="34" t="s">
        <v>282</v>
      </c>
      <c r="C110" s="34" t="s">
        <v>283</v>
      </c>
      <c r="D110" s="35" t="s">
        <v>281</v>
      </c>
      <c r="E110" s="35">
        <v>4</v>
      </c>
      <c r="F110" s="252" t="s">
        <v>270</v>
      </c>
      <c r="G110" s="213">
        <f>RefData!CC110</f>
        <v>0</v>
      </c>
      <c r="H110" s="213">
        <f>RefData!CD110</f>
        <v>2873.2</v>
      </c>
      <c r="I110" s="213">
        <f>RefData!CE110</f>
        <v>2873.2</v>
      </c>
      <c r="J110" s="247">
        <f>RefData!CF110</f>
        <v>1.45</v>
      </c>
      <c r="K110" s="213"/>
      <c r="L110" s="213"/>
      <c r="M110" s="213"/>
      <c r="N110" s="247"/>
      <c r="S110" s="241">
        <f t="shared" si="4"/>
        <v>0</v>
      </c>
      <c r="T110" s="241">
        <f t="shared" si="5"/>
        <v>2873.2</v>
      </c>
      <c r="U110" s="241">
        <f t="shared" si="6"/>
        <v>2873.2</v>
      </c>
      <c r="V110" s="244">
        <f t="shared" si="7"/>
        <v>1.45</v>
      </c>
    </row>
    <row r="111" spans="1:22" ht="12.75">
      <c r="A111" s="33">
        <v>138</v>
      </c>
      <c r="B111" s="34" t="s">
        <v>284</v>
      </c>
      <c r="C111" s="34" t="s">
        <v>280</v>
      </c>
      <c r="D111" s="35" t="s">
        <v>281</v>
      </c>
      <c r="E111" s="35">
        <v>4</v>
      </c>
      <c r="F111" s="252" t="s">
        <v>270</v>
      </c>
      <c r="G111" s="213">
        <f>RefData!CC111</f>
        <v>0</v>
      </c>
      <c r="H111" s="213">
        <f>RefData!CD111</f>
        <v>2873.2</v>
      </c>
      <c r="I111" s="213">
        <f>RefData!CE111</f>
        <v>2873.2</v>
      </c>
      <c r="J111" s="247">
        <f>RefData!CF111</f>
        <v>1.45</v>
      </c>
      <c r="K111" s="213"/>
      <c r="L111" s="213"/>
      <c r="M111" s="213"/>
      <c r="N111" s="247"/>
      <c r="S111" s="241">
        <f t="shared" si="4"/>
        <v>0</v>
      </c>
      <c r="T111" s="241">
        <f t="shared" si="5"/>
        <v>2873.2</v>
      </c>
      <c r="U111" s="241">
        <f t="shared" si="6"/>
        <v>2873.2</v>
      </c>
      <c r="V111" s="244">
        <f t="shared" si="7"/>
        <v>1.45</v>
      </c>
    </row>
    <row r="112" spans="1:22" ht="12.75">
      <c r="A112" s="33">
        <v>139</v>
      </c>
      <c r="B112" s="34" t="s">
        <v>285</v>
      </c>
      <c r="C112" s="34" t="s">
        <v>283</v>
      </c>
      <c r="D112" s="35" t="s">
        <v>281</v>
      </c>
      <c r="E112" s="35">
        <v>4</v>
      </c>
      <c r="F112" s="252" t="s">
        <v>270</v>
      </c>
      <c r="G112" s="213">
        <f>RefData!CC112</f>
        <v>0</v>
      </c>
      <c r="H112" s="213">
        <f>RefData!CD112</f>
        <v>2873.2</v>
      </c>
      <c r="I112" s="213">
        <f>RefData!CE112</f>
        <v>2873.2</v>
      </c>
      <c r="J112" s="247">
        <f>RefData!CF112</f>
        <v>1.45</v>
      </c>
      <c r="K112" s="213"/>
      <c r="L112" s="213"/>
      <c r="M112" s="213"/>
      <c r="N112" s="247"/>
      <c r="S112" s="241">
        <f t="shared" si="4"/>
        <v>0</v>
      </c>
      <c r="T112" s="241">
        <f t="shared" si="5"/>
        <v>2873.2</v>
      </c>
      <c r="U112" s="241">
        <f t="shared" si="6"/>
        <v>2873.2</v>
      </c>
      <c r="V112" s="244">
        <f t="shared" si="7"/>
        <v>1.45</v>
      </c>
    </row>
    <row r="113" spans="1:22" ht="12.75">
      <c r="A113" s="33">
        <v>149</v>
      </c>
      <c r="B113" s="34" t="s">
        <v>286</v>
      </c>
      <c r="C113" s="34" t="s">
        <v>287</v>
      </c>
      <c r="D113" s="35" t="s">
        <v>288</v>
      </c>
      <c r="E113" s="35">
        <v>4</v>
      </c>
      <c r="F113" s="252" t="s">
        <v>270</v>
      </c>
      <c r="G113" s="213">
        <f>RefData!CC113</f>
        <v>0</v>
      </c>
      <c r="H113" s="213">
        <f>RefData!CD113</f>
        <v>2873.2</v>
      </c>
      <c r="I113" s="213">
        <f>RefData!CE113</f>
        <v>2873.2</v>
      </c>
      <c r="J113" s="247">
        <f>RefData!CF113</f>
        <v>1.45</v>
      </c>
      <c r="K113" s="213"/>
      <c r="L113" s="213"/>
      <c r="M113" s="213"/>
      <c r="N113" s="247"/>
      <c r="S113" s="241">
        <f t="shared" si="4"/>
        <v>0</v>
      </c>
      <c r="T113" s="241">
        <f t="shared" si="5"/>
        <v>2873.2</v>
      </c>
      <c r="U113" s="241">
        <f t="shared" si="6"/>
        <v>2873.2</v>
      </c>
      <c r="V113" s="244">
        <f t="shared" si="7"/>
        <v>1.45</v>
      </c>
    </row>
    <row r="114" spans="1:22" ht="12.75">
      <c r="A114" s="33">
        <v>150</v>
      </c>
      <c r="B114" s="34" t="s">
        <v>289</v>
      </c>
      <c r="C114" s="34" t="s">
        <v>290</v>
      </c>
      <c r="D114" s="35" t="s">
        <v>288</v>
      </c>
      <c r="E114" s="35">
        <v>4</v>
      </c>
      <c r="F114" s="252" t="s">
        <v>270</v>
      </c>
      <c r="G114" s="213">
        <f>RefData!CC114</f>
        <v>0</v>
      </c>
      <c r="H114" s="213">
        <f>RefData!CD114</f>
        <v>2873.2</v>
      </c>
      <c r="I114" s="213">
        <f>RefData!CE114</f>
        <v>2873.2</v>
      </c>
      <c r="J114" s="247">
        <f>RefData!CF114</f>
        <v>1.45</v>
      </c>
      <c r="K114" s="213"/>
      <c r="L114" s="213"/>
      <c r="M114" s="213"/>
      <c r="N114" s="247"/>
      <c r="S114" s="241">
        <f t="shared" si="4"/>
        <v>0</v>
      </c>
      <c r="T114" s="241">
        <f t="shared" si="5"/>
        <v>2873.2</v>
      </c>
      <c r="U114" s="241">
        <f t="shared" si="6"/>
        <v>2873.2</v>
      </c>
      <c r="V114" s="244">
        <f t="shared" si="7"/>
        <v>1.45</v>
      </c>
    </row>
    <row r="115" spans="1:22" ht="12.75">
      <c r="A115" s="33">
        <v>150.5</v>
      </c>
      <c r="B115" s="34" t="s">
        <v>291</v>
      </c>
      <c r="C115" s="34" t="s">
        <v>292</v>
      </c>
      <c r="D115" s="35" t="s">
        <v>288</v>
      </c>
      <c r="E115" s="35">
        <v>4</v>
      </c>
      <c r="F115" s="252" t="s">
        <v>270</v>
      </c>
      <c r="G115" s="213">
        <f>RefData!CC115</f>
        <v>0</v>
      </c>
      <c r="H115" s="213">
        <f>RefData!CD115</f>
        <v>2873.2</v>
      </c>
      <c r="I115" s="213">
        <f>RefData!CE115</f>
        <v>2873.2</v>
      </c>
      <c r="J115" s="247">
        <f>RefData!CF115</f>
        <v>1.45</v>
      </c>
      <c r="K115" s="213"/>
      <c r="L115" s="213"/>
      <c r="M115" s="213"/>
      <c r="N115" s="247"/>
      <c r="S115" s="241">
        <f t="shared" si="4"/>
        <v>0</v>
      </c>
      <c r="T115" s="241">
        <f t="shared" si="5"/>
        <v>2873.2</v>
      </c>
      <c r="U115" s="241">
        <f t="shared" si="6"/>
        <v>2873.2</v>
      </c>
      <c r="V115" s="244">
        <f t="shared" si="7"/>
        <v>1.45</v>
      </c>
    </row>
    <row r="116" spans="1:22" ht="12.75">
      <c r="A116" s="33">
        <v>151</v>
      </c>
      <c r="B116" s="34" t="s">
        <v>165</v>
      </c>
      <c r="C116" s="34" t="s">
        <v>293</v>
      </c>
      <c r="D116" s="35" t="s">
        <v>288</v>
      </c>
      <c r="E116" s="35">
        <v>4</v>
      </c>
      <c r="F116" s="252" t="s">
        <v>270</v>
      </c>
      <c r="G116" s="213">
        <f>RefData!CC116</f>
        <v>0</v>
      </c>
      <c r="H116" s="213">
        <f>RefData!CD116</f>
        <v>2873.2</v>
      </c>
      <c r="I116" s="213">
        <f>RefData!CE116</f>
        <v>2873.2</v>
      </c>
      <c r="J116" s="247">
        <f>RefData!CF116</f>
        <v>1.45</v>
      </c>
      <c r="K116" s="213"/>
      <c r="L116" s="213"/>
      <c r="M116" s="213"/>
      <c r="N116" s="247"/>
      <c r="S116" s="241">
        <f t="shared" si="4"/>
        <v>0</v>
      </c>
      <c r="T116" s="241">
        <f t="shared" si="5"/>
        <v>2873.2</v>
      </c>
      <c r="U116" s="241">
        <f t="shared" si="6"/>
        <v>2873.2</v>
      </c>
      <c r="V116" s="244">
        <f t="shared" si="7"/>
        <v>1.45</v>
      </c>
    </row>
    <row r="117" spans="1:22" ht="12.75">
      <c r="A117" s="33">
        <v>152</v>
      </c>
      <c r="B117" s="47" t="s">
        <v>294</v>
      </c>
      <c r="C117" s="34" t="s">
        <v>295</v>
      </c>
      <c r="D117" s="35" t="s">
        <v>288</v>
      </c>
      <c r="E117" s="35">
        <v>4</v>
      </c>
      <c r="F117" s="252" t="s">
        <v>270</v>
      </c>
      <c r="G117" s="213">
        <f>RefData!CC117</f>
        <v>0</v>
      </c>
      <c r="H117" s="213">
        <f>RefData!CD117</f>
        <v>2873.2</v>
      </c>
      <c r="I117" s="213">
        <f>RefData!CE117</f>
        <v>2873.2</v>
      </c>
      <c r="J117" s="247">
        <f>RefData!CF117</f>
        <v>1.45</v>
      </c>
      <c r="K117" s="213"/>
      <c r="L117" s="213"/>
      <c r="M117" s="213"/>
      <c r="N117" s="247"/>
      <c r="S117" s="241">
        <f t="shared" si="4"/>
        <v>0</v>
      </c>
      <c r="T117" s="241">
        <f t="shared" si="5"/>
        <v>2873.2</v>
      </c>
      <c r="U117" s="241">
        <f t="shared" si="6"/>
        <v>2873.2</v>
      </c>
      <c r="V117" s="244">
        <f t="shared" si="7"/>
        <v>1.45</v>
      </c>
    </row>
    <row r="118" spans="1:22" ht="12.75">
      <c r="A118" s="24">
        <v>4</v>
      </c>
      <c r="B118" s="25" t="s">
        <v>296</v>
      </c>
      <c r="C118" s="25" t="s">
        <v>297</v>
      </c>
      <c r="D118" s="26" t="s">
        <v>298</v>
      </c>
      <c r="E118" s="26">
        <v>5</v>
      </c>
      <c r="F118" s="251" t="s">
        <v>299</v>
      </c>
      <c r="G118" s="213">
        <f>RefData!CC118</f>
        <v>0</v>
      </c>
      <c r="H118" s="213">
        <f>RefData!CD118</f>
        <v>2873.2</v>
      </c>
      <c r="I118" s="213">
        <f>RefData!CE118</f>
        <v>2873.2</v>
      </c>
      <c r="J118" s="247">
        <f>RefData!CF118</f>
        <v>1.45</v>
      </c>
      <c r="K118" s="213"/>
      <c r="L118" s="213"/>
      <c r="M118" s="213"/>
      <c r="N118" s="247"/>
      <c r="S118" s="241">
        <f t="shared" si="4"/>
        <v>0</v>
      </c>
      <c r="T118" s="241">
        <f t="shared" si="5"/>
        <v>2873.2</v>
      </c>
      <c r="U118" s="241">
        <f t="shared" si="6"/>
        <v>2873.2</v>
      </c>
      <c r="V118" s="244">
        <f t="shared" si="7"/>
        <v>1.45</v>
      </c>
    </row>
    <row r="119" spans="1:22" ht="12.75">
      <c r="A119" s="24">
        <v>5</v>
      </c>
      <c r="B119" s="25" t="s">
        <v>300</v>
      </c>
      <c r="C119" s="25" t="s">
        <v>301</v>
      </c>
      <c r="D119" s="26" t="s">
        <v>298</v>
      </c>
      <c r="E119" s="26">
        <v>5</v>
      </c>
      <c r="F119" s="251" t="s">
        <v>299</v>
      </c>
      <c r="G119" s="213">
        <f>RefData!CC119</f>
        <v>0</v>
      </c>
      <c r="H119" s="213">
        <f>RefData!CD119</f>
        <v>2873.2</v>
      </c>
      <c r="I119" s="213">
        <f>RefData!CE119</f>
        <v>2873.2</v>
      </c>
      <c r="J119" s="247">
        <f>RefData!CF119</f>
        <v>1.45</v>
      </c>
      <c r="K119" s="213"/>
      <c r="L119" s="213"/>
      <c r="M119" s="213"/>
      <c r="N119" s="247"/>
      <c r="S119" s="241">
        <f t="shared" si="4"/>
        <v>0</v>
      </c>
      <c r="T119" s="241">
        <f t="shared" si="5"/>
        <v>2873.2</v>
      </c>
      <c r="U119" s="241">
        <f t="shared" si="6"/>
        <v>2873.2</v>
      </c>
      <c r="V119" s="244">
        <f t="shared" si="7"/>
        <v>1.45</v>
      </c>
    </row>
    <row r="120" spans="1:22" ht="12.75">
      <c r="A120" s="24">
        <v>6</v>
      </c>
      <c r="B120" s="25" t="s">
        <v>302</v>
      </c>
      <c r="C120" s="25" t="s">
        <v>303</v>
      </c>
      <c r="D120" s="26" t="s">
        <v>298</v>
      </c>
      <c r="E120" s="26">
        <v>5</v>
      </c>
      <c r="F120" s="251" t="s">
        <v>299</v>
      </c>
      <c r="G120" s="213">
        <f>RefData!CC120</f>
        <v>0</v>
      </c>
      <c r="H120" s="213">
        <f>RefData!CD120</f>
        <v>2873.2</v>
      </c>
      <c r="I120" s="213">
        <f>RefData!CE120</f>
        <v>2873.2</v>
      </c>
      <c r="J120" s="247">
        <f>RefData!CF120</f>
        <v>1.45</v>
      </c>
      <c r="K120" s="213"/>
      <c r="L120" s="213"/>
      <c r="M120" s="213"/>
      <c r="N120" s="247"/>
      <c r="S120" s="241">
        <f t="shared" si="4"/>
        <v>0</v>
      </c>
      <c r="T120" s="241">
        <f t="shared" si="5"/>
        <v>2873.2</v>
      </c>
      <c r="U120" s="241">
        <f t="shared" si="6"/>
        <v>2873.2</v>
      </c>
      <c r="V120" s="244">
        <f t="shared" si="7"/>
        <v>1.45</v>
      </c>
    </row>
    <row r="121" spans="1:22" ht="12.75">
      <c r="A121" s="24">
        <v>7</v>
      </c>
      <c r="B121" s="46" t="s">
        <v>302</v>
      </c>
      <c r="C121" s="25" t="s">
        <v>304</v>
      </c>
      <c r="D121" s="26" t="s">
        <v>298</v>
      </c>
      <c r="E121" s="26">
        <v>5</v>
      </c>
      <c r="F121" s="251" t="s">
        <v>299</v>
      </c>
      <c r="G121" s="213">
        <f>RefData!CC121</f>
        <v>0</v>
      </c>
      <c r="H121" s="213">
        <f>RefData!CD121</f>
        <v>2873.2</v>
      </c>
      <c r="I121" s="213">
        <f>RefData!CE121</f>
        <v>2873.2</v>
      </c>
      <c r="J121" s="247">
        <f>RefData!CF121</f>
        <v>1.45</v>
      </c>
      <c r="K121" s="213"/>
      <c r="L121" s="213"/>
      <c r="M121" s="213"/>
      <c r="N121" s="247"/>
      <c r="S121" s="241">
        <f t="shared" si="4"/>
        <v>0</v>
      </c>
      <c r="T121" s="241">
        <f t="shared" si="5"/>
        <v>2873.2</v>
      </c>
      <c r="U121" s="241">
        <f t="shared" si="6"/>
        <v>2873.2</v>
      </c>
      <c r="V121" s="244">
        <f t="shared" si="7"/>
        <v>1.45</v>
      </c>
    </row>
    <row r="122" spans="1:22" ht="12.75">
      <c r="A122" s="24">
        <v>8</v>
      </c>
      <c r="B122" s="25" t="s">
        <v>305</v>
      </c>
      <c r="C122" s="25" t="s">
        <v>306</v>
      </c>
      <c r="D122" s="26" t="s">
        <v>298</v>
      </c>
      <c r="E122" s="26">
        <v>5</v>
      </c>
      <c r="F122" s="251" t="s">
        <v>299</v>
      </c>
      <c r="G122" s="213">
        <f>RefData!CC122</f>
        <v>0</v>
      </c>
      <c r="H122" s="213">
        <f>RefData!CD122</f>
        <v>2873.2</v>
      </c>
      <c r="I122" s="213">
        <f>RefData!CE122</f>
        <v>2873.2</v>
      </c>
      <c r="J122" s="247">
        <f>RefData!CF122</f>
        <v>1.45</v>
      </c>
      <c r="K122" s="213"/>
      <c r="L122" s="213"/>
      <c r="M122" s="213"/>
      <c r="N122" s="247"/>
      <c r="S122" s="241">
        <f t="shared" si="4"/>
        <v>0</v>
      </c>
      <c r="T122" s="241">
        <f t="shared" si="5"/>
        <v>2873.2</v>
      </c>
      <c r="U122" s="241">
        <f t="shared" si="6"/>
        <v>2873.2</v>
      </c>
      <c r="V122" s="244">
        <f t="shared" si="7"/>
        <v>1.45</v>
      </c>
    </row>
    <row r="123" spans="1:22" ht="12.75">
      <c r="A123" s="24">
        <v>9</v>
      </c>
      <c r="B123" s="25" t="s">
        <v>307</v>
      </c>
      <c r="C123" s="25" t="s">
        <v>303</v>
      </c>
      <c r="D123" s="26" t="s">
        <v>298</v>
      </c>
      <c r="E123" s="26">
        <v>5</v>
      </c>
      <c r="F123" s="251" t="s">
        <v>299</v>
      </c>
      <c r="G123" s="213">
        <f>RefData!CC123</f>
        <v>0</v>
      </c>
      <c r="H123" s="213">
        <f>RefData!CD123</f>
        <v>8619.599999999999</v>
      </c>
      <c r="I123" s="213">
        <f>RefData!CE123</f>
        <v>8619.599999999999</v>
      </c>
      <c r="J123" s="247">
        <f>RefData!CF123</f>
        <v>4.35</v>
      </c>
      <c r="K123" s="213"/>
      <c r="L123" s="213"/>
      <c r="M123" s="213"/>
      <c r="N123" s="247"/>
      <c r="S123" s="241">
        <f t="shared" si="4"/>
        <v>0</v>
      </c>
      <c r="T123" s="241">
        <f t="shared" si="5"/>
        <v>8619.599999999999</v>
      </c>
      <c r="U123" s="241">
        <f t="shared" si="6"/>
        <v>8619.599999999999</v>
      </c>
      <c r="V123" s="244">
        <f t="shared" si="7"/>
        <v>4.35</v>
      </c>
    </row>
    <row r="124" spans="1:22" ht="12.75">
      <c r="A124" s="24">
        <v>14</v>
      </c>
      <c r="B124" s="25" t="s">
        <v>308</v>
      </c>
      <c r="C124" s="25" t="s">
        <v>309</v>
      </c>
      <c r="D124" s="26" t="s">
        <v>310</v>
      </c>
      <c r="E124" s="26">
        <v>5</v>
      </c>
      <c r="F124" s="251" t="s">
        <v>299</v>
      </c>
      <c r="G124" s="213">
        <f>RefData!CC124</f>
        <v>0</v>
      </c>
      <c r="H124" s="213">
        <f>RefData!CD124</f>
        <v>8619.599999999999</v>
      </c>
      <c r="I124" s="213">
        <f>RefData!CE124</f>
        <v>8619.599999999999</v>
      </c>
      <c r="J124" s="247">
        <f>RefData!CF124</f>
        <v>4.35</v>
      </c>
      <c r="K124" s="213"/>
      <c r="L124" s="213"/>
      <c r="M124" s="213"/>
      <c r="N124" s="247"/>
      <c r="S124" s="241">
        <f t="shared" si="4"/>
        <v>0</v>
      </c>
      <c r="T124" s="241">
        <f t="shared" si="5"/>
        <v>8619.599999999999</v>
      </c>
      <c r="U124" s="241">
        <f t="shared" si="6"/>
        <v>8619.599999999999</v>
      </c>
      <c r="V124" s="244">
        <f t="shared" si="7"/>
        <v>4.35</v>
      </c>
    </row>
    <row r="125" spans="1:22" ht="12.75">
      <c r="A125" s="24">
        <v>15</v>
      </c>
      <c r="B125" s="25" t="s">
        <v>238</v>
      </c>
      <c r="C125" s="25" t="s">
        <v>311</v>
      </c>
      <c r="D125" s="26" t="s">
        <v>310</v>
      </c>
      <c r="E125" s="26">
        <v>5</v>
      </c>
      <c r="F125" s="251" t="s">
        <v>299</v>
      </c>
      <c r="G125" s="213">
        <f>RefData!CC125</f>
        <v>0</v>
      </c>
      <c r="H125" s="213">
        <f>RefData!CD125</f>
        <v>8619.599999999999</v>
      </c>
      <c r="I125" s="213">
        <f>RefData!CE125</f>
        <v>8619.599999999999</v>
      </c>
      <c r="J125" s="247">
        <f>RefData!CF125</f>
        <v>4.35</v>
      </c>
      <c r="K125" s="213"/>
      <c r="L125" s="213"/>
      <c r="M125" s="213"/>
      <c r="N125" s="247"/>
      <c r="S125" s="241">
        <f t="shared" si="4"/>
        <v>0</v>
      </c>
      <c r="T125" s="241">
        <f t="shared" si="5"/>
        <v>8619.599999999999</v>
      </c>
      <c r="U125" s="241">
        <f t="shared" si="6"/>
        <v>8619.599999999999</v>
      </c>
      <c r="V125" s="244">
        <f t="shared" si="7"/>
        <v>4.35</v>
      </c>
    </row>
    <row r="126" spans="1:22" ht="12.75">
      <c r="A126" s="24">
        <v>16</v>
      </c>
      <c r="B126" s="25" t="s">
        <v>238</v>
      </c>
      <c r="C126" s="25" t="s">
        <v>312</v>
      </c>
      <c r="D126" s="26" t="s">
        <v>310</v>
      </c>
      <c r="E126" s="26">
        <v>5</v>
      </c>
      <c r="F126" s="251" t="s">
        <v>299</v>
      </c>
      <c r="G126" s="213">
        <f>RefData!CC126</f>
        <v>0</v>
      </c>
      <c r="H126" s="213">
        <f>RefData!CD126</f>
        <v>8619.599999999999</v>
      </c>
      <c r="I126" s="213">
        <f>RefData!CE126</f>
        <v>8619.599999999999</v>
      </c>
      <c r="J126" s="247">
        <f>RefData!CF126</f>
        <v>4.35</v>
      </c>
      <c r="K126" s="213"/>
      <c r="L126" s="213"/>
      <c r="M126" s="213"/>
      <c r="N126" s="247"/>
      <c r="S126" s="241">
        <f t="shared" si="4"/>
        <v>0</v>
      </c>
      <c r="T126" s="241">
        <f t="shared" si="5"/>
        <v>8619.599999999999</v>
      </c>
      <c r="U126" s="241">
        <f t="shared" si="6"/>
        <v>8619.599999999999</v>
      </c>
      <c r="V126" s="244">
        <f t="shared" si="7"/>
        <v>4.35</v>
      </c>
    </row>
    <row r="127" spans="1:22" ht="12.75">
      <c r="A127" s="24">
        <v>17</v>
      </c>
      <c r="B127" s="46" t="s">
        <v>313</v>
      </c>
      <c r="C127" s="25" t="s">
        <v>314</v>
      </c>
      <c r="D127" s="26" t="s">
        <v>310</v>
      </c>
      <c r="E127" s="26">
        <v>5</v>
      </c>
      <c r="F127" s="251" t="s">
        <v>299</v>
      </c>
      <c r="G127" s="213">
        <f>RefData!CC127</f>
        <v>0</v>
      </c>
      <c r="H127" s="213">
        <f>RefData!CD127</f>
        <v>2873.2</v>
      </c>
      <c r="I127" s="213">
        <f>RefData!CE127</f>
        <v>2873.2</v>
      </c>
      <c r="J127" s="247">
        <f>RefData!CF127</f>
        <v>1.45</v>
      </c>
      <c r="K127" s="213"/>
      <c r="L127" s="213"/>
      <c r="M127" s="213"/>
      <c r="N127" s="247"/>
      <c r="S127" s="241">
        <f t="shared" si="4"/>
        <v>0</v>
      </c>
      <c r="T127" s="241">
        <f t="shared" si="5"/>
        <v>2873.2</v>
      </c>
      <c r="U127" s="241">
        <f t="shared" si="6"/>
        <v>2873.2</v>
      </c>
      <c r="V127" s="244">
        <f t="shared" si="7"/>
        <v>1.45</v>
      </c>
    </row>
    <row r="128" spans="1:22" ht="12.75">
      <c r="A128" s="24">
        <v>18</v>
      </c>
      <c r="B128" s="25" t="s">
        <v>315</v>
      </c>
      <c r="C128" s="25" t="s">
        <v>316</v>
      </c>
      <c r="D128" s="26" t="s">
        <v>310</v>
      </c>
      <c r="E128" s="26">
        <v>5</v>
      </c>
      <c r="F128" s="251" t="s">
        <v>299</v>
      </c>
      <c r="G128" s="213">
        <f>RefData!CC128</f>
        <v>0</v>
      </c>
      <c r="H128" s="213">
        <f>RefData!CD128</f>
        <v>5746.4</v>
      </c>
      <c r="I128" s="213">
        <f>RefData!CE128</f>
        <v>5746.4</v>
      </c>
      <c r="J128" s="247">
        <f>RefData!CF128</f>
        <v>2.9</v>
      </c>
      <c r="K128" s="213"/>
      <c r="L128" s="213"/>
      <c r="M128" s="213"/>
      <c r="N128" s="247"/>
      <c r="S128" s="241">
        <f t="shared" si="4"/>
        <v>0</v>
      </c>
      <c r="T128" s="241">
        <f t="shared" si="5"/>
        <v>5746.4</v>
      </c>
      <c r="U128" s="241">
        <f t="shared" si="6"/>
        <v>5746.4</v>
      </c>
      <c r="V128" s="244">
        <f t="shared" si="7"/>
        <v>2.9</v>
      </c>
    </row>
    <row r="129" spans="1:22" ht="12.75">
      <c r="A129" s="24">
        <v>19</v>
      </c>
      <c r="B129" s="46" t="s">
        <v>317</v>
      </c>
      <c r="C129" s="25" t="s">
        <v>318</v>
      </c>
      <c r="D129" s="26" t="s">
        <v>310</v>
      </c>
      <c r="E129" s="26">
        <v>5</v>
      </c>
      <c r="F129" s="251" t="s">
        <v>299</v>
      </c>
      <c r="G129" s="213">
        <f>RefData!CC129</f>
        <v>0</v>
      </c>
      <c r="H129" s="213">
        <f>RefData!CD129</f>
        <v>5746.4</v>
      </c>
      <c r="I129" s="213">
        <f>RefData!CE129</f>
        <v>5746.4</v>
      </c>
      <c r="J129" s="247">
        <f>RefData!CF129</f>
        <v>2.9</v>
      </c>
      <c r="K129" s="213"/>
      <c r="L129" s="213"/>
      <c r="M129" s="213"/>
      <c r="N129" s="247"/>
      <c r="S129" s="241">
        <f t="shared" si="4"/>
        <v>0</v>
      </c>
      <c r="T129" s="241">
        <f t="shared" si="5"/>
        <v>5746.4</v>
      </c>
      <c r="U129" s="241">
        <f t="shared" si="6"/>
        <v>5746.4</v>
      </c>
      <c r="V129" s="244">
        <f t="shared" si="7"/>
        <v>2.9</v>
      </c>
    </row>
    <row r="130" spans="1:22" ht="12.75">
      <c r="A130" s="24">
        <v>19.5</v>
      </c>
      <c r="B130" s="25" t="s">
        <v>319</v>
      </c>
      <c r="C130" s="25" t="s">
        <v>320</v>
      </c>
      <c r="D130" s="26" t="s">
        <v>310</v>
      </c>
      <c r="E130" s="35">
        <v>5</v>
      </c>
      <c r="F130" s="251" t="s">
        <v>299</v>
      </c>
      <c r="G130" s="213">
        <f>RefData!CC130</f>
        <v>0</v>
      </c>
      <c r="H130" s="213">
        <f>RefData!CD130</f>
        <v>2873.2</v>
      </c>
      <c r="I130" s="213">
        <f>RefData!CE130</f>
        <v>2873.2</v>
      </c>
      <c r="J130" s="247">
        <f>RefData!CF130</f>
        <v>1.45</v>
      </c>
      <c r="K130" s="213"/>
      <c r="L130" s="213"/>
      <c r="M130" s="213"/>
      <c r="N130" s="247"/>
      <c r="S130" s="241">
        <f t="shared" si="4"/>
        <v>0</v>
      </c>
      <c r="T130" s="241">
        <f t="shared" si="5"/>
        <v>2873.2</v>
      </c>
      <c r="U130" s="241">
        <f t="shared" si="6"/>
        <v>2873.2</v>
      </c>
      <c r="V130" s="244">
        <f t="shared" si="7"/>
        <v>1.45</v>
      </c>
    </row>
    <row r="131" spans="1:22" ht="12.75">
      <c r="A131" s="24">
        <v>20</v>
      </c>
      <c r="B131" s="25" t="s">
        <v>115</v>
      </c>
      <c r="C131" s="25" t="s">
        <v>321</v>
      </c>
      <c r="D131" s="26" t="s">
        <v>310</v>
      </c>
      <c r="E131" s="35">
        <v>5</v>
      </c>
      <c r="F131" s="251" t="s">
        <v>299</v>
      </c>
      <c r="G131" s="213">
        <f>RefData!CC131</f>
        <v>0</v>
      </c>
      <c r="H131" s="213">
        <f>RefData!CD131</f>
        <v>5746.4</v>
      </c>
      <c r="I131" s="213">
        <f>RefData!CE131</f>
        <v>5746.4</v>
      </c>
      <c r="J131" s="247">
        <f>RefData!CF131</f>
        <v>2.9</v>
      </c>
      <c r="K131" s="213"/>
      <c r="L131" s="213"/>
      <c r="M131" s="213"/>
      <c r="N131" s="247"/>
      <c r="S131" s="241">
        <f t="shared" si="4"/>
        <v>0</v>
      </c>
      <c r="T131" s="241">
        <f t="shared" si="5"/>
        <v>5746.4</v>
      </c>
      <c r="U131" s="241">
        <f t="shared" si="6"/>
        <v>5746.4</v>
      </c>
      <c r="V131" s="244">
        <f t="shared" si="7"/>
        <v>2.9</v>
      </c>
    </row>
    <row r="132" spans="1:22" ht="12.75">
      <c r="A132" s="24">
        <v>22</v>
      </c>
      <c r="B132" s="25" t="s">
        <v>322</v>
      </c>
      <c r="C132" s="25" t="s">
        <v>323</v>
      </c>
      <c r="D132" s="26" t="s">
        <v>310</v>
      </c>
      <c r="E132" s="26">
        <v>5</v>
      </c>
      <c r="F132" s="251" t="s">
        <v>299</v>
      </c>
      <c r="G132" s="213">
        <f>RefData!CC132</f>
        <v>0</v>
      </c>
      <c r="H132" s="213">
        <f>RefData!CD132</f>
        <v>2873.2</v>
      </c>
      <c r="I132" s="213">
        <f>RefData!CE132</f>
        <v>2873.2</v>
      </c>
      <c r="J132" s="247">
        <f>RefData!CF132</f>
        <v>1.45</v>
      </c>
      <c r="K132" s="213"/>
      <c r="L132" s="213"/>
      <c r="M132" s="213"/>
      <c r="N132" s="247"/>
      <c r="S132" s="241">
        <f t="shared" si="4"/>
        <v>0</v>
      </c>
      <c r="T132" s="241">
        <f t="shared" si="5"/>
        <v>2873.2</v>
      </c>
      <c r="U132" s="241">
        <f t="shared" si="6"/>
        <v>2873.2</v>
      </c>
      <c r="V132" s="244">
        <f t="shared" si="7"/>
        <v>1.45</v>
      </c>
    </row>
    <row r="133" spans="1:22" ht="12.75">
      <c r="A133" s="24">
        <v>24</v>
      </c>
      <c r="B133" s="25" t="s">
        <v>324</v>
      </c>
      <c r="C133" s="25" t="s">
        <v>318</v>
      </c>
      <c r="D133" s="26" t="s">
        <v>310</v>
      </c>
      <c r="E133" s="26">
        <v>5</v>
      </c>
      <c r="F133" s="251" t="s">
        <v>299</v>
      </c>
      <c r="G133" s="213">
        <f>RefData!CC133</f>
        <v>0</v>
      </c>
      <c r="H133" s="213">
        <f>RefData!CD133</f>
        <v>2873.2</v>
      </c>
      <c r="I133" s="213">
        <f>RefData!CE133</f>
        <v>2873.2</v>
      </c>
      <c r="J133" s="247">
        <f>RefData!CF133</f>
        <v>1.45</v>
      </c>
      <c r="K133" s="213"/>
      <c r="L133" s="213"/>
      <c r="M133" s="213"/>
      <c r="N133" s="247"/>
      <c r="S133" s="241">
        <f t="shared" si="4"/>
        <v>0</v>
      </c>
      <c r="T133" s="241">
        <f t="shared" si="5"/>
        <v>2873.2</v>
      </c>
      <c r="U133" s="241">
        <f t="shared" si="6"/>
        <v>2873.2</v>
      </c>
      <c r="V133" s="244">
        <f t="shared" si="7"/>
        <v>1.45</v>
      </c>
    </row>
    <row r="134" spans="1:22" ht="12.75">
      <c r="A134" s="24">
        <v>25</v>
      </c>
      <c r="B134" s="25" t="s">
        <v>325</v>
      </c>
      <c r="C134" s="25" t="s">
        <v>314</v>
      </c>
      <c r="D134" s="26" t="s">
        <v>310</v>
      </c>
      <c r="E134" s="26">
        <v>5</v>
      </c>
      <c r="F134" s="251" t="s">
        <v>299</v>
      </c>
      <c r="G134" s="213">
        <f>RefData!CC134</f>
        <v>0</v>
      </c>
      <c r="H134" s="213">
        <f>RefData!CD134</f>
        <v>2873.2</v>
      </c>
      <c r="I134" s="213">
        <f>RefData!CE134</f>
        <v>2873.2</v>
      </c>
      <c r="J134" s="247">
        <f>RefData!CF134</f>
        <v>1.45</v>
      </c>
      <c r="K134" s="213"/>
      <c r="L134" s="213"/>
      <c r="M134" s="213"/>
      <c r="N134" s="247"/>
      <c r="S134" s="241">
        <f aca="true" t="shared" si="8" ref="S134:S155">G134+K134+O134</f>
        <v>0</v>
      </c>
      <c r="T134" s="241">
        <f aca="true" t="shared" si="9" ref="T134:T155">H134+L134+P134</f>
        <v>2873.2</v>
      </c>
      <c r="U134" s="241">
        <f aca="true" t="shared" si="10" ref="U134:U155">I134+M134+Q134</f>
        <v>2873.2</v>
      </c>
      <c r="V134" s="244">
        <f aca="true" t="shared" si="11" ref="V134:V155">J134+N134+R134</f>
        <v>1.45</v>
      </c>
    </row>
    <row r="135" spans="1:22" ht="12.75">
      <c r="A135" s="24">
        <v>26</v>
      </c>
      <c r="B135" s="25" t="s">
        <v>326</v>
      </c>
      <c r="C135" s="25" t="s">
        <v>327</v>
      </c>
      <c r="D135" s="26" t="s">
        <v>310</v>
      </c>
      <c r="E135" s="26">
        <v>5</v>
      </c>
      <c r="F135" s="251" t="s">
        <v>299</v>
      </c>
      <c r="G135" s="213">
        <f>RefData!CC135</f>
        <v>0</v>
      </c>
      <c r="H135" s="213">
        <f>RefData!CD135</f>
        <v>2873.2</v>
      </c>
      <c r="I135" s="213">
        <f>RefData!CE135</f>
        <v>2873.2</v>
      </c>
      <c r="J135" s="247">
        <f>RefData!CF135</f>
        <v>1.45</v>
      </c>
      <c r="K135" s="213"/>
      <c r="L135" s="213"/>
      <c r="M135" s="213"/>
      <c r="N135" s="247"/>
      <c r="S135" s="241">
        <f t="shared" si="8"/>
        <v>0</v>
      </c>
      <c r="T135" s="241">
        <f t="shared" si="9"/>
        <v>2873.2</v>
      </c>
      <c r="U135" s="241">
        <f t="shared" si="10"/>
        <v>2873.2</v>
      </c>
      <c r="V135" s="244">
        <f t="shared" si="11"/>
        <v>1.45</v>
      </c>
    </row>
    <row r="136" spans="1:22" ht="12.75">
      <c r="A136" s="24">
        <v>27</v>
      </c>
      <c r="B136" s="25" t="s">
        <v>328</v>
      </c>
      <c r="C136" s="25" t="s">
        <v>314</v>
      </c>
      <c r="D136" s="26" t="s">
        <v>310</v>
      </c>
      <c r="E136" s="26">
        <v>5</v>
      </c>
      <c r="F136" s="251" t="s">
        <v>299</v>
      </c>
      <c r="G136" s="213">
        <f>RefData!CC136</f>
        <v>0</v>
      </c>
      <c r="H136" s="213">
        <f>RefData!CD136</f>
        <v>2873.2</v>
      </c>
      <c r="I136" s="213">
        <f>RefData!CE136</f>
        <v>2873.2</v>
      </c>
      <c r="J136" s="247">
        <f>RefData!CF136</f>
        <v>1.45</v>
      </c>
      <c r="K136" s="213"/>
      <c r="L136" s="213"/>
      <c r="M136" s="213"/>
      <c r="N136" s="247"/>
      <c r="S136" s="241">
        <f t="shared" si="8"/>
        <v>0</v>
      </c>
      <c r="T136" s="241">
        <f t="shared" si="9"/>
        <v>2873.2</v>
      </c>
      <c r="U136" s="241">
        <f t="shared" si="10"/>
        <v>2873.2</v>
      </c>
      <c r="V136" s="244">
        <f t="shared" si="11"/>
        <v>1.45</v>
      </c>
    </row>
    <row r="137" spans="1:22" ht="12.75">
      <c r="A137" s="24">
        <v>28</v>
      </c>
      <c r="B137" s="25" t="s">
        <v>329</v>
      </c>
      <c r="C137" s="25" t="s">
        <v>330</v>
      </c>
      <c r="D137" s="26" t="s">
        <v>310</v>
      </c>
      <c r="E137" s="26">
        <v>5</v>
      </c>
      <c r="F137" s="251" t="s">
        <v>299</v>
      </c>
      <c r="G137" s="213">
        <f>RefData!CC137</f>
        <v>0</v>
      </c>
      <c r="H137" s="213">
        <f>RefData!CD137</f>
        <v>2873.2</v>
      </c>
      <c r="I137" s="213">
        <f>RefData!CE137</f>
        <v>2873.2</v>
      </c>
      <c r="J137" s="247">
        <f>RefData!CF137</f>
        <v>1.45</v>
      </c>
      <c r="K137" s="213"/>
      <c r="L137" s="213"/>
      <c r="M137" s="213"/>
      <c r="N137" s="247"/>
      <c r="S137" s="241">
        <f t="shared" si="8"/>
        <v>0</v>
      </c>
      <c r="T137" s="241">
        <f t="shared" si="9"/>
        <v>2873.2</v>
      </c>
      <c r="U137" s="241">
        <f t="shared" si="10"/>
        <v>2873.2</v>
      </c>
      <c r="V137" s="244">
        <f t="shared" si="11"/>
        <v>1.45</v>
      </c>
    </row>
    <row r="138" spans="1:22" ht="12.75">
      <c r="A138" s="24">
        <v>29</v>
      </c>
      <c r="B138" s="25" t="s">
        <v>331</v>
      </c>
      <c r="C138" s="25" t="s">
        <v>332</v>
      </c>
      <c r="D138" s="26" t="s">
        <v>310</v>
      </c>
      <c r="E138" s="26">
        <v>5</v>
      </c>
      <c r="F138" s="251" t="s">
        <v>299</v>
      </c>
      <c r="G138" s="213">
        <f>RefData!CC138</f>
        <v>0</v>
      </c>
      <c r="H138" s="213">
        <f>RefData!CD138</f>
        <v>5746.4</v>
      </c>
      <c r="I138" s="213">
        <f>RefData!CE138</f>
        <v>5746.4</v>
      </c>
      <c r="J138" s="247">
        <f>RefData!CF138</f>
        <v>2.9</v>
      </c>
      <c r="K138" s="213"/>
      <c r="L138" s="213"/>
      <c r="M138" s="213"/>
      <c r="N138" s="247"/>
      <c r="S138" s="241">
        <f t="shared" si="8"/>
        <v>0</v>
      </c>
      <c r="T138" s="241">
        <f t="shared" si="9"/>
        <v>5746.4</v>
      </c>
      <c r="U138" s="241">
        <f t="shared" si="10"/>
        <v>5746.4</v>
      </c>
      <c r="V138" s="244">
        <f t="shared" si="11"/>
        <v>2.9</v>
      </c>
    </row>
    <row r="139" spans="1:22" ht="12.75">
      <c r="A139" s="24">
        <v>30.1</v>
      </c>
      <c r="B139" s="25" t="s">
        <v>331</v>
      </c>
      <c r="C139" s="25" t="s">
        <v>333</v>
      </c>
      <c r="D139" s="26" t="s">
        <v>310</v>
      </c>
      <c r="E139" s="26">
        <v>5</v>
      </c>
      <c r="F139" s="251" t="s">
        <v>299</v>
      </c>
      <c r="G139" s="213">
        <f>RefData!CC139</f>
        <v>0</v>
      </c>
      <c r="H139" s="213">
        <f>RefData!CD139</f>
        <v>5746.4</v>
      </c>
      <c r="I139" s="213">
        <f>RefData!CE139</f>
        <v>5746.4</v>
      </c>
      <c r="J139" s="247">
        <f>RefData!CF139</f>
        <v>2.9</v>
      </c>
      <c r="K139" s="213"/>
      <c r="L139" s="213"/>
      <c r="M139" s="213"/>
      <c r="N139" s="247"/>
      <c r="S139" s="241">
        <f t="shared" si="8"/>
        <v>0</v>
      </c>
      <c r="T139" s="241">
        <f t="shared" si="9"/>
        <v>5746.4</v>
      </c>
      <c r="U139" s="241">
        <f t="shared" si="10"/>
        <v>5746.4</v>
      </c>
      <c r="V139" s="244">
        <f t="shared" si="11"/>
        <v>2.9</v>
      </c>
    </row>
    <row r="140" spans="1:22" ht="12.75">
      <c r="A140" s="24">
        <v>30.2</v>
      </c>
      <c r="B140" s="25" t="s">
        <v>331</v>
      </c>
      <c r="C140" s="25" t="s">
        <v>334</v>
      </c>
      <c r="D140" s="26" t="s">
        <v>310</v>
      </c>
      <c r="E140" s="26">
        <v>5</v>
      </c>
      <c r="F140" s="251" t="s">
        <v>299</v>
      </c>
      <c r="G140" s="213">
        <f>RefData!CC140</f>
        <v>0</v>
      </c>
      <c r="H140" s="213">
        <f>RefData!CD140</f>
        <v>2873.2</v>
      </c>
      <c r="I140" s="213">
        <f>RefData!CE140</f>
        <v>2873.2</v>
      </c>
      <c r="J140" s="247">
        <f>RefData!CF140</f>
        <v>1.45</v>
      </c>
      <c r="K140" s="213"/>
      <c r="L140" s="213"/>
      <c r="M140" s="213"/>
      <c r="N140" s="247"/>
      <c r="S140" s="241">
        <f t="shared" si="8"/>
        <v>0</v>
      </c>
      <c r="T140" s="241">
        <f t="shared" si="9"/>
        <v>2873.2</v>
      </c>
      <c r="U140" s="241">
        <f t="shared" si="10"/>
        <v>2873.2</v>
      </c>
      <c r="V140" s="244">
        <f t="shared" si="11"/>
        <v>1.45</v>
      </c>
    </row>
    <row r="141" spans="1:22" ht="12.75">
      <c r="A141" s="24">
        <v>31</v>
      </c>
      <c r="B141" s="25" t="s">
        <v>335</v>
      </c>
      <c r="C141" s="25" t="s">
        <v>336</v>
      </c>
      <c r="D141" s="26" t="s">
        <v>310</v>
      </c>
      <c r="E141" s="26">
        <v>5</v>
      </c>
      <c r="F141" s="251" t="s">
        <v>299</v>
      </c>
      <c r="G141" s="213">
        <f>RefData!CC141</f>
        <v>0</v>
      </c>
      <c r="H141" s="213">
        <f>RefData!CD141</f>
        <v>5746.4</v>
      </c>
      <c r="I141" s="213">
        <f>RefData!CE141</f>
        <v>5746.4</v>
      </c>
      <c r="J141" s="247">
        <f>RefData!CF141</f>
        <v>2.9</v>
      </c>
      <c r="K141" s="213"/>
      <c r="L141" s="213"/>
      <c r="M141" s="213"/>
      <c r="N141" s="247"/>
      <c r="S141" s="241">
        <f t="shared" si="8"/>
        <v>0</v>
      </c>
      <c r="T141" s="241">
        <f t="shared" si="9"/>
        <v>5746.4</v>
      </c>
      <c r="U141" s="241">
        <f t="shared" si="10"/>
        <v>5746.4</v>
      </c>
      <c r="V141" s="244">
        <f t="shared" si="11"/>
        <v>2.9</v>
      </c>
    </row>
    <row r="142" spans="1:22" ht="12.75">
      <c r="A142" s="24">
        <v>32</v>
      </c>
      <c r="B142" s="25" t="s">
        <v>337</v>
      </c>
      <c r="C142" s="25" t="s">
        <v>318</v>
      </c>
      <c r="D142" s="26" t="s">
        <v>310</v>
      </c>
      <c r="E142" s="26">
        <v>5</v>
      </c>
      <c r="F142" s="251" t="s">
        <v>299</v>
      </c>
      <c r="G142" s="213">
        <f>RefData!CC142</f>
        <v>0</v>
      </c>
      <c r="H142" s="213">
        <f>RefData!CD142</f>
        <v>5746.4</v>
      </c>
      <c r="I142" s="213">
        <f>RefData!CE142</f>
        <v>5746.4</v>
      </c>
      <c r="J142" s="247">
        <f>RefData!CF142</f>
        <v>2.9</v>
      </c>
      <c r="K142" s="213"/>
      <c r="L142" s="213"/>
      <c r="M142" s="213"/>
      <c r="N142" s="247"/>
      <c r="S142" s="241">
        <f t="shared" si="8"/>
        <v>0</v>
      </c>
      <c r="T142" s="241">
        <f t="shared" si="9"/>
        <v>5746.4</v>
      </c>
      <c r="U142" s="241">
        <f t="shared" si="10"/>
        <v>5746.4</v>
      </c>
      <c r="V142" s="244">
        <f t="shared" si="11"/>
        <v>2.9</v>
      </c>
    </row>
    <row r="143" spans="1:22" ht="12.75">
      <c r="A143" s="24">
        <v>33</v>
      </c>
      <c r="B143" s="25" t="s">
        <v>338</v>
      </c>
      <c r="C143" s="25" t="s">
        <v>339</v>
      </c>
      <c r="D143" s="26" t="s">
        <v>310</v>
      </c>
      <c r="E143" s="26">
        <v>5</v>
      </c>
      <c r="F143" s="251" t="s">
        <v>299</v>
      </c>
      <c r="G143" s="213">
        <f>RefData!CC143</f>
        <v>0</v>
      </c>
      <c r="H143" s="213">
        <f>RefData!CD143</f>
        <v>5746.4</v>
      </c>
      <c r="I143" s="213">
        <f>RefData!CE143</f>
        <v>5746.4</v>
      </c>
      <c r="J143" s="247">
        <f>RefData!CF143</f>
        <v>2.9</v>
      </c>
      <c r="K143" s="213"/>
      <c r="L143" s="213"/>
      <c r="M143" s="213"/>
      <c r="N143" s="247"/>
      <c r="S143" s="241">
        <f t="shared" si="8"/>
        <v>0</v>
      </c>
      <c r="T143" s="241">
        <f t="shared" si="9"/>
        <v>5746.4</v>
      </c>
      <c r="U143" s="241">
        <f t="shared" si="10"/>
        <v>5746.4</v>
      </c>
      <c r="V143" s="244">
        <f t="shared" si="11"/>
        <v>2.9</v>
      </c>
    </row>
    <row r="144" spans="1:22" ht="12.75">
      <c r="A144" s="24">
        <v>34</v>
      </c>
      <c r="B144" s="25" t="s">
        <v>340</v>
      </c>
      <c r="C144" s="25" t="s">
        <v>341</v>
      </c>
      <c r="D144" s="26" t="s">
        <v>310</v>
      </c>
      <c r="E144" s="26">
        <v>5</v>
      </c>
      <c r="F144" s="251" t="s">
        <v>299</v>
      </c>
      <c r="G144" s="213">
        <f>RefData!CC144</f>
        <v>0</v>
      </c>
      <c r="H144" s="213">
        <f>RefData!CD144</f>
        <v>2873.2</v>
      </c>
      <c r="I144" s="213">
        <f>RefData!CE144</f>
        <v>2873.2</v>
      </c>
      <c r="J144" s="247">
        <f>RefData!CF144</f>
        <v>1.45</v>
      </c>
      <c r="K144" s="213"/>
      <c r="L144" s="213"/>
      <c r="M144" s="213"/>
      <c r="N144" s="247"/>
      <c r="S144" s="241">
        <f t="shared" si="8"/>
        <v>0</v>
      </c>
      <c r="T144" s="241">
        <f t="shared" si="9"/>
        <v>2873.2</v>
      </c>
      <c r="U144" s="241">
        <f t="shared" si="10"/>
        <v>2873.2</v>
      </c>
      <c r="V144" s="244">
        <f t="shared" si="11"/>
        <v>1.45</v>
      </c>
    </row>
    <row r="145" spans="1:22" ht="12.75">
      <c r="A145" s="24">
        <v>39</v>
      </c>
      <c r="B145" s="25" t="s">
        <v>238</v>
      </c>
      <c r="C145" s="25" t="s">
        <v>342</v>
      </c>
      <c r="D145" s="26" t="s">
        <v>343</v>
      </c>
      <c r="E145" s="26">
        <v>5</v>
      </c>
      <c r="F145" s="251" t="s">
        <v>299</v>
      </c>
      <c r="G145" s="213">
        <f>RefData!CC145</f>
        <v>0</v>
      </c>
      <c r="H145" s="213">
        <f>RefData!CD145</f>
        <v>2873.2</v>
      </c>
      <c r="I145" s="213">
        <f>RefData!CE145</f>
        <v>2873.2</v>
      </c>
      <c r="J145" s="247">
        <f>RefData!CF145</f>
        <v>1.45</v>
      </c>
      <c r="K145" s="213"/>
      <c r="L145" s="213"/>
      <c r="M145" s="213"/>
      <c r="N145" s="247"/>
      <c r="S145" s="241">
        <f t="shared" si="8"/>
        <v>0</v>
      </c>
      <c r="T145" s="241">
        <f t="shared" si="9"/>
        <v>2873.2</v>
      </c>
      <c r="U145" s="241">
        <f t="shared" si="10"/>
        <v>2873.2</v>
      </c>
      <c r="V145" s="244">
        <f t="shared" si="11"/>
        <v>1.45</v>
      </c>
    </row>
    <row r="146" spans="1:22" ht="12.75">
      <c r="A146" s="24">
        <v>40</v>
      </c>
      <c r="B146" s="25" t="s">
        <v>344</v>
      </c>
      <c r="C146" s="25" t="s">
        <v>345</v>
      </c>
      <c r="D146" s="26" t="s">
        <v>343</v>
      </c>
      <c r="E146" s="26">
        <v>5</v>
      </c>
      <c r="F146" s="251" t="s">
        <v>299</v>
      </c>
      <c r="G146" s="213">
        <f>RefData!CC146</f>
        <v>0</v>
      </c>
      <c r="H146" s="213">
        <f>RefData!CD146</f>
        <v>5746.4</v>
      </c>
      <c r="I146" s="213">
        <f>RefData!CE146</f>
        <v>5746.4</v>
      </c>
      <c r="J146" s="247">
        <f>RefData!CF146</f>
        <v>2.9</v>
      </c>
      <c r="K146" s="213"/>
      <c r="L146" s="213"/>
      <c r="M146" s="213"/>
      <c r="N146" s="247"/>
      <c r="S146" s="241">
        <f t="shared" si="8"/>
        <v>0</v>
      </c>
      <c r="T146" s="241">
        <f t="shared" si="9"/>
        <v>5746.4</v>
      </c>
      <c r="U146" s="241">
        <f t="shared" si="10"/>
        <v>5746.4</v>
      </c>
      <c r="V146" s="244">
        <f t="shared" si="11"/>
        <v>2.9</v>
      </c>
    </row>
    <row r="147" spans="1:22" ht="12.75">
      <c r="A147" s="24">
        <v>86</v>
      </c>
      <c r="B147" s="25" t="s">
        <v>346</v>
      </c>
      <c r="C147" s="25" t="s">
        <v>347</v>
      </c>
      <c r="D147" s="26" t="s">
        <v>348</v>
      </c>
      <c r="E147" s="26">
        <v>5</v>
      </c>
      <c r="F147" s="251" t="s">
        <v>299</v>
      </c>
      <c r="G147" s="213">
        <f>RefData!CC147</f>
        <v>0</v>
      </c>
      <c r="H147" s="213">
        <f>RefData!CD147</f>
        <v>2873.2</v>
      </c>
      <c r="I147" s="213">
        <f>RefData!CE147</f>
        <v>2873.2</v>
      </c>
      <c r="J147" s="247">
        <f>RefData!CF147</f>
        <v>1.45</v>
      </c>
      <c r="K147" s="213"/>
      <c r="L147" s="213"/>
      <c r="M147" s="213"/>
      <c r="N147" s="247"/>
      <c r="S147" s="241">
        <f t="shared" si="8"/>
        <v>0</v>
      </c>
      <c r="T147" s="241">
        <f t="shared" si="9"/>
        <v>2873.2</v>
      </c>
      <c r="U147" s="241">
        <f t="shared" si="10"/>
        <v>2873.2</v>
      </c>
      <c r="V147" s="244">
        <f t="shared" si="11"/>
        <v>1.45</v>
      </c>
    </row>
    <row r="148" spans="1:22" ht="12.75">
      <c r="A148" s="24">
        <v>103.5</v>
      </c>
      <c r="B148" s="25" t="s">
        <v>84</v>
      </c>
      <c r="C148" s="25" t="s">
        <v>349</v>
      </c>
      <c r="D148" s="26" t="s">
        <v>350</v>
      </c>
      <c r="E148" s="26">
        <v>5</v>
      </c>
      <c r="F148" s="251" t="s">
        <v>299</v>
      </c>
      <c r="G148" s="213">
        <f>RefData!CC148</f>
        <v>0</v>
      </c>
      <c r="H148" s="213">
        <f>RefData!CD148</f>
        <v>2873.2</v>
      </c>
      <c r="I148" s="213">
        <f>RefData!CE148</f>
        <v>2873.2</v>
      </c>
      <c r="J148" s="247">
        <f>RefData!CF148</f>
        <v>1.45</v>
      </c>
      <c r="K148" s="213"/>
      <c r="L148" s="213"/>
      <c r="M148" s="213"/>
      <c r="N148" s="247"/>
      <c r="S148" s="241">
        <f t="shared" si="8"/>
        <v>0</v>
      </c>
      <c r="T148" s="241">
        <f t="shared" si="9"/>
        <v>2873.2</v>
      </c>
      <c r="U148" s="241">
        <f t="shared" si="10"/>
        <v>2873.2</v>
      </c>
      <c r="V148" s="244">
        <f t="shared" si="11"/>
        <v>1.45</v>
      </c>
    </row>
    <row r="149" spans="1:22" ht="12.75">
      <c r="A149" s="33">
        <v>141</v>
      </c>
      <c r="B149" s="34" t="s">
        <v>308</v>
      </c>
      <c r="C149" s="34" t="s">
        <v>351</v>
      </c>
      <c r="D149" s="35" t="s">
        <v>352</v>
      </c>
      <c r="E149" s="35">
        <v>5</v>
      </c>
      <c r="F149" s="251" t="s">
        <v>299</v>
      </c>
      <c r="G149" s="213">
        <f>RefData!CC149</f>
        <v>0</v>
      </c>
      <c r="H149" s="213">
        <f>RefData!CD149</f>
        <v>8619.599999999999</v>
      </c>
      <c r="I149" s="213">
        <f>RefData!CE149</f>
        <v>8619.599999999999</v>
      </c>
      <c r="J149" s="247">
        <f>RefData!CF149</f>
        <v>4.35</v>
      </c>
      <c r="K149" s="213"/>
      <c r="L149" s="213"/>
      <c r="M149" s="213"/>
      <c r="N149" s="247"/>
      <c r="S149" s="241">
        <f t="shared" si="8"/>
        <v>0</v>
      </c>
      <c r="T149" s="241">
        <f t="shared" si="9"/>
        <v>8619.599999999999</v>
      </c>
      <c r="U149" s="241">
        <f t="shared" si="10"/>
        <v>8619.599999999999</v>
      </c>
      <c r="V149" s="244">
        <f t="shared" si="11"/>
        <v>4.35</v>
      </c>
    </row>
    <row r="150" spans="1:22" ht="12.75">
      <c r="A150" s="33">
        <v>142</v>
      </c>
      <c r="B150" s="34" t="s">
        <v>353</v>
      </c>
      <c r="C150" s="34" t="s">
        <v>354</v>
      </c>
      <c r="D150" s="35" t="s">
        <v>352</v>
      </c>
      <c r="E150" s="35">
        <v>5</v>
      </c>
      <c r="F150" s="251" t="s">
        <v>299</v>
      </c>
      <c r="G150" s="213">
        <f>RefData!CC150</f>
        <v>0</v>
      </c>
      <c r="H150" s="213">
        <f>RefData!CD150</f>
        <v>5746.4</v>
      </c>
      <c r="I150" s="213">
        <f>RefData!CE150</f>
        <v>5746.4</v>
      </c>
      <c r="J150" s="247">
        <f>RefData!CF150</f>
        <v>2.9</v>
      </c>
      <c r="K150" s="213"/>
      <c r="L150" s="213"/>
      <c r="M150" s="213"/>
      <c r="N150" s="247"/>
      <c r="S150" s="241">
        <f t="shared" si="8"/>
        <v>0</v>
      </c>
      <c r="T150" s="241">
        <f t="shared" si="9"/>
        <v>5746.4</v>
      </c>
      <c r="U150" s="241">
        <f t="shared" si="10"/>
        <v>5746.4</v>
      </c>
      <c r="V150" s="244">
        <f t="shared" si="11"/>
        <v>2.9</v>
      </c>
    </row>
    <row r="151" spans="1:22" ht="12.75">
      <c r="A151" s="33">
        <v>144</v>
      </c>
      <c r="B151" s="34" t="s">
        <v>355</v>
      </c>
      <c r="C151" s="34" t="s">
        <v>354</v>
      </c>
      <c r="D151" s="35" t="s">
        <v>352</v>
      </c>
      <c r="E151" s="35">
        <v>5</v>
      </c>
      <c r="F151" s="251" t="s">
        <v>299</v>
      </c>
      <c r="G151" s="213">
        <f>RefData!CC151</f>
        <v>0</v>
      </c>
      <c r="H151" s="213">
        <f>RefData!CD151</f>
        <v>5746.4</v>
      </c>
      <c r="I151" s="213">
        <f>RefData!CE151</f>
        <v>5746.4</v>
      </c>
      <c r="J151" s="247">
        <f>RefData!CF151</f>
        <v>2.9</v>
      </c>
      <c r="K151" s="213"/>
      <c r="L151" s="213"/>
      <c r="M151" s="213"/>
      <c r="N151" s="247"/>
      <c r="S151" s="241">
        <f t="shared" si="8"/>
        <v>0</v>
      </c>
      <c r="T151" s="241">
        <f t="shared" si="9"/>
        <v>5746.4</v>
      </c>
      <c r="U151" s="241">
        <f t="shared" si="10"/>
        <v>5746.4</v>
      </c>
      <c r="V151" s="244">
        <f t="shared" si="11"/>
        <v>2.9</v>
      </c>
    </row>
    <row r="152" spans="1:22" ht="12.75">
      <c r="A152" s="33">
        <v>145</v>
      </c>
      <c r="B152" s="34" t="s">
        <v>356</v>
      </c>
      <c r="C152" s="34" t="s">
        <v>351</v>
      </c>
      <c r="D152" s="35" t="s">
        <v>352</v>
      </c>
      <c r="E152" s="35">
        <v>5</v>
      </c>
      <c r="F152" s="251" t="s">
        <v>299</v>
      </c>
      <c r="G152" s="213">
        <f>RefData!CC152</f>
        <v>0</v>
      </c>
      <c r="H152" s="213">
        <f>RefData!CD152</f>
        <v>5746.4</v>
      </c>
      <c r="I152" s="213">
        <f>RefData!CE152</f>
        <v>5746.4</v>
      </c>
      <c r="J152" s="247">
        <f>RefData!CF152</f>
        <v>2.9</v>
      </c>
      <c r="K152" s="213"/>
      <c r="L152" s="213"/>
      <c r="M152" s="213"/>
      <c r="N152" s="247"/>
      <c r="S152" s="241">
        <f t="shared" si="8"/>
        <v>0</v>
      </c>
      <c r="T152" s="241">
        <f t="shared" si="9"/>
        <v>5746.4</v>
      </c>
      <c r="U152" s="241">
        <f t="shared" si="10"/>
        <v>5746.4</v>
      </c>
      <c r="V152" s="244">
        <f t="shared" si="11"/>
        <v>2.9</v>
      </c>
    </row>
    <row r="153" spans="1:22" ht="12.75">
      <c r="A153" s="33">
        <v>146</v>
      </c>
      <c r="B153" s="34" t="s">
        <v>357</v>
      </c>
      <c r="C153" s="34" t="s">
        <v>358</v>
      </c>
      <c r="D153" s="35" t="s">
        <v>352</v>
      </c>
      <c r="E153" s="35">
        <v>5</v>
      </c>
      <c r="F153" s="251" t="s">
        <v>299</v>
      </c>
      <c r="G153" s="213">
        <f>RefData!CC153</f>
        <v>0</v>
      </c>
      <c r="H153" s="213">
        <f>RefData!CD153</f>
        <v>2873.2</v>
      </c>
      <c r="I153" s="213">
        <f>RefData!CE153</f>
        <v>2873.2</v>
      </c>
      <c r="J153" s="247">
        <f>RefData!CF153</f>
        <v>1.45</v>
      </c>
      <c r="K153" s="213"/>
      <c r="L153" s="213"/>
      <c r="M153" s="213"/>
      <c r="N153" s="247"/>
      <c r="S153" s="241">
        <f t="shared" si="8"/>
        <v>0</v>
      </c>
      <c r="T153" s="241">
        <f t="shared" si="9"/>
        <v>2873.2</v>
      </c>
      <c r="U153" s="241">
        <f t="shared" si="10"/>
        <v>2873.2</v>
      </c>
      <c r="V153" s="244">
        <f t="shared" si="11"/>
        <v>1.45</v>
      </c>
    </row>
    <row r="154" spans="1:22" ht="12.75">
      <c r="A154" s="24">
        <v>153</v>
      </c>
      <c r="B154" s="25" t="s">
        <v>359</v>
      </c>
      <c r="C154" s="25" t="s">
        <v>360</v>
      </c>
      <c r="D154" s="26" t="s">
        <v>361</v>
      </c>
      <c r="E154" s="26" t="s">
        <v>362</v>
      </c>
      <c r="F154" s="251" t="s">
        <v>363</v>
      </c>
      <c r="G154" s="213">
        <f>RefData!CC154</f>
        <v>0</v>
      </c>
      <c r="H154" s="213">
        <f>RefData!CD154</f>
        <v>8619.599999999999</v>
      </c>
      <c r="I154" s="213">
        <f>RefData!CE154</f>
        <v>8619.599999999999</v>
      </c>
      <c r="J154" s="247">
        <f>RefData!CF154</f>
        <v>4.35</v>
      </c>
      <c r="K154" s="213"/>
      <c r="L154" s="213"/>
      <c r="M154" s="213"/>
      <c r="N154" s="247"/>
      <c r="S154" s="241">
        <f t="shared" si="8"/>
        <v>0</v>
      </c>
      <c r="T154" s="241">
        <f t="shared" si="9"/>
        <v>8619.599999999999</v>
      </c>
      <c r="U154" s="241">
        <f t="shared" si="10"/>
        <v>8619.599999999999</v>
      </c>
      <c r="V154" s="244">
        <f t="shared" si="11"/>
        <v>4.35</v>
      </c>
    </row>
    <row r="155" spans="1:22" ht="12.75">
      <c r="A155" s="24">
        <v>155</v>
      </c>
      <c r="B155" s="25" t="s">
        <v>364</v>
      </c>
      <c r="C155" s="25" t="s">
        <v>365</v>
      </c>
      <c r="D155" s="26" t="s">
        <v>366</v>
      </c>
      <c r="E155" s="26" t="s">
        <v>362</v>
      </c>
      <c r="F155" s="251" t="s">
        <v>363</v>
      </c>
      <c r="G155" s="213">
        <f>RefData!CC155</f>
        <v>0</v>
      </c>
      <c r="H155" s="213">
        <f>RefData!CD155</f>
        <v>5746.4</v>
      </c>
      <c r="I155" s="213">
        <f>RefData!CE155</f>
        <v>5746.4</v>
      </c>
      <c r="J155" s="247">
        <f>RefData!CF155</f>
        <v>2.9</v>
      </c>
      <c r="K155" s="213"/>
      <c r="L155" s="213"/>
      <c r="M155" s="213"/>
      <c r="N155" s="247"/>
      <c r="S155" s="241">
        <f t="shared" si="8"/>
        <v>0</v>
      </c>
      <c r="T155" s="241">
        <f t="shared" si="9"/>
        <v>5746.4</v>
      </c>
      <c r="U155" s="241">
        <f t="shared" si="10"/>
        <v>5746.4</v>
      </c>
      <c r="V155" s="244">
        <f t="shared" si="11"/>
        <v>2.9</v>
      </c>
    </row>
    <row r="156" spans="7:13" ht="12.75">
      <c r="G156" s="213"/>
      <c r="H156" s="213"/>
      <c r="I156" s="213"/>
      <c r="K156" s="213"/>
      <c r="L156" s="213"/>
      <c r="M156" s="213"/>
    </row>
    <row r="157" spans="1:22" ht="12.75">
      <c r="A157" s="45"/>
      <c r="B157" s="45"/>
      <c r="C157" s="45"/>
      <c r="D157" s="45"/>
      <c r="E157" s="45"/>
      <c r="F157" s="249"/>
      <c r="G157" s="213">
        <f aca="true" t="shared" si="12" ref="G157:V157">SUM(G5:G155)</f>
        <v>0</v>
      </c>
      <c r="H157" s="213">
        <f t="shared" si="12"/>
        <v>747031.9999999987</v>
      </c>
      <c r="I157" s="213">
        <f t="shared" si="12"/>
        <v>747031.9999999987</v>
      </c>
      <c r="J157" s="245">
        <f t="shared" si="12"/>
        <v>376.99999999999926</v>
      </c>
      <c r="K157" s="213"/>
      <c r="L157" s="213"/>
      <c r="M157" s="213"/>
      <c r="N157" s="245"/>
      <c r="O157" s="213"/>
      <c r="P157" s="213"/>
      <c r="Q157" s="213"/>
      <c r="R157" s="245"/>
      <c r="S157" s="213">
        <f t="shared" si="12"/>
        <v>0</v>
      </c>
      <c r="T157" s="213">
        <f t="shared" si="12"/>
        <v>747031.9999999987</v>
      </c>
      <c r="U157" s="213">
        <f t="shared" si="12"/>
        <v>747031.9999999987</v>
      </c>
      <c r="V157" s="245">
        <f t="shared" si="12"/>
        <v>376.99999999999926</v>
      </c>
    </row>
    <row r="158" spans="1:21" ht="12.75">
      <c r="A158" s="45"/>
      <c r="B158" s="45"/>
      <c r="C158" s="45"/>
      <c r="D158" s="45"/>
      <c r="E158" s="45"/>
      <c r="F158" s="249"/>
      <c r="I158">
        <f>COUNTIF(I5:I155,"&gt;0")</f>
        <v>150</v>
      </c>
      <c r="U158">
        <f>COUNTIF(U5:U155,"&gt;0")</f>
        <v>150</v>
      </c>
    </row>
  </sheetData>
  <mergeCells count="4">
    <mergeCell ref="G1:J1"/>
    <mergeCell ref="K1:N1"/>
    <mergeCell ref="O1:R1"/>
    <mergeCell ref="S1:V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43"/>
  </sheetPr>
  <dimension ref="A1:FO168"/>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CE4" sqref="CE4"/>
    </sheetView>
  </sheetViews>
  <sheetFormatPr defaultColWidth="9.140625" defaultRowHeight="12.75"/>
  <cols>
    <col min="1" max="1" width="6.57421875" style="1" customWidth="1"/>
    <col min="2" max="2" width="49.00390625" style="1" customWidth="1"/>
    <col min="3" max="3" width="19.00390625" style="1" customWidth="1"/>
    <col min="4" max="4" width="6.28125" style="1" customWidth="1"/>
    <col min="5" max="5" width="7.57421875" style="1" customWidth="1"/>
    <col min="6" max="6" width="9.8515625" style="1" customWidth="1"/>
    <col min="7" max="8" width="8.140625" style="1" customWidth="1"/>
    <col min="9" max="9" width="10.421875" style="1" customWidth="1"/>
    <col min="10" max="10" width="8.00390625" style="1" customWidth="1"/>
    <col min="11" max="11" width="8.7109375" style="1" customWidth="1"/>
    <col min="12" max="12" width="10.28125" style="1" customWidth="1"/>
    <col min="13" max="14" width="9.140625" style="1" customWidth="1"/>
    <col min="15" max="15" width="12.00390625" style="1" customWidth="1"/>
    <col min="16" max="17" width="9.8515625" style="2" bestFit="1" customWidth="1"/>
    <col min="18" max="47" width="9.140625" style="2" customWidth="1"/>
    <col min="48" max="48" width="4.421875" style="0" customWidth="1"/>
    <col min="49" max="49" width="4.421875" style="1" customWidth="1"/>
    <col min="50" max="50" width="9.140625" style="1" customWidth="1"/>
    <col min="51" max="63" width="10.140625" style="45" customWidth="1"/>
    <col min="64" max="64" width="13.7109375" style="45" customWidth="1"/>
    <col min="65" max="78" width="10.140625" style="45" customWidth="1"/>
    <col min="79" max="79" width="9.140625" style="1" customWidth="1"/>
    <col min="80" max="80" width="11.421875" style="1" customWidth="1"/>
    <col min="81" max="81" width="9.140625" style="1" customWidth="1"/>
    <col min="82" max="83" width="10.7109375" style="1" customWidth="1"/>
    <col min="84" max="88" width="9.140625" style="1" customWidth="1"/>
    <col min="89" max="91" width="11.140625" style="1" customWidth="1"/>
    <col min="92" max="95" width="9.140625" style="1" customWidth="1"/>
    <col min="96" max="96" width="10.421875" style="1" bestFit="1" customWidth="1"/>
    <col min="97" max="97" width="9.140625" style="1" customWidth="1"/>
    <col min="98" max="98" width="20.8515625" style="1" customWidth="1"/>
    <col min="99" max="133" width="9.140625" style="1" customWidth="1"/>
    <col min="134" max="134" width="10.140625" style="1" customWidth="1"/>
    <col min="135" max="137" width="9.140625" style="1" customWidth="1"/>
    <col min="138" max="138" width="24.00390625" style="1" customWidth="1"/>
    <col min="139" max="16384" width="9.140625" style="1" customWidth="1"/>
  </cols>
  <sheetData>
    <row r="1" spans="39:170" ht="12.75" customHeight="1">
      <c r="AM1" s="3"/>
      <c r="AY1" s="6"/>
      <c r="AZ1" s="6"/>
      <c r="BA1" s="6"/>
      <c r="BB1" s="6"/>
      <c r="BC1" s="188" t="s">
        <v>538</v>
      </c>
      <c r="BD1" s="188" t="s">
        <v>538</v>
      </c>
      <c r="BE1" s="188" t="s">
        <v>538</v>
      </c>
      <c r="BF1" s="188" t="s">
        <v>538</v>
      </c>
      <c r="BR1" s="45" t="s">
        <v>551</v>
      </c>
      <c r="BU1" s="191" t="s">
        <v>632</v>
      </c>
      <c r="BV1" s="216">
        <v>1</v>
      </c>
      <c r="BW1" s="45" t="s">
        <v>561</v>
      </c>
      <c r="CC1" s="1" t="s">
        <v>562</v>
      </c>
      <c r="CI1" s="1" t="s">
        <v>591</v>
      </c>
      <c r="CP1" s="1" t="s">
        <v>576</v>
      </c>
      <c r="CS1" s="197" t="s">
        <v>584</v>
      </c>
      <c r="CT1" s="200">
        <f>62.4/7.4805</f>
        <v>8.341688389813514</v>
      </c>
      <c r="CU1" s="1" t="s">
        <v>585</v>
      </c>
      <c r="CV1" s="1" t="s">
        <v>1</v>
      </c>
      <c r="CW1" s="1" t="s">
        <v>2</v>
      </c>
      <c r="CX1" s="1" t="s">
        <v>3</v>
      </c>
      <c r="CY1" s="1" t="s">
        <v>4</v>
      </c>
      <c r="CZ1" s="1" t="s">
        <v>5</v>
      </c>
      <c r="DA1" s="1" t="s">
        <v>6</v>
      </c>
      <c r="DB1" s="1" t="s">
        <v>7</v>
      </c>
      <c r="DC1" s="1" t="s">
        <v>8</v>
      </c>
      <c r="DD1" s="1" t="s">
        <v>9</v>
      </c>
      <c r="DE1" s="1" t="s">
        <v>10</v>
      </c>
      <c r="DF1" s="1" t="s">
        <v>11</v>
      </c>
      <c r="DG1" s="1" t="s">
        <v>12</v>
      </c>
      <c r="DH1" s="1" t="s">
        <v>13</v>
      </c>
      <c r="DI1" s="1" t="s">
        <v>14</v>
      </c>
      <c r="DJ1" s="1" t="s">
        <v>15</v>
      </c>
      <c r="DK1" s="1" t="s">
        <v>16</v>
      </c>
      <c r="DL1" s="1" t="s">
        <v>17</v>
      </c>
      <c r="DM1" s="1" t="s">
        <v>18</v>
      </c>
      <c r="DN1" s="1" t="s">
        <v>19</v>
      </c>
      <c r="DO1" s="1" t="s">
        <v>20</v>
      </c>
      <c r="DP1" s="1" t="s">
        <v>21</v>
      </c>
      <c r="DQ1" s="1" t="s">
        <v>6</v>
      </c>
      <c r="DR1" s="1" t="s">
        <v>22</v>
      </c>
      <c r="DS1" s="1" t="s">
        <v>23</v>
      </c>
      <c r="DT1" s="1" t="s">
        <v>24</v>
      </c>
      <c r="DU1" s="1" t="s">
        <v>25</v>
      </c>
      <c r="DV1" s="1" t="s">
        <v>26</v>
      </c>
      <c r="DW1" s="1" t="s">
        <v>27</v>
      </c>
      <c r="DX1" s="1" t="s">
        <v>28</v>
      </c>
      <c r="DY1" s="1" t="s">
        <v>29</v>
      </c>
      <c r="DZ1" s="1" t="s">
        <v>30</v>
      </c>
      <c r="EA1" s="1" t="s">
        <v>586</v>
      </c>
      <c r="EB1" s="1" t="s">
        <v>587</v>
      </c>
      <c r="EH1" s="257" t="s">
        <v>0</v>
      </c>
      <c r="EI1" s="1" t="s">
        <v>1</v>
      </c>
      <c r="EJ1" s="1" t="s">
        <v>2</v>
      </c>
      <c r="EK1" s="1" t="s">
        <v>3</v>
      </c>
      <c r="EL1" s="1" t="s">
        <v>4</v>
      </c>
      <c r="EM1" s="1" t="s">
        <v>5</v>
      </c>
      <c r="EN1" s="1" t="s">
        <v>6</v>
      </c>
      <c r="EO1" s="1" t="s">
        <v>7</v>
      </c>
      <c r="EP1" s="1" t="s">
        <v>8</v>
      </c>
      <c r="EQ1" s="1" t="s">
        <v>9</v>
      </c>
      <c r="ER1" s="1" t="s">
        <v>10</v>
      </c>
      <c r="ES1" s="1" t="s">
        <v>11</v>
      </c>
      <c r="ET1" s="1" t="s">
        <v>12</v>
      </c>
      <c r="EU1" s="1" t="s">
        <v>13</v>
      </c>
      <c r="EV1" s="1" t="s">
        <v>14</v>
      </c>
      <c r="EW1" s="1" t="s">
        <v>15</v>
      </c>
      <c r="EX1" s="1" t="s">
        <v>16</v>
      </c>
      <c r="EY1" s="1" t="s">
        <v>17</v>
      </c>
      <c r="EZ1" s="1" t="s">
        <v>18</v>
      </c>
      <c r="FA1" s="1" t="s">
        <v>19</v>
      </c>
      <c r="FB1" s="1" t="s">
        <v>20</v>
      </c>
      <c r="FC1" s="1" t="s">
        <v>21</v>
      </c>
      <c r="FD1" s="1" t="s">
        <v>6</v>
      </c>
      <c r="FE1" s="1" t="s">
        <v>22</v>
      </c>
      <c r="FF1" s="1" t="s">
        <v>23</v>
      </c>
      <c r="FG1" s="1" t="s">
        <v>24</v>
      </c>
      <c r="FH1" s="1" t="s">
        <v>25</v>
      </c>
      <c r="FI1" s="1" t="s">
        <v>26</v>
      </c>
      <c r="FJ1" s="1" t="s">
        <v>27</v>
      </c>
      <c r="FK1" s="1" t="s">
        <v>28</v>
      </c>
      <c r="FL1" s="1" t="s">
        <v>29</v>
      </c>
      <c r="FM1" s="1" t="s">
        <v>30</v>
      </c>
      <c r="FN1" s="1" t="s">
        <v>31</v>
      </c>
    </row>
    <row r="2" spans="1:171" ht="76.5">
      <c r="A2" s="7" t="s">
        <v>32</v>
      </c>
      <c r="P2" s="8" t="s">
        <v>33</v>
      </c>
      <c r="Q2" s="2" t="s">
        <v>34</v>
      </c>
      <c r="AM2" s="2" t="s">
        <v>35</v>
      </c>
      <c r="AT2" s="2" t="s">
        <v>36</v>
      </c>
      <c r="AU2" s="52" t="s">
        <v>37</v>
      </c>
      <c r="AX2" s="9" t="s">
        <v>38</v>
      </c>
      <c r="AY2" s="11" t="s">
        <v>39</v>
      </c>
      <c r="AZ2" s="11" t="s">
        <v>531</v>
      </c>
      <c r="BA2" s="11" t="s">
        <v>545</v>
      </c>
      <c r="BB2" s="11" t="s">
        <v>544</v>
      </c>
      <c r="BC2" s="10" t="s">
        <v>1</v>
      </c>
      <c r="BD2" s="10" t="s">
        <v>535</v>
      </c>
      <c r="BE2" s="10" t="s">
        <v>536</v>
      </c>
      <c r="BF2" s="10" t="s">
        <v>537</v>
      </c>
      <c r="BG2" s="10"/>
      <c r="BH2" s="10" t="s">
        <v>377</v>
      </c>
      <c r="BI2" s="10" t="s">
        <v>378</v>
      </c>
      <c r="BJ2" s="10" t="s">
        <v>543</v>
      </c>
      <c r="BK2" s="10" t="s">
        <v>539</v>
      </c>
      <c r="BL2" s="10"/>
      <c r="BM2" s="10" t="s">
        <v>540</v>
      </c>
      <c r="BN2" s="10" t="s">
        <v>560</v>
      </c>
      <c r="BO2" s="10" t="s">
        <v>541</v>
      </c>
      <c r="BP2" s="10" t="s">
        <v>542</v>
      </c>
      <c r="BQ2" s="10"/>
      <c r="BR2" s="10" t="s">
        <v>546</v>
      </c>
      <c r="BS2" s="10" t="s">
        <v>547</v>
      </c>
      <c r="BT2" s="10" t="s">
        <v>548</v>
      </c>
      <c r="BU2" s="10" t="s">
        <v>627</v>
      </c>
      <c r="BV2" s="10" t="s">
        <v>633</v>
      </c>
      <c r="BW2" s="10" t="s">
        <v>556</v>
      </c>
      <c r="BX2" s="10" t="s">
        <v>557</v>
      </c>
      <c r="BY2" s="10" t="s">
        <v>579</v>
      </c>
      <c r="BZ2" s="10" t="s">
        <v>702</v>
      </c>
      <c r="CC2" s="10" t="s">
        <v>556</v>
      </c>
      <c r="CD2" s="10" t="s">
        <v>557</v>
      </c>
      <c r="CE2" s="10" t="s">
        <v>579</v>
      </c>
      <c r="CF2" s="10" t="s">
        <v>563</v>
      </c>
      <c r="CG2" s="10" t="s">
        <v>630</v>
      </c>
      <c r="CH2" s="10" t="s">
        <v>631</v>
      </c>
      <c r="CI2" s="10"/>
      <c r="CJ2" s="10"/>
      <c r="CK2" s="10" t="s">
        <v>621</v>
      </c>
      <c r="CL2" s="10" t="s">
        <v>622</v>
      </c>
      <c r="CM2" s="10" t="s">
        <v>579</v>
      </c>
      <c r="CN2" s="10"/>
      <c r="CO2" s="10"/>
      <c r="CP2" s="196" t="s">
        <v>577</v>
      </c>
      <c r="CQ2" s="220">
        <v>25000</v>
      </c>
      <c r="CR2" s="10" t="s">
        <v>579</v>
      </c>
      <c r="CS2" s="10"/>
      <c r="CT2" s="10"/>
      <c r="CU2" s="197" t="s">
        <v>581</v>
      </c>
      <c r="CV2" s="204">
        <v>2.9</v>
      </c>
      <c r="CW2" s="204">
        <v>3</v>
      </c>
      <c r="CX2" s="204">
        <v>5.9</v>
      </c>
      <c r="CY2" s="204">
        <v>5.9</v>
      </c>
      <c r="CZ2" s="204">
        <v>7.1</v>
      </c>
      <c r="DA2" s="204">
        <v>5.9</v>
      </c>
      <c r="DB2" s="204">
        <v>2.4</v>
      </c>
      <c r="DC2" s="204">
        <v>2.4</v>
      </c>
      <c r="DD2" s="204">
        <v>2.6</v>
      </c>
      <c r="DE2" s="204">
        <v>2.6</v>
      </c>
      <c r="DF2" s="204">
        <v>2.6</v>
      </c>
      <c r="DG2" s="204">
        <v>1.5</v>
      </c>
      <c r="DH2" s="204">
        <v>1.5</v>
      </c>
      <c r="DI2" s="204">
        <v>8.6</v>
      </c>
      <c r="DJ2" s="204">
        <v>2.6</v>
      </c>
      <c r="DK2" s="204">
        <v>2.6</v>
      </c>
      <c r="DL2" s="204">
        <v>2.6</v>
      </c>
      <c r="DM2" s="204">
        <v>2.6</v>
      </c>
      <c r="DN2" s="204">
        <v>2.6</v>
      </c>
      <c r="DO2" s="204">
        <v>2.6</v>
      </c>
      <c r="DP2" s="204">
        <v>2.6</v>
      </c>
      <c r="DQ2" s="204">
        <v>2.6</v>
      </c>
      <c r="DR2" s="204">
        <v>6</v>
      </c>
      <c r="DS2" s="204">
        <v>3</v>
      </c>
      <c r="DT2" s="204">
        <v>8.6</v>
      </c>
      <c r="DU2" s="204">
        <v>3.5</v>
      </c>
      <c r="DV2" s="204">
        <v>3.5</v>
      </c>
      <c r="DW2" s="204">
        <v>2.5</v>
      </c>
      <c r="DX2" s="204">
        <v>9.7</v>
      </c>
      <c r="DY2" s="204">
        <v>80</v>
      </c>
      <c r="DZ2" s="204">
        <v>9.7</v>
      </c>
      <c r="EA2" s="204">
        <v>2.9</v>
      </c>
      <c r="EB2" s="204">
        <v>0.02</v>
      </c>
      <c r="EC2" s="201" t="s">
        <v>588</v>
      </c>
      <c r="ED2" s="201" t="s">
        <v>699</v>
      </c>
      <c r="EE2" s="201" t="s">
        <v>589</v>
      </c>
      <c r="EF2" s="198"/>
      <c r="EH2" s="257"/>
      <c r="EI2" s="1">
        <v>50000</v>
      </c>
      <c r="EJ2" s="1">
        <v>25000</v>
      </c>
      <c r="EK2" s="1">
        <v>10000</v>
      </c>
      <c r="EL2" s="1">
        <v>10000</v>
      </c>
      <c r="EM2" s="1">
        <v>10000</v>
      </c>
      <c r="EN2" s="1">
        <v>10000</v>
      </c>
      <c r="EO2" s="1">
        <v>17500</v>
      </c>
      <c r="EP2" s="1">
        <v>0</v>
      </c>
      <c r="EQ2" s="1">
        <v>5000</v>
      </c>
      <c r="ER2" s="1">
        <v>0</v>
      </c>
      <c r="ES2" s="1">
        <v>0</v>
      </c>
      <c r="ET2" s="1">
        <v>10000</v>
      </c>
      <c r="EU2" s="1">
        <v>10000</v>
      </c>
      <c r="EV2" s="1">
        <v>0</v>
      </c>
      <c r="EW2" s="1">
        <v>35000</v>
      </c>
      <c r="EX2" s="1">
        <v>35000</v>
      </c>
      <c r="EY2" s="1">
        <v>35000</v>
      </c>
      <c r="EZ2" s="1">
        <v>35000</v>
      </c>
      <c r="FA2" s="1">
        <v>35000</v>
      </c>
      <c r="FB2" s="1">
        <v>35000</v>
      </c>
      <c r="FC2" s="1">
        <v>35000</v>
      </c>
      <c r="FD2" s="1">
        <v>35000</v>
      </c>
      <c r="FE2" s="1">
        <v>35000</v>
      </c>
      <c r="FF2" s="1">
        <v>35000</v>
      </c>
      <c r="FG2" s="1">
        <v>35000</v>
      </c>
      <c r="FH2" s="1">
        <v>2500</v>
      </c>
      <c r="FI2" s="1">
        <v>2500</v>
      </c>
      <c r="FJ2" s="1">
        <v>5000</v>
      </c>
      <c r="FK2" s="1">
        <v>0</v>
      </c>
      <c r="FL2" s="1">
        <v>10</v>
      </c>
      <c r="FM2" s="1">
        <v>75</v>
      </c>
      <c r="FN2" s="1">
        <v>50000</v>
      </c>
      <c r="FO2" s="11" t="s">
        <v>40</v>
      </c>
    </row>
    <row r="3" spans="6:171" ht="12.75" customHeight="1">
      <c r="F3" s="12"/>
      <c r="G3" s="12"/>
      <c r="H3" s="12"/>
      <c r="I3" s="12"/>
      <c r="J3" s="12"/>
      <c r="K3" s="12"/>
      <c r="L3" s="12"/>
      <c r="M3" s="12"/>
      <c r="N3" s="12"/>
      <c r="O3" s="13" t="s">
        <v>41</v>
      </c>
      <c r="P3" s="258" t="s">
        <v>42</v>
      </c>
      <c r="Q3" s="259"/>
      <c r="R3" s="14" t="s">
        <v>2</v>
      </c>
      <c r="S3" s="258" t="s">
        <v>43</v>
      </c>
      <c r="T3" s="260"/>
      <c r="U3" s="260"/>
      <c r="V3" s="259"/>
      <c r="W3" s="258" t="s">
        <v>44</v>
      </c>
      <c r="X3" s="259"/>
      <c r="Y3" s="258" t="s">
        <v>45</v>
      </c>
      <c r="Z3" s="260"/>
      <c r="AA3" s="259"/>
      <c r="AB3" s="258" t="s">
        <v>46</v>
      </c>
      <c r="AC3" s="259"/>
      <c r="AD3" s="14" t="s">
        <v>47</v>
      </c>
      <c r="AE3" s="258" t="s">
        <v>48</v>
      </c>
      <c r="AF3" s="260"/>
      <c r="AG3" s="260"/>
      <c r="AH3" s="260"/>
      <c r="AI3" s="260"/>
      <c r="AJ3" s="260"/>
      <c r="AK3" s="260"/>
      <c r="AL3" s="259"/>
      <c r="AM3" s="15"/>
      <c r="AN3" s="15"/>
      <c r="AO3" s="16"/>
      <c r="AP3" s="258" t="s">
        <v>49</v>
      </c>
      <c r="AQ3" s="259"/>
      <c r="AR3" s="15"/>
      <c r="AS3" s="15"/>
      <c r="AT3" s="15"/>
      <c r="AU3" s="16"/>
      <c r="AX3" s="1" t="s">
        <v>50</v>
      </c>
      <c r="AY3" s="6" t="s">
        <v>51</v>
      </c>
      <c r="AZ3" s="6"/>
      <c r="BA3" s="6"/>
      <c r="BB3" s="6"/>
      <c r="BG3" s="45" t="s">
        <v>529</v>
      </c>
      <c r="BH3" s="6">
        <v>30000</v>
      </c>
      <c r="BI3" s="6">
        <v>20000</v>
      </c>
      <c r="BJ3" s="6">
        <v>10000</v>
      </c>
      <c r="BK3" s="6">
        <v>15000</v>
      </c>
      <c r="BL3" s="45" t="s">
        <v>636</v>
      </c>
      <c r="BM3" s="6">
        <v>0.4</v>
      </c>
      <c r="BN3" s="6">
        <v>0.4</v>
      </c>
      <c r="BO3" s="6">
        <v>0.4</v>
      </c>
      <c r="BP3" s="6">
        <v>0</v>
      </c>
      <c r="BQ3" s="45" t="s">
        <v>550</v>
      </c>
      <c r="BR3" s="6">
        <v>6500</v>
      </c>
      <c r="BS3" s="6">
        <v>34200</v>
      </c>
      <c r="BT3" s="6">
        <v>11000</v>
      </c>
      <c r="BU3" s="215">
        <f>ROUND(1.5*7.48/(62.43*0.75)*2000,-1)*IF(CreditF=1,1,0)</f>
        <v>480</v>
      </c>
      <c r="BV3" s="45" t="s">
        <v>555</v>
      </c>
      <c r="BW3" s="6">
        <f>ROUND(2000*499.6/390.6,-2)</f>
        <v>2600</v>
      </c>
      <c r="BX3" s="6">
        <f>126*5</f>
        <v>630</v>
      </c>
      <c r="BY3" s="32">
        <f>BW3*CRF+BX3</f>
        <v>1000.1815070911482</v>
      </c>
      <c r="BZ3" s="32"/>
      <c r="CA3" s="1" t="s">
        <v>564</v>
      </c>
      <c r="CB3" s="192">
        <v>0.07</v>
      </c>
      <c r="CC3" s="6">
        <v>0</v>
      </c>
      <c r="CD3" s="6">
        <v>3827</v>
      </c>
      <c r="CE3" s="32">
        <v>3827</v>
      </c>
      <c r="CF3" s="219">
        <v>0.725</v>
      </c>
      <c r="CG3" s="219">
        <v>4.98</v>
      </c>
      <c r="CH3" s="53"/>
      <c r="CI3" s="53"/>
      <c r="CJ3" s="53"/>
      <c r="CK3" s="53"/>
      <c r="CL3" s="53"/>
      <c r="CM3" s="53"/>
      <c r="CN3" s="53"/>
      <c r="CO3" s="53"/>
      <c r="CP3" s="191" t="s">
        <v>578</v>
      </c>
      <c r="CQ3" s="220">
        <v>5000</v>
      </c>
      <c r="CR3" s="53"/>
      <c r="CS3" s="53"/>
      <c r="CT3" s="53"/>
      <c r="CU3" s="197" t="s">
        <v>582</v>
      </c>
      <c r="CV3" s="204">
        <v>21</v>
      </c>
      <c r="CW3" s="204">
        <v>12</v>
      </c>
      <c r="CX3" s="204">
        <v>40</v>
      </c>
      <c r="CY3" s="204">
        <v>40</v>
      </c>
      <c r="CZ3" s="204">
        <v>40</v>
      </c>
      <c r="DA3" s="204">
        <v>40</v>
      </c>
      <c r="DB3" s="204">
        <v>13</v>
      </c>
      <c r="DC3" s="204">
        <v>13</v>
      </c>
      <c r="DD3" s="204">
        <v>14</v>
      </c>
      <c r="DE3" s="204">
        <v>14</v>
      </c>
      <c r="DF3" s="204">
        <v>14</v>
      </c>
      <c r="DG3" s="204">
        <v>106</v>
      </c>
      <c r="DH3" s="204">
        <v>106</v>
      </c>
      <c r="DI3" s="204">
        <v>40</v>
      </c>
      <c r="DJ3" s="204">
        <v>6.3</v>
      </c>
      <c r="DK3" s="204">
        <v>6.3</v>
      </c>
      <c r="DL3" s="204">
        <v>6.3</v>
      </c>
      <c r="DM3" s="204">
        <v>6.3</v>
      </c>
      <c r="DN3" s="204">
        <v>6.3</v>
      </c>
      <c r="DO3" s="204">
        <v>6.3</v>
      </c>
      <c r="DP3" s="204">
        <v>6.3</v>
      </c>
      <c r="DQ3" s="204">
        <v>6.3</v>
      </c>
      <c r="DR3" s="204">
        <v>3</v>
      </c>
      <c r="DS3" s="204">
        <v>106</v>
      </c>
      <c r="DT3" s="204">
        <v>40</v>
      </c>
      <c r="DU3" s="204">
        <v>0.01</v>
      </c>
      <c r="DV3" s="204">
        <v>0.01</v>
      </c>
      <c r="DW3" s="204">
        <v>40</v>
      </c>
      <c r="DX3" s="204">
        <v>0.8</v>
      </c>
      <c r="DY3" s="204">
        <v>62</v>
      </c>
      <c r="DZ3" s="204">
        <v>0.8</v>
      </c>
      <c r="EA3" s="204">
        <v>24</v>
      </c>
      <c r="EB3" s="204">
        <v>188</v>
      </c>
      <c r="EC3" s="202"/>
      <c r="ED3" s="202"/>
      <c r="EE3" s="203"/>
      <c r="EF3" s="198"/>
      <c r="EG3" s="192"/>
      <c r="EH3" t="s">
        <v>52</v>
      </c>
      <c r="EI3" s="1">
        <v>0.18495710758393283</v>
      </c>
      <c r="EJ3" s="1">
        <v>0.002442336444552</v>
      </c>
      <c r="EK3" s="1">
        <v>0.12505080147648</v>
      </c>
      <c r="EL3" s="1">
        <v>0.12505080147648</v>
      </c>
      <c r="EM3" s="1">
        <v>0.10849373124888</v>
      </c>
      <c r="EN3" s="1">
        <v>0.12505080147648</v>
      </c>
      <c r="EO3" s="1">
        <v>0.20522871634656004</v>
      </c>
      <c r="EP3" s="1">
        <v>0</v>
      </c>
      <c r="EQ3" s="1">
        <v>0.40302014693088</v>
      </c>
      <c r="ER3" s="1">
        <v>0</v>
      </c>
      <c r="ES3" s="1">
        <v>0</v>
      </c>
      <c r="ET3" s="1">
        <v>0.07346601658824001</v>
      </c>
      <c r="EU3" s="1">
        <v>0.07346601658824001</v>
      </c>
      <c r="EV3" s="1">
        <v>0</v>
      </c>
      <c r="EW3" s="1">
        <v>0.059350736407200004</v>
      </c>
      <c r="EX3" s="1">
        <v>0.059350736407200004</v>
      </c>
      <c r="EY3" s="1">
        <v>0.059350736407200004</v>
      </c>
      <c r="EZ3" s="1">
        <v>0.059350736407200004</v>
      </c>
      <c r="FA3" s="1">
        <v>0.059350736407200004</v>
      </c>
      <c r="FB3" s="1">
        <v>0.059350736407200004</v>
      </c>
      <c r="FC3" s="1">
        <v>0.059350736407200004</v>
      </c>
      <c r="FD3" s="1">
        <v>0.059350736407200004</v>
      </c>
      <c r="FE3" s="1">
        <v>0.059350736407200004</v>
      </c>
      <c r="FF3" s="1">
        <v>0.059350736407200004</v>
      </c>
      <c r="FG3" s="1">
        <v>0.059350736407200004</v>
      </c>
      <c r="FH3" s="1">
        <v>0</v>
      </c>
      <c r="FI3" s="1">
        <v>0</v>
      </c>
      <c r="FJ3" s="1">
        <v>0</v>
      </c>
      <c r="FK3" s="1">
        <v>0</v>
      </c>
      <c r="FL3" s="1">
        <v>4.300268812675172</v>
      </c>
      <c r="FM3" s="1">
        <v>0.0034234991863440005</v>
      </c>
      <c r="FN3" s="1">
        <v>4.472293968912</v>
      </c>
      <c r="FO3" s="17"/>
    </row>
    <row r="4" spans="1:171" ht="25.5">
      <c r="A4" s="18" t="s">
        <v>53</v>
      </c>
      <c r="B4" s="18" t="s">
        <v>54</v>
      </c>
      <c r="C4" s="18" t="s">
        <v>55</v>
      </c>
      <c r="D4" s="18" t="s">
        <v>56</v>
      </c>
      <c r="E4" s="18" t="s">
        <v>57</v>
      </c>
      <c r="F4" s="18" t="s">
        <v>58</v>
      </c>
      <c r="G4" s="18" t="s">
        <v>59</v>
      </c>
      <c r="H4" s="18" t="s">
        <v>24</v>
      </c>
      <c r="I4" s="18" t="s">
        <v>60</v>
      </c>
      <c r="J4" s="18" t="s">
        <v>61</v>
      </c>
      <c r="K4" s="18" t="s">
        <v>62</v>
      </c>
      <c r="L4" s="18" t="s">
        <v>63</v>
      </c>
      <c r="M4" s="18" t="s">
        <v>64</v>
      </c>
      <c r="N4" s="18" t="s">
        <v>65</v>
      </c>
      <c r="O4" s="19" t="s">
        <v>33</v>
      </c>
      <c r="P4" s="20" t="s">
        <v>33</v>
      </c>
      <c r="Q4" s="20" t="s">
        <v>66</v>
      </c>
      <c r="R4" s="21" t="s">
        <v>67</v>
      </c>
      <c r="S4" s="20" t="s">
        <v>3</v>
      </c>
      <c r="T4" s="20" t="s">
        <v>4</v>
      </c>
      <c r="U4" s="20" t="s">
        <v>5</v>
      </c>
      <c r="V4" s="20" t="s">
        <v>6</v>
      </c>
      <c r="W4" s="20" t="s">
        <v>7</v>
      </c>
      <c r="X4" s="20" t="s">
        <v>8</v>
      </c>
      <c r="Y4" s="20" t="s">
        <v>9</v>
      </c>
      <c r="Z4" s="20" t="s">
        <v>10</v>
      </c>
      <c r="AA4" s="20" t="s">
        <v>11</v>
      </c>
      <c r="AB4" s="20" t="s">
        <v>12</v>
      </c>
      <c r="AC4" s="20" t="s">
        <v>13</v>
      </c>
      <c r="AD4" s="21" t="s">
        <v>14</v>
      </c>
      <c r="AE4" s="20" t="s">
        <v>15</v>
      </c>
      <c r="AF4" s="20" t="s">
        <v>16</v>
      </c>
      <c r="AG4" s="20" t="s">
        <v>17</v>
      </c>
      <c r="AH4" s="20" t="s">
        <v>18</v>
      </c>
      <c r="AI4" s="20" t="s">
        <v>19</v>
      </c>
      <c r="AJ4" s="20" t="s">
        <v>20</v>
      </c>
      <c r="AK4" s="20" t="s">
        <v>21</v>
      </c>
      <c r="AL4" s="20" t="s">
        <v>6</v>
      </c>
      <c r="AM4" s="22" t="s">
        <v>22</v>
      </c>
      <c r="AN4" s="22" t="s">
        <v>23</v>
      </c>
      <c r="AO4" s="23" t="s">
        <v>24</v>
      </c>
      <c r="AP4" s="20" t="s">
        <v>25</v>
      </c>
      <c r="AQ4" s="20" t="s">
        <v>26</v>
      </c>
      <c r="AR4" s="22" t="s">
        <v>27</v>
      </c>
      <c r="AS4" s="22" t="s">
        <v>28</v>
      </c>
      <c r="AT4" s="22" t="s">
        <v>29</v>
      </c>
      <c r="AU4" s="23" t="s">
        <v>30</v>
      </c>
      <c r="AY4" s="6"/>
      <c r="AZ4" s="6"/>
      <c r="BA4" s="6"/>
      <c r="BB4" s="6"/>
      <c r="BG4" s="45" t="s">
        <v>530</v>
      </c>
      <c r="BL4" s="45" t="s">
        <v>635</v>
      </c>
      <c r="BQ4" s="45" t="s">
        <v>549</v>
      </c>
      <c r="BU4" s="45" t="s">
        <v>628</v>
      </c>
      <c r="BV4" s="45" t="s">
        <v>629</v>
      </c>
      <c r="BX4" s="191" t="s">
        <v>573</v>
      </c>
      <c r="BY4" s="194">
        <f>CB3*(1+CB3)^CB4/((1+CB3)^CB4-1)</f>
        <v>0.1423775027273647</v>
      </c>
      <c r="BZ4" s="194"/>
      <c r="CA4" s="1" t="s">
        <v>565</v>
      </c>
      <c r="CB4" s="193">
        <v>10</v>
      </c>
      <c r="CD4" s="1" t="s">
        <v>574</v>
      </c>
      <c r="CK4" s="45"/>
      <c r="CL4" s="45"/>
      <c r="CM4" s="45"/>
      <c r="CN4" s="45"/>
      <c r="CO4" s="45"/>
      <c r="CP4" s="191" t="s">
        <v>634</v>
      </c>
      <c r="CQ4" s="6">
        <v>5</v>
      </c>
      <c r="CR4" s="45"/>
      <c r="CS4" s="45"/>
      <c r="CT4" s="45"/>
      <c r="CU4" s="197" t="s">
        <v>583</v>
      </c>
      <c r="CV4" s="204">
        <v>140</v>
      </c>
      <c r="CW4" s="204">
        <v>53</v>
      </c>
      <c r="CX4" s="204">
        <v>75</v>
      </c>
      <c r="CY4" s="204">
        <v>75</v>
      </c>
      <c r="CZ4" s="204">
        <v>75</v>
      </c>
      <c r="DA4" s="204">
        <v>75</v>
      </c>
      <c r="DB4" s="204">
        <v>165</v>
      </c>
      <c r="DC4" s="204">
        <v>165</v>
      </c>
      <c r="DD4" s="204">
        <v>72</v>
      </c>
      <c r="DE4" s="204">
        <v>72</v>
      </c>
      <c r="DF4" s="204">
        <v>72</v>
      </c>
      <c r="DG4" s="204">
        <v>238</v>
      </c>
      <c r="DH4" s="204">
        <v>238</v>
      </c>
      <c r="DI4" s="204">
        <v>75</v>
      </c>
      <c r="DJ4" s="204">
        <v>32</v>
      </c>
      <c r="DK4" s="204">
        <v>32</v>
      </c>
      <c r="DL4" s="204">
        <v>32</v>
      </c>
      <c r="DM4" s="204">
        <v>32</v>
      </c>
      <c r="DN4" s="204">
        <v>32</v>
      </c>
      <c r="DO4" s="204">
        <v>32</v>
      </c>
      <c r="DP4" s="204">
        <v>32</v>
      </c>
      <c r="DQ4" s="204">
        <v>32</v>
      </c>
      <c r="DR4" s="204">
        <v>6.9</v>
      </c>
      <c r="DS4" s="204">
        <v>238</v>
      </c>
      <c r="DT4" s="204">
        <v>75</v>
      </c>
      <c r="DU4" s="204">
        <v>0.04</v>
      </c>
      <c r="DV4" s="204">
        <v>0.04</v>
      </c>
      <c r="DW4" s="204">
        <v>75</v>
      </c>
      <c r="DX4" s="204">
        <v>3.4</v>
      </c>
      <c r="DY4" s="204">
        <v>278</v>
      </c>
      <c r="DZ4" s="204">
        <v>3.4</v>
      </c>
      <c r="EA4" s="204">
        <v>1810</v>
      </c>
      <c r="EB4" s="204">
        <v>840</v>
      </c>
      <c r="EC4" s="202"/>
      <c r="ED4" s="202"/>
      <c r="EE4" s="203"/>
      <c r="EF4" s="198"/>
      <c r="EG4" s="193"/>
      <c r="EH4" t="s">
        <v>68</v>
      </c>
      <c r="EI4" s="1">
        <v>0.5699766927982697</v>
      </c>
      <c r="EJ4" s="1">
        <v>0.010606863429336002</v>
      </c>
      <c r="EK4" s="1">
        <v>0.24682268761392</v>
      </c>
      <c r="EL4" s="1">
        <v>0.24682268761392</v>
      </c>
      <c r="EM4" s="1">
        <v>0.05894874689256</v>
      </c>
      <c r="EN4" s="1">
        <v>0.24682268761392</v>
      </c>
      <c r="EO4" s="1">
        <v>0.2644897670328</v>
      </c>
      <c r="EP4" s="1">
        <v>0</v>
      </c>
      <c r="EQ4" s="1">
        <v>0.21621849683808003</v>
      </c>
      <c r="ER4" s="1">
        <v>0</v>
      </c>
      <c r="ES4" s="1">
        <v>0</v>
      </c>
      <c r="ET4" s="1">
        <v>0.14589546715944002</v>
      </c>
      <c r="EU4" s="1">
        <v>0.14589546715944002</v>
      </c>
      <c r="EV4" s="1">
        <v>0</v>
      </c>
      <c r="EW4" s="1">
        <v>0.10099701098903999</v>
      </c>
      <c r="EX4" s="1">
        <v>0.10099701098903999</v>
      </c>
      <c r="EY4" s="1">
        <v>0.10099701098903999</v>
      </c>
      <c r="EZ4" s="1">
        <v>0.10099701098903999</v>
      </c>
      <c r="FA4" s="1">
        <v>0.10099701098903999</v>
      </c>
      <c r="FB4" s="1">
        <v>0.10099701098903999</v>
      </c>
      <c r="FC4" s="1">
        <v>0.10099701098903999</v>
      </c>
      <c r="FD4" s="1">
        <v>0.10099701098903999</v>
      </c>
      <c r="FE4" s="1">
        <v>0.10099701098903999</v>
      </c>
      <c r="FF4" s="1">
        <v>0.10099701098903999</v>
      </c>
      <c r="FG4" s="1">
        <v>0.10099701098903999</v>
      </c>
      <c r="FH4" s="1">
        <v>0</v>
      </c>
      <c r="FI4" s="1">
        <v>0</v>
      </c>
      <c r="FJ4" s="1">
        <v>0</v>
      </c>
      <c r="FK4" s="1">
        <v>0</v>
      </c>
      <c r="FL4" s="1">
        <v>4.263919336981805</v>
      </c>
      <c r="FM4" s="1">
        <v>0.0057571153094400015</v>
      </c>
      <c r="FN4" s="1">
        <v>7.46760736344</v>
      </c>
      <c r="FO4" s="17" t="s">
        <v>69</v>
      </c>
    </row>
    <row r="5" spans="1:171" ht="12.75">
      <c r="A5" s="24">
        <v>37</v>
      </c>
      <c r="B5" s="25" t="s">
        <v>70</v>
      </c>
      <c r="C5" s="25" t="s">
        <v>71</v>
      </c>
      <c r="D5" s="26" t="s">
        <v>72</v>
      </c>
      <c r="E5" s="26">
        <v>1</v>
      </c>
      <c r="F5" s="26" t="s">
        <v>73</v>
      </c>
      <c r="G5" s="26" t="s">
        <v>74</v>
      </c>
      <c r="H5" s="26" t="s">
        <v>75</v>
      </c>
      <c r="I5" s="26">
        <v>3</v>
      </c>
      <c r="J5" s="26"/>
      <c r="K5" s="26">
        <f>IF(SUM(S5:AA5)&gt;0,1,0)</f>
        <v>1</v>
      </c>
      <c r="L5" s="26">
        <f>IF(AB5+AC5+AN5&gt;0,1,0)</f>
        <v>1</v>
      </c>
      <c r="M5" s="24">
        <v>393536</v>
      </c>
      <c r="N5" s="24">
        <v>753804</v>
      </c>
      <c r="O5" s="27">
        <f>IF(Q5&gt;0,P5,IF(R5&gt;0,R5,W5+AE5)*0.9)</f>
        <v>181500</v>
      </c>
      <c r="P5" s="28">
        <v>181500</v>
      </c>
      <c r="Q5" s="28">
        <v>190200</v>
      </c>
      <c r="R5" s="28">
        <v>102000</v>
      </c>
      <c r="S5" s="29">
        <v>0</v>
      </c>
      <c r="T5" s="29">
        <v>53000</v>
      </c>
      <c r="U5" s="29">
        <v>0</v>
      </c>
      <c r="V5" s="29">
        <v>0</v>
      </c>
      <c r="W5" s="28">
        <v>83000</v>
      </c>
      <c r="X5" s="29">
        <v>4000</v>
      </c>
      <c r="Y5" s="29">
        <v>0</v>
      </c>
      <c r="Z5" s="28">
        <v>22300</v>
      </c>
      <c r="AA5" s="29">
        <v>0</v>
      </c>
      <c r="AB5" s="28">
        <v>43800</v>
      </c>
      <c r="AC5" s="29">
        <v>0</v>
      </c>
      <c r="AD5" s="28">
        <v>0</v>
      </c>
      <c r="AE5" s="28">
        <v>50600</v>
      </c>
      <c r="AF5" s="28">
        <v>30000</v>
      </c>
      <c r="AG5" s="28">
        <v>16500</v>
      </c>
      <c r="AH5" s="28">
        <v>0</v>
      </c>
      <c r="AI5" s="28">
        <v>59000</v>
      </c>
      <c r="AJ5" s="28">
        <v>0</v>
      </c>
      <c r="AK5" s="28">
        <v>0</v>
      </c>
      <c r="AL5" s="28">
        <v>0</v>
      </c>
      <c r="AM5" s="30">
        <v>11700</v>
      </c>
      <c r="AN5" s="31">
        <v>1400</v>
      </c>
      <c r="AO5" s="30">
        <v>0</v>
      </c>
      <c r="AP5" s="31">
        <v>6000</v>
      </c>
      <c r="AQ5" s="31">
        <v>0</v>
      </c>
      <c r="AR5" s="31">
        <v>0</v>
      </c>
      <c r="AS5" s="31">
        <v>13620</v>
      </c>
      <c r="AT5" s="31">
        <v>40</v>
      </c>
      <c r="AU5" s="30">
        <v>596</v>
      </c>
      <c r="AX5" s="2">
        <f aca="true" t="shared" si="0" ref="AX5:AX69">IF(Q5+R5&gt;0,0.88*(IF(Q5=0,R5,Q5)-(AR5+AS5+AO5+AN5)),IF(W5=0,SUM(AE5:AI5),0.6*(W5+X5))+AM5)</f>
        <v>154158.4</v>
      </c>
      <c r="AY5" s="32">
        <f aca="true" t="shared" si="1" ref="AY5:AY36">IF(AX5&lt;0,0,AX5)*IF(Q5&gt;0,P5/Q5,0.9)</f>
        <v>147106.9905362776</v>
      </c>
      <c r="AZ5" s="186">
        <f aca="true" t="shared" si="2" ref="AZ5:AZ36">HLOOKUP($F5,yields,3)/100</f>
        <v>0.4714699130811074</v>
      </c>
      <c r="BA5" s="186">
        <f aca="true" t="shared" si="3" ref="BA5:BA36">(HLOOKUP($F5,yields,4)+(HLOOKUP($F5,yields,5)+HLOOKUP($F5,yields,6))/2+HLOOKUP($F5,yields,9)+HLOOKUP($F5,yields,11))/100</f>
        <v>0.044133059267798765</v>
      </c>
      <c r="BB5" s="186">
        <f aca="true" t="shared" si="4" ref="BB5:BB36">((HLOOKUP($F5,yields,5)+HLOOKUP($F5,yields,6))/2+HLOOKUP($F5,yields,7))/100</f>
        <v>0.3212288661327347</v>
      </c>
      <c r="BC5" s="53">
        <f>P5</f>
        <v>181500</v>
      </c>
      <c r="BD5" s="53">
        <f aca="true" t="shared" si="5" ref="BD5:BD68">$AY5*AZ5/SUM($AZ5:$BB5)</f>
        <v>82879.87723746685</v>
      </c>
      <c r="BE5" s="53">
        <f aca="true" t="shared" si="6" ref="BE5:BE68">$AY5*BA5/SUM($AZ5:$BB5)</f>
        <v>7758.167451927659</v>
      </c>
      <c r="BF5" s="53">
        <f aca="true" t="shared" si="7" ref="BF5:BF68">$AY5*BB5/SUM($AZ5:$BB5)</f>
        <v>56468.94584688308</v>
      </c>
      <c r="BG5" s="53"/>
      <c r="BH5" s="53">
        <f>ROUNDUP(BC5/BH$3,0)+IF(P5=0,0,1)</f>
        <v>8</v>
      </c>
      <c r="BI5" s="53">
        <f>ROUNDUP(BD5/BI$3,0)+IF($AY5=0,0,2)</f>
        <v>7</v>
      </c>
      <c r="BJ5" s="53">
        <f>ROUNDUP(BE5/BJ$3,0)+IF($O5=0,0,2)</f>
        <v>3</v>
      </c>
      <c r="BK5" s="53">
        <f>ROUNDUP(BF5/BK$3,0)+IF($AY5=0,0,1)</f>
        <v>5</v>
      </c>
      <c r="BL5" s="53"/>
      <c r="BM5" s="53">
        <f>IF(H5="yes",0,ROUNDUP(BH5*$BM$3,0))</f>
        <v>4</v>
      </c>
      <c r="BN5" s="53">
        <f>ROUNDUP(BI5*BN$3,0)</f>
        <v>3</v>
      </c>
      <c r="BO5" s="53">
        <f>ROUNDUP(BJ5*BO$3,0)</f>
        <v>2</v>
      </c>
      <c r="BP5" s="53">
        <f>ROUNDUP(BK5*BP$3,0)</f>
        <v>0</v>
      </c>
      <c r="BQ5" s="53"/>
      <c r="BR5" s="53">
        <f>BR$3/2000*BM5</f>
        <v>13</v>
      </c>
      <c r="BS5" s="53">
        <f>BS$3/2000*BN5</f>
        <v>51.300000000000004</v>
      </c>
      <c r="BT5" s="53">
        <f>BT$3/2000*BO5</f>
        <v>11</v>
      </c>
      <c r="BU5" s="53">
        <f aca="true" t="shared" si="8" ref="BU5:BU36">SUM(BR5:BT5)*BU$3</f>
        <v>36144.00000000001</v>
      </c>
      <c r="BV5" s="53"/>
      <c r="BW5" s="53">
        <f>SUM($BM5:$BO5)*BW$3</f>
        <v>23400</v>
      </c>
      <c r="BX5" s="53">
        <f>SUM($BM5:$BO5)*BX$3-BU5</f>
        <v>-30474.000000000007</v>
      </c>
      <c r="BY5" s="53">
        <f aca="true" t="shared" si="9" ref="BY5:BY36">BW5*CRF+BX5</f>
        <v>-27142.366436179673</v>
      </c>
      <c r="BZ5" s="240">
        <f>BR5*BR$158+BS5*BS$158+BT5*BT$158</f>
        <v>8.2337</v>
      </c>
      <c r="CC5" s="1">
        <f aca="true" t="shared" si="10" ref="CC5:CC36">IF($O5=0,CT_idle,IF($O5&lt;Small_cutoff,CT_small,IF($O5&gt;Large_cutoff,CT_large,CT_med)))*CC$3</f>
        <v>0</v>
      </c>
      <c r="CD5" s="195">
        <f aca="true" t="shared" si="11" ref="CD5:CD36">IF($O5=0,CT_idle,IF($O5&lt;Small_cutoff,CT_small,IF($O5&gt;Large_cutoff,CT_large,CT_med)))*CD$3-CH5</f>
        <v>5746.4</v>
      </c>
      <c r="CE5" s="195">
        <f aca="true" t="shared" si="12" ref="CE5:CE36">CC5*CRF+CD5</f>
        <v>5746.4</v>
      </c>
      <c r="CF5" s="239">
        <f aca="true" t="shared" si="13" ref="CF5:CG36">IF($O5=0,CT_idle,IF($O5&lt;Small_cutoff,CT_small,IF($O5&gt;Large_cutoff,CT_large,CT_med)))*CF$3</f>
        <v>2.9</v>
      </c>
      <c r="CG5" s="239">
        <f t="shared" si="13"/>
        <v>19.92</v>
      </c>
      <c r="CH5" s="1">
        <f>$BU$3*CG5</f>
        <v>9561.6</v>
      </c>
      <c r="CK5" s="211">
        <f aca="true" t="shared" si="14" ref="CK5:CK36">IF($O5=0,TCI_idle,IF($O5&lt;Small_cutoff,TCI_small,IF($O5&gt;Large_cutoff,TCI_large,TCI_med)))</f>
        <v>0</v>
      </c>
      <c r="CL5" s="211">
        <f aca="true" t="shared" si="15" ref="CL5:CL36">IF($O5=0,AOC_idle,IF($O5&lt;Small_cutoff,AOC_small,IF($O5&gt;Large_cutoff,AOC_large,AOC_med)))</f>
        <v>0</v>
      </c>
      <c r="CM5" s="211">
        <f aca="true" t="shared" si="16" ref="CM5:CM36">CK5*CRF+CL5</f>
        <v>0</v>
      </c>
      <c r="CP5" s="5" t="s">
        <v>580</v>
      </c>
      <c r="CQ5" s="1">
        <f>IF(EE5&lt;10,0,1)</f>
        <v>1</v>
      </c>
      <c r="CR5" s="195">
        <f aca="true" t="shared" si="17" ref="CR5:CR68">(CQ$2/CQ$4+CQ$3)*CQ5</f>
        <v>10000</v>
      </c>
      <c r="CS5" s="195"/>
      <c r="CT5" s="195"/>
      <c r="CV5" s="199">
        <f aca="true" t="shared" si="18" ref="CV5:CV36">Q5*CV$2*CV$3*WW_density/1000000</f>
        <v>96.6232781231201</v>
      </c>
      <c r="CW5" s="199">
        <f aca="true" t="shared" si="19" ref="CW5:CW36">R5*CW$2*CW$3*WW_density/1000000</f>
        <v>30.630679767395225</v>
      </c>
      <c r="CX5" s="199">
        <f aca="true" t="shared" si="20" ref="CX5:CX36">S5*CX$2*CX$3*WW_density/1000000</f>
        <v>0</v>
      </c>
      <c r="CY5" s="199">
        <f aca="true" t="shared" si="21" ref="CY5:CY36">T5*CY$2*CY$3*WW_density/1000000</f>
        <v>104.33783837978743</v>
      </c>
      <c r="CZ5" s="199">
        <f aca="true" t="shared" si="22" ref="CZ5:CZ36">U5*CZ$2*CZ$3*WW_density/1000000</f>
        <v>0</v>
      </c>
      <c r="DA5" s="199">
        <f aca="true" t="shared" si="23" ref="DA5:DA36">V5*DA$2*DA$3*WW_density/1000000</f>
        <v>0</v>
      </c>
      <c r="DB5" s="199">
        <f aca="true" t="shared" si="24" ref="DB5:DB36">W5*DB$2*DB$3*WW_density/1000000</f>
        <v>21.601636254261077</v>
      </c>
      <c r="DC5" s="199">
        <f aca="true" t="shared" si="25" ref="DC5:DC36">X5*DC$2*DC$3*WW_density/1000000</f>
        <v>1.0410427110487266</v>
      </c>
      <c r="DD5" s="199">
        <f aca="true" t="shared" si="26" ref="DD5:DD36">Y5*DD$2*DD$3*WW_density/1000000</f>
        <v>0</v>
      </c>
      <c r="DE5" s="199">
        <f aca="true" t="shared" si="27" ref="DE5:DE36">Z5*DE$2*DE$3*WW_density/1000000</f>
        <v>6.771115299779426</v>
      </c>
      <c r="DF5" s="199">
        <f aca="true" t="shared" si="28" ref="DF5:DF36">AA5*DF$2*DF$3*WW_density/1000000</f>
        <v>0</v>
      </c>
      <c r="DG5" s="199">
        <f aca="true" t="shared" si="29" ref="DG5:DG36">AB5*DG$2*DG$3*WW_density/1000000</f>
        <v>58.09318628433928</v>
      </c>
      <c r="DH5" s="199">
        <f aca="true" t="shared" si="30" ref="DH5:DH36">AC5*DH$2*DH$3*WW_density/1000000</f>
        <v>0</v>
      </c>
      <c r="DI5" s="199">
        <f aca="true" t="shared" si="31" ref="DI5:DI36">AD5*DI$2*DI$3*WW_density/1000000</f>
        <v>0</v>
      </c>
      <c r="DJ5" s="199">
        <f aca="true" t="shared" si="32" ref="DJ5:DJ36">AE5*DJ$2*DJ$3*WW_density/1000000</f>
        <v>6.913824904752355</v>
      </c>
      <c r="DK5" s="199">
        <f aca="true" t="shared" si="33" ref="DK5:DK36">AF5*DK$2*DK$3*WW_density/1000000</f>
        <v>4.0991056747543615</v>
      </c>
      <c r="DL5" s="199">
        <f aca="true" t="shared" si="34" ref="DL5:DL36">AG5*DL$2*DL$3*WW_density/1000000</f>
        <v>2.2545081211148985</v>
      </c>
      <c r="DM5" s="199">
        <f aca="true" t="shared" si="35" ref="DM5:DM36">AH5*DM$2*DM$3*WW_density/1000000</f>
        <v>0</v>
      </c>
      <c r="DN5" s="199">
        <f aca="true" t="shared" si="36" ref="DN5:DN36">AI5*DN$2*DN$3*WW_density/1000000</f>
        <v>8.061574493683576</v>
      </c>
      <c r="DO5" s="199">
        <f aca="true" t="shared" si="37" ref="DO5:DO36">AJ5*DO$2*DO$3*WW_density/1000000</f>
        <v>0</v>
      </c>
      <c r="DP5" s="199">
        <f aca="true" t="shared" si="38" ref="DP5:DP36">AK5*DP$2*DP$3*WW_density/1000000</f>
        <v>0</v>
      </c>
      <c r="DQ5" s="199">
        <f aca="true" t="shared" si="39" ref="DQ5:DQ36">AL5*DQ$2*DQ$3*WW_density/1000000</f>
        <v>0</v>
      </c>
      <c r="DR5" s="199">
        <f aca="true" t="shared" si="40" ref="DR5:DR36">AM5*DR$2*DR$3*WW_density/1000000</f>
        <v>1.756759574894726</v>
      </c>
      <c r="DS5" s="199">
        <f aca="true" t="shared" si="41" ref="DS5:DS36">AN5*DS$2*DS$3*WW_density/1000000</f>
        <v>3.7137196711449767</v>
      </c>
      <c r="DT5" s="199">
        <f aca="true" t="shared" si="42" ref="DT5:DT36">AO5*DT$2*DT$3*WW_density/1000000</f>
        <v>0</v>
      </c>
      <c r="DU5" s="199">
        <f aca="true" t="shared" si="43" ref="DU5:DU36">AP5*DU$2*DU$3*WW_density/1000000</f>
        <v>0.0017517545618608381</v>
      </c>
      <c r="DV5" s="199">
        <f aca="true" t="shared" si="44" ref="DV5:DV36">AQ5*DV$2*DV$3*WW_density/1000000</f>
        <v>0</v>
      </c>
      <c r="DW5" s="199">
        <f aca="true" t="shared" si="45" ref="DW5:DW36">AR5*DW$2*DW$3*WW_density/1000000</f>
        <v>0</v>
      </c>
      <c r="DX5" s="199">
        <f aca="true" t="shared" si="46" ref="DX5:DX36">AS5*DX$2*DX$3*WW_density/1000000</f>
        <v>0.8816430559454582</v>
      </c>
      <c r="DY5" s="199">
        <f aca="true" t="shared" si="47" ref="DY5:DY36">AT5*DY$2*DY$3*WW_density/1000000</f>
        <v>1.6549909765390014</v>
      </c>
      <c r="DZ5" s="199">
        <f aca="true" t="shared" si="48" ref="DZ5:DZ36">AU5*DZ$2*DZ$3*WW_density/1000000</f>
        <v>0.03857997513535191</v>
      </c>
      <c r="EA5" s="199">
        <f aca="true" t="shared" si="49" ref="EA5:EA36">$AY5*EA$2*EA$3*WW_density/1000000</f>
        <v>85.40759898117436</v>
      </c>
      <c r="EB5" s="199">
        <f aca="true" t="shared" si="50" ref="EB5:EB36">($AY5+O5)*EB$2*EB$3*WW_density/1000000</f>
        <v>10.306675562807778</v>
      </c>
      <c r="EC5" s="202">
        <f aca="true" t="shared" si="51" ref="EC5:EC67">SUM(CV5:EB5)</f>
        <v>444.1895095662399</v>
      </c>
      <c r="ED5" s="202">
        <f>SUM(CV5:DI5,DS5:DT5,DW5,DY5,EA5:EB5)</f>
        <v>420.1817620113974</v>
      </c>
      <c r="EE5" s="203">
        <f aca="true" t="shared" si="52" ref="EE5:EE68">ED5*365/2205</f>
        <v>69.55389711299775</v>
      </c>
      <c r="EF5" s="199"/>
      <c r="EI5" s="1">
        <f aca="true" t="shared" si="53" ref="EI5:EI36">IF(Q5=0,0,IF(Q5&gt;EI$2,EI$4,EI$3))</f>
        <v>0.5699766927982697</v>
      </c>
      <c r="EJ5" s="1">
        <f aca="true" t="shared" si="54" ref="EJ5:EJ36">IF(R5=0,0,IF(R5&gt;EJ$2,EJ$4,EJ$3))</f>
        <v>0.010606863429336002</v>
      </c>
      <c r="EK5" s="1">
        <f aca="true" t="shared" si="55" ref="EK5:EK36">IF(S5=0,0,IF(S5&gt;EK$2,EK$4,EK$3))</f>
        <v>0</v>
      </c>
      <c r="EL5" s="1">
        <f aca="true" t="shared" si="56" ref="EL5:EL36">IF(T5=0,0,IF(T5&gt;EL$2,EL$4,EL$3))</f>
        <v>0.24682268761392</v>
      </c>
      <c r="EM5" s="1">
        <f aca="true" t="shared" si="57" ref="EM5:EM36">IF(U5=0,0,IF(U5&gt;EM$2,EM$4,EM$3))</f>
        <v>0</v>
      </c>
      <c r="EN5" s="1">
        <f aca="true" t="shared" si="58" ref="EN5:EN36">IF(V5=0,0,IF(V5&gt;EN$2,EN$4,EN$3))</f>
        <v>0</v>
      </c>
      <c r="EO5" s="1">
        <f aca="true" t="shared" si="59" ref="EO5:EO36">IF(W5=0,0,IF(W5&gt;EO$2,EO$4,EO$3))</f>
        <v>0.2644897670328</v>
      </c>
      <c r="EP5" s="1">
        <f aca="true" t="shared" si="60" ref="EP5:EP36">IF(X5=0,0,IF(X5&gt;EP$2,EP$4,EP$3))</f>
        <v>0</v>
      </c>
      <c r="EQ5" s="1">
        <f aca="true" t="shared" si="61" ref="EQ5:EQ36">IF(SUM(Y5:AA5)=0,0,IF(SUM(Y5:AA5)&gt;EQ$2,EQ$4,EQ$3))</f>
        <v>0.21621849683808003</v>
      </c>
      <c r="ER5" s="1">
        <f aca="true" t="shared" si="62" ref="ER5:ER36">IF(Z5=0,0,IF(Z5&gt;ER$2,ER$4,ER$3))</f>
        <v>0</v>
      </c>
      <c r="ES5" s="1">
        <f aca="true" t="shared" si="63" ref="ES5:ES36">IF(AA5=0,0,IF(AA5&gt;ES$2,ES$4,ES$3))</f>
        <v>0</v>
      </c>
      <c r="ET5" s="1">
        <f aca="true" t="shared" si="64" ref="ET5:ET36">IF(AB5=0,0,IF(AB5&gt;ET$2,ET$4,ET$3))</f>
        <v>0.14589546715944002</v>
      </c>
      <c r="EU5" s="1">
        <f aca="true" t="shared" si="65" ref="EU5:EU36">IF(AC5=0,0,IF(AC5&gt;EU$2,EU$4,EU$3))</f>
        <v>0</v>
      </c>
      <c r="EV5" s="1">
        <f aca="true" t="shared" si="66" ref="EV5:EV36">IF(AD5=0,0,IF(AD5&gt;EV$2,EV$4,EV$3))</f>
        <v>0</v>
      </c>
      <c r="EW5" s="1">
        <f aca="true" t="shared" si="67" ref="EW5:EW36">IF(AE5=0,0,IF(AE5&gt;EW$2,EW$4,EW$3))</f>
        <v>0.10099701098903999</v>
      </c>
      <c r="EX5" s="1">
        <f aca="true" t="shared" si="68" ref="EX5:EX36">IF(AF5=0,0,IF(AF5&gt;EX$2,EX$4,EX$3))</f>
        <v>0.059350736407200004</v>
      </c>
      <c r="EY5" s="1">
        <f aca="true" t="shared" si="69" ref="EY5:EY36">IF(AG5=0,0,IF(AG5&gt;EY$2,EY$4,EY$3))</f>
        <v>0.059350736407200004</v>
      </c>
      <c r="EZ5" s="1">
        <f aca="true" t="shared" si="70" ref="EZ5:EZ36">IF(AH5=0,0,IF(AH5&gt;EZ$2,EZ$4,EZ$3))</f>
        <v>0</v>
      </c>
      <c r="FA5" s="1">
        <f aca="true" t="shared" si="71" ref="FA5:FA36">IF(AI5=0,0,IF(AI5&gt;FA$2,FA$4,FA$3))</f>
        <v>0.10099701098903999</v>
      </c>
      <c r="FB5" s="1">
        <f aca="true" t="shared" si="72" ref="FB5:FB36">IF(AJ5=0,0,IF(AJ5&gt;FB$2,FB$4,FB$3))</f>
        <v>0</v>
      </c>
      <c r="FC5" s="1">
        <f aca="true" t="shared" si="73" ref="FC5:FC36">IF(AK5=0,0,IF(AK5&gt;FC$2,FC$4,FC$3))</f>
        <v>0</v>
      </c>
      <c r="FD5" s="1">
        <f aca="true" t="shared" si="74" ref="FD5:FD36">IF(AL5=0,0,IF(AL5&gt;FD$2,FD$4,FD$3))</f>
        <v>0</v>
      </c>
      <c r="FE5" s="1">
        <f aca="true" t="shared" si="75" ref="FE5:FE36">IF(AM5=0,0,IF(AM5&gt;FE$2,FE$4,FE$3))</f>
        <v>0.059350736407200004</v>
      </c>
      <c r="FF5" s="1">
        <f aca="true" t="shared" si="76" ref="FF5:FF36">IF(AN5=0,0,IF(AN5&gt;FF$2,FF$4,FF$3))</f>
        <v>0.059350736407200004</v>
      </c>
      <c r="FG5" s="1">
        <f aca="true" t="shared" si="77" ref="FG5:FG36">IF(AO5=0,0,IF(AO5&gt;FG$2,FG$4,FG$3))</f>
        <v>0</v>
      </c>
      <c r="FH5" s="1">
        <f aca="true" t="shared" si="78" ref="FH5:FH36">IF(AP5=0,0,IF(AP5&gt;FH$2,FH$4,FH$3))</f>
        <v>0</v>
      </c>
      <c r="FI5" s="1">
        <f aca="true" t="shared" si="79" ref="FI5:FI36">IF(AQ5=0,0,IF(AQ5&gt;FI$2,FI$4,FI$3))</f>
        <v>0</v>
      </c>
      <c r="FJ5" s="1">
        <f aca="true" t="shared" si="80" ref="FJ5:FJ36">IF(AR5=0,0,IF(AR5&gt;FJ$2,FJ$4,FJ$3))</f>
        <v>0</v>
      </c>
      <c r="FK5" s="1">
        <f aca="true" t="shared" si="81" ref="FK5:FK36">IF(AS5=0,0,IF(AS5&gt;FK$2,FK$4,FK$3))</f>
        <v>0</v>
      </c>
      <c r="FL5" s="1">
        <f aca="true" t="shared" si="82" ref="FL5:FL36">IF(AT5=0,0,IF(AT5&gt;FL$2,FL$4,FL$3))</f>
        <v>4.263919336981805</v>
      </c>
      <c r="FM5" s="1">
        <f aca="true" t="shared" si="83" ref="FM5:FM36">IF(AU5=0,0,IF(AU5&gt;FM$2,FM$4,FM$3))</f>
        <v>0.0057571153094400015</v>
      </c>
      <c r="FN5" s="1">
        <f aca="true" t="shared" si="84" ref="FN5:FN36">IF(O5=0,0,IF(O5&gt;FN$2,FN$4,FN$3))</f>
        <v>7.46760736344</v>
      </c>
      <c r="FO5" s="1">
        <f>IF(O5=0,0,SUM(EI5:FN5))</f>
        <v>13.630690758209969</v>
      </c>
    </row>
    <row r="6" spans="1:171" ht="12.75">
      <c r="A6" s="24">
        <v>37.5</v>
      </c>
      <c r="B6" s="25" t="s">
        <v>76</v>
      </c>
      <c r="C6" s="25" t="s">
        <v>77</v>
      </c>
      <c r="D6" s="26" t="s">
        <v>78</v>
      </c>
      <c r="E6" s="26">
        <v>1</v>
      </c>
      <c r="F6" s="26" t="s">
        <v>73</v>
      </c>
      <c r="G6" s="26" t="s">
        <v>74</v>
      </c>
      <c r="H6" s="26" t="s">
        <v>79</v>
      </c>
      <c r="I6" s="26">
        <v>3</v>
      </c>
      <c r="J6" s="26"/>
      <c r="K6" s="26">
        <f aca="true" t="shared" si="85" ref="K6:K69">IF(SUM(S6:AA6)&gt;0,1,0)</f>
        <v>0</v>
      </c>
      <c r="L6" s="26">
        <f aca="true" t="shared" si="86" ref="L6:L69">IF(AB6+AC6+AN6&gt;0,1,0)</f>
        <v>0</v>
      </c>
      <c r="M6" s="24">
        <v>320638</v>
      </c>
      <c r="N6" s="24">
        <v>810730</v>
      </c>
      <c r="O6" s="27">
        <f aca="true" t="shared" si="87" ref="O6:O69">IF(Q6&gt;0,P6,IF(R6&gt;0,R6,W6+AE6)*0.9)</f>
        <v>28000</v>
      </c>
      <c r="P6" s="28">
        <v>28000</v>
      </c>
      <c r="Q6" s="28">
        <v>32000</v>
      </c>
      <c r="R6" s="28">
        <v>0</v>
      </c>
      <c r="S6" s="29">
        <v>0</v>
      </c>
      <c r="T6" s="29">
        <v>0</v>
      </c>
      <c r="U6" s="29">
        <v>0</v>
      </c>
      <c r="V6" s="29">
        <v>0</v>
      </c>
      <c r="W6" s="28">
        <v>0</v>
      </c>
      <c r="X6" s="29">
        <v>0</v>
      </c>
      <c r="Y6" s="28">
        <v>0</v>
      </c>
      <c r="Z6" s="28">
        <v>0</v>
      </c>
      <c r="AA6" s="28">
        <v>0</v>
      </c>
      <c r="AB6" s="28">
        <v>0</v>
      </c>
      <c r="AC6" s="29">
        <v>0</v>
      </c>
      <c r="AD6" s="28">
        <v>0</v>
      </c>
      <c r="AE6" s="28">
        <v>0</v>
      </c>
      <c r="AF6" s="28">
        <v>0</v>
      </c>
      <c r="AG6" s="28">
        <v>0</v>
      </c>
      <c r="AH6" s="28">
        <v>0</v>
      </c>
      <c r="AI6" s="28">
        <v>0</v>
      </c>
      <c r="AJ6" s="28">
        <v>0</v>
      </c>
      <c r="AK6" s="28">
        <v>0</v>
      </c>
      <c r="AL6" s="28">
        <v>0</v>
      </c>
      <c r="AM6" s="30">
        <v>0</v>
      </c>
      <c r="AN6" s="31">
        <v>0</v>
      </c>
      <c r="AO6" s="30">
        <v>24000</v>
      </c>
      <c r="AP6" s="31">
        <v>0</v>
      </c>
      <c r="AQ6" s="31">
        <v>0</v>
      </c>
      <c r="AR6" s="31">
        <v>0</v>
      </c>
      <c r="AS6" s="31">
        <v>0</v>
      </c>
      <c r="AT6" s="31">
        <v>0</v>
      </c>
      <c r="AU6" s="30">
        <v>0</v>
      </c>
      <c r="AX6" s="2">
        <f t="shared" si="0"/>
        <v>7040</v>
      </c>
      <c r="AY6" s="32">
        <f t="shared" si="1"/>
        <v>6160</v>
      </c>
      <c r="AZ6" s="186">
        <f t="shared" si="2"/>
        <v>0.4714699130811074</v>
      </c>
      <c r="BA6" s="186">
        <f t="shared" si="3"/>
        <v>0.044133059267798765</v>
      </c>
      <c r="BB6" s="186">
        <f t="shared" si="4"/>
        <v>0.3212288661327347</v>
      </c>
      <c r="BC6" s="53">
        <f aca="true" t="shared" si="88" ref="BC6:BC69">P6</f>
        <v>28000</v>
      </c>
      <c r="BD6" s="53">
        <f t="shared" si="5"/>
        <v>3470.5355736095566</v>
      </c>
      <c r="BE6" s="53">
        <f t="shared" si="6"/>
        <v>324.86771247005396</v>
      </c>
      <c r="BF6" s="53">
        <f t="shared" si="7"/>
        <v>2364.596713920389</v>
      </c>
      <c r="BG6" s="53"/>
      <c r="BH6" s="53">
        <f aca="true" t="shared" si="89" ref="BH6:BH69">ROUNDUP(BC6/BH$3,0)+IF(P6=0,0,1)</f>
        <v>2</v>
      </c>
      <c r="BI6" s="53">
        <f aca="true" t="shared" si="90" ref="BI6:BI69">ROUNDUP(BD6/BI$3,0)+IF($AY6=0,0,2)</f>
        <v>3</v>
      </c>
      <c r="BJ6" s="53">
        <f aca="true" t="shared" si="91" ref="BJ6:BJ69">ROUNDUP(BE6/BJ$3,0)+IF($O6=0,0,2)</f>
        <v>3</v>
      </c>
      <c r="BK6" s="53">
        <f aca="true" t="shared" si="92" ref="BK6:BK69">ROUNDUP(BF6/BK$3,0)+IF($AY6=0,0,1)</f>
        <v>2</v>
      </c>
      <c r="BL6" s="53"/>
      <c r="BM6" s="53">
        <f aca="true" t="shared" si="93" ref="BM6:BM69">IF(H6="yes",0,ROUNDUP(BH6*$BM$3,0))</f>
        <v>0</v>
      </c>
      <c r="BN6" s="53">
        <f aca="true" t="shared" si="94" ref="BN6:BN69">ROUNDUP(BI6*BN$3,0)</f>
        <v>2</v>
      </c>
      <c r="BO6" s="53">
        <f aca="true" t="shared" si="95" ref="BO6:BO69">ROUNDUP(BJ6*BO$3,0)</f>
        <v>2</v>
      </c>
      <c r="BP6" s="53">
        <f aca="true" t="shared" si="96" ref="BP6:BP69">ROUNDUP(BK6*BP$3,0)</f>
        <v>0</v>
      </c>
      <c r="BQ6" s="53"/>
      <c r="BR6" s="53">
        <f aca="true" t="shared" si="97" ref="BR6:BR69">BR$3/2000*BM6</f>
        <v>0</v>
      </c>
      <c r="BS6" s="53">
        <f aca="true" t="shared" si="98" ref="BS6:BS69">BS$3/2000*BN6</f>
        <v>34.2</v>
      </c>
      <c r="BT6" s="53">
        <f aca="true" t="shared" si="99" ref="BT6:BT69">BT$3/2000*BO6</f>
        <v>11</v>
      </c>
      <c r="BU6" s="53">
        <f t="shared" si="8"/>
        <v>21696</v>
      </c>
      <c r="BV6" s="53"/>
      <c r="BW6" s="53">
        <f aca="true" t="shared" si="100" ref="BW6:BW37">SUM($BM6:$BO6)*BW$3</f>
        <v>10400</v>
      </c>
      <c r="BX6" s="53">
        <f aca="true" t="shared" si="101" ref="BX6:BX69">SUM($BM6:$BO6)*BX$3-BU6</f>
        <v>-19176</v>
      </c>
      <c r="BY6" s="53">
        <f t="shared" si="9"/>
        <v>-17695.273971635408</v>
      </c>
      <c r="BZ6" s="240">
        <f aca="true" t="shared" si="102" ref="BZ6:BZ69">BR6*BR$158+BS6*BS$158+BT6*BT$158</f>
        <v>5.2128000000000005</v>
      </c>
      <c r="CA6" s="217" t="s">
        <v>568</v>
      </c>
      <c r="CB6" s="217">
        <v>75000</v>
      </c>
      <c r="CC6" s="1">
        <f t="shared" si="10"/>
        <v>0</v>
      </c>
      <c r="CD6" s="195">
        <f t="shared" si="11"/>
        <v>2873.2</v>
      </c>
      <c r="CE6" s="195">
        <f t="shared" si="12"/>
        <v>2873.2</v>
      </c>
      <c r="CF6" s="239">
        <f t="shared" si="13"/>
        <v>1.45</v>
      </c>
      <c r="CG6" s="239">
        <f t="shared" si="13"/>
        <v>9.96</v>
      </c>
      <c r="CH6" s="1">
        <f aca="true" t="shared" si="103" ref="CH6:CH69">$BU$3*CG6</f>
        <v>4780.8</v>
      </c>
      <c r="CK6" s="211">
        <f t="shared" si="14"/>
        <v>0</v>
      </c>
      <c r="CL6" s="211">
        <f t="shared" si="15"/>
        <v>0</v>
      </c>
      <c r="CM6" s="211">
        <f t="shared" si="16"/>
        <v>0</v>
      </c>
      <c r="CQ6" s="1">
        <f aca="true" t="shared" si="104" ref="CQ6:CQ69">IF(EE6&lt;10,0,1)</f>
        <v>1</v>
      </c>
      <c r="CR6" s="195">
        <f t="shared" si="17"/>
        <v>10000</v>
      </c>
      <c r="CS6" s="195"/>
      <c r="CT6" s="195"/>
      <c r="CV6" s="199">
        <f t="shared" si="18"/>
        <v>16.256282334068576</v>
      </c>
      <c r="CW6" s="199">
        <f t="shared" si="19"/>
        <v>0</v>
      </c>
      <c r="CX6" s="199">
        <f t="shared" si="20"/>
        <v>0</v>
      </c>
      <c r="CY6" s="199">
        <f t="shared" si="21"/>
        <v>0</v>
      </c>
      <c r="CZ6" s="199">
        <f t="shared" si="22"/>
        <v>0</v>
      </c>
      <c r="DA6" s="199">
        <f t="shared" si="23"/>
        <v>0</v>
      </c>
      <c r="DB6" s="199">
        <f t="shared" si="24"/>
        <v>0</v>
      </c>
      <c r="DC6" s="199">
        <f t="shared" si="25"/>
        <v>0</v>
      </c>
      <c r="DD6" s="199">
        <f t="shared" si="26"/>
        <v>0</v>
      </c>
      <c r="DE6" s="199">
        <f t="shared" si="27"/>
        <v>0</v>
      </c>
      <c r="DF6" s="199">
        <f t="shared" si="28"/>
        <v>0</v>
      </c>
      <c r="DG6" s="199">
        <f t="shared" si="29"/>
        <v>0</v>
      </c>
      <c r="DH6" s="199">
        <f t="shared" si="30"/>
        <v>0</v>
      </c>
      <c r="DI6" s="199">
        <f t="shared" si="31"/>
        <v>0</v>
      </c>
      <c r="DJ6" s="199">
        <f t="shared" si="32"/>
        <v>0</v>
      </c>
      <c r="DK6" s="199">
        <f t="shared" si="33"/>
        <v>0</v>
      </c>
      <c r="DL6" s="199">
        <f t="shared" si="34"/>
        <v>0</v>
      </c>
      <c r="DM6" s="199">
        <f t="shared" si="35"/>
        <v>0</v>
      </c>
      <c r="DN6" s="199">
        <f t="shared" si="36"/>
        <v>0</v>
      </c>
      <c r="DO6" s="199">
        <f t="shared" si="37"/>
        <v>0</v>
      </c>
      <c r="DP6" s="199">
        <f t="shared" si="38"/>
        <v>0</v>
      </c>
      <c r="DQ6" s="199">
        <f t="shared" si="39"/>
        <v>0</v>
      </c>
      <c r="DR6" s="199">
        <f t="shared" si="40"/>
        <v>0</v>
      </c>
      <c r="DS6" s="199">
        <f t="shared" si="41"/>
        <v>0</v>
      </c>
      <c r="DT6" s="199">
        <f t="shared" si="42"/>
        <v>68.86897934630038</v>
      </c>
      <c r="DU6" s="199">
        <f t="shared" si="43"/>
        <v>0</v>
      </c>
      <c r="DV6" s="199">
        <f t="shared" si="44"/>
        <v>0</v>
      </c>
      <c r="DW6" s="199">
        <f t="shared" si="45"/>
        <v>0</v>
      </c>
      <c r="DX6" s="199">
        <f t="shared" si="46"/>
        <v>0</v>
      </c>
      <c r="DY6" s="199">
        <f t="shared" si="47"/>
        <v>0</v>
      </c>
      <c r="DZ6" s="199">
        <f t="shared" si="48"/>
        <v>0</v>
      </c>
      <c r="EA6" s="199">
        <f t="shared" si="49"/>
        <v>3.576382113495087</v>
      </c>
      <c r="EB6" s="199">
        <f t="shared" si="50"/>
        <v>1.0714198034890716</v>
      </c>
      <c r="EC6" s="202">
        <f t="shared" si="51"/>
        <v>89.77306359735312</v>
      </c>
      <c r="ED6" s="202">
        <f>SUM(CV6:DI6,DS6:DT6,DW6,DY6,EA6:EB6)</f>
        <v>89.77306359735312</v>
      </c>
      <c r="EE6" s="203">
        <f t="shared" si="52"/>
        <v>14.86039374740766</v>
      </c>
      <c r="EF6" s="199"/>
      <c r="EH6" s="256" t="s">
        <v>80</v>
      </c>
      <c r="EI6" s="1">
        <f t="shared" si="53"/>
        <v>0.18495710758393283</v>
      </c>
      <c r="EJ6" s="1">
        <f t="shared" si="54"/>
        <v>0</v>
      </c>
      <c r="EK6" s="1">
        <f t="shared" si="55"/>
        <v>0</v>
      </c>
      <c r="EL6" s="1">
        <f t="shared" si="56"/>
        <v>0</v>
      </c>
      <c r="EM6" s="1">
        <f t="shared" si="57"/>
        <v>0</v>
      </c>
      <c r="EN6" s="1">
        <f t="shared" si="58"/>
        <v>0</v>
      </c>
      <c r="EO6" s="1">
        <f t="shared" si="59"/>
        <v>0</v>
      </c>
      <c r="EP6" s="1">
        <f t="shared" si="60"/>
        <v>0</v>
      </c>
      <c r="EQ6" s="1">
        <f t="shared" si="61"/>
        <v>0</v>
      </c>
      <c r="ER6" s="1">
        <f t="shared" si="62"/>
        <v>0</v>
      </c>
      <c r="ES6" s="1">
        <f t="shared" si="63"/>
        <v>0</v>
      </c>
      <c r="ET6" s="1">
        <f t="shared" si="64"/>
        <v>0</v>
      </c>
      <c r="EU6" s="1">
        <f t="shared" si="65"/>
        <v>0</v>
      </c>
      <c r="EV6" s="1">
        <f t="shared" si="66"/>
        <v>0</v>
      </c>
      <c r="EW6" s="1">
        <f t="shared" si="67"/>
        <v>0</v>
      </c>
      <c r="EX6" s="1">
        <f t="shared" si="68"/>
        <v>0</v>
      </c>
      <c r="EY6" s="1">
        <f t="shared" si="69"/>
        <v>0</v>
      </c>
      <c r="EZ6" s="1">
        <f t="shared" si="70"/>
        <v>0</v>
      </c>
      <c r="FA6" s="1">
        <f t="shared" si="71"/>
        <v>0</v>
      </c>
      <c r="FB6" s="1">
        <f t="shared" si="72"/>
        <v>0</v>
      </c>
      <c r="FC6" s="1">
        <f t="shared" si="73"/>
        <v>0</v>
      </c>
      <c r="FD6" s="1">
        <f t="shared" si="74"/>
        <v>0</v>
      </c>
      <c r="FE6" s="1">
        <f t="shared" si="75"/>
        <v>0</v>
      </c>
      <c r="FF6" s="1">
        <f t="shared" si="76"/>
        <v>0</v>
      </c>
      <c r="FG6" s="1">
        <f t="shared" si="77"/>
        <v>0.059350736407200004</v>
      </c>
      <c r="FH6" s="1">
        <f t="shared" si="78"/>
        <v>0</v>
      </c>
      <c r="FI6" s="1">
        <f t="shared" si="79"/>
        <v>0</v>
      </c>
      <c r="FJ6" s="1">
        <f t="shared" si="80"/>
        <v>0</v>
      </c>
      <c r="FK6" s="1">
        <f t="shared" si="81"/>
        <v>0</v>
      </c>
      <c r="FL6" s="1">
        <f t="shared" si="82"/>
        <v>0</v>
      </c>
      <c r="FM6" s="1">
        <f t="shared" si="83"/>
        <v>0</v>
      </c>
      <c r="FN6" s="1">
        <f t="shared" si="84"/>
        <v>4.472293968912</v>
      </c>
      <c r="FO6" s="1">
        <f>IF(O6=0,0,SUM(EI6:FN6))</f>
        <v>4.716601812903133</v>
      </c>
    </row>
    <row r="7" spans="1:171" ht="12.75">
      <c r="A7" s="24">
        <v>87</v>
      </c>
      <c r="B7" s="25" t="s">
        <v>81</v>
      </c>
      <c r="C7" s="25" t="s">
        <v>82</v>
      </c>
      <c r="D7" s="26" t="s">
        <v>83</v>
      </c>
      <c r="E7" s="26">
        <v>1</v>
      </c>
      <c r="F7" s="26" t="s">
        <v>73</v>
      </c>
      <c r="G7" s="26" t="s">
        <v>74</v>
      </c>
      <c r="H7" s="26" t="s">
        <v>75</v>
      </c>
      <c r="I7" s="26">
        <v>3</v>
      </c>
      <c r="J7" s="26"/>
      <c r="K7" s="26">
        <f t="shared" si="85"/>
        <v>1</v>
      </c>
      <c r="L7" s="26">
        <f t="shared" si="86"/>
        <v>0</v>
      </c>
      <c r="M7" s="24">
        <v>403345</v>
      </c>
      <c r="N7" s="24">
        <v>741440</v>
      </c>
      <c r="O7" s="27">
        <f>IF(Q7&gt;0,P7,IF(R7&gt;0,R7,W7+AE7)*0.9)</f>
        <v>58500</v>
      </c>
      <c r="P7" s="28">
        <v>0</v>
      </c>
      <c r="Q7" s="28">
        <v>0</v>
      </c>
      <c r="R7" s="28">
        <v>0</v>
      </c>
      <c r="S7" s="29">
        <v>0</v>
      </c>
      <c r="T7" s="29">
        <v>0</v>
      </c>
      <c r="U7" s="29">
        <v>0</v>
      </c>
      <c r="V7" s="29">
        <v>0</v>
      </c>
      <c r="W7" s="28">
        <v>65000</v>
      </c>
      <c r="X7" s="29">
        <v>0</v>
      </c>
      <c r="Y7" s="28">
        <v>0</v>
      </c>
      <c r="Z7" s="28">
        <v>0</v>
      </c>
      <c r="AA7" s="28">
        <v>0</v>
      </c>
      <c r="AB7" s="28">
        <v>0</v>
      </c>
      <c r="AC7" s="29">
        <v>0</v>
      </c>
      <c r="AD7" s="28">
        <v>0</v>
      </c>
      <c r="AE7" s="28">
        <v>0</v>
      </c>
      <c r="AF7" s="28">
        <v>0</v>
      </c>
      <c r="AG7" s="28">
        <v>0</v>
      </c>
      <c r="AH7" s="28">
        <v>0</v>
      </c>
      <c r="AI7" s="28">
        <v>0</v>
      </c>
      <c r="AJ7" s="28">
        <v>0</v>
      </c>
      <c r="AK7" s="28">
        <v>0</v>
      </c>
      <c r="AL7" s="28">
        <v>18000</v>
      </c>
      <c r="AM7" s="30">
        <v>7000</v>
      </c>
      <c r="AN7" s="31">
        <v>0</v>
      </c>
      <c r="AO7" s="30">
        <v>0</v>
      </c>
      <c r="AP7" s="31">
        <v>0</v>
      </c>
      <c r="AQ7" s="31">
        <v>0</v>
      </c>
      <c r="AR7" s="31">
        <v>0</v>
      </c>
      <c r="AS7" s="31">
        <v>0</v>
      </c>
      <c r="AT7" s="31">
        <v>0</v>
      </c>
      <c r="AU7" s="30">
        <v>10</v>
      </c>
      <c r="AX7" s="2">
        <f t="shared" si="0"/>
        <v>46000</v>
      </c>
      <c r="AY7" s="32">
        <f t="shared" si="1"/>
        <v>41400</v>
      </c>
      <c r="AZ7" s="186">
        <f t="shared" si="2"/>
        <v>0.4714699130811074</v>
      </c>
      <c r="BA7" s="186">
        <f t="shared" si="3"/>
        <v>0.044133059267798765</v>
      </c>
      <c r="BB7" s="186">
        <f t="shared" si="4"/>
        <v>0.3212288661327347</v>
      </c>
      <c r="BC7" s="53">
        <f t="shared" si="88"/>
        <v>0</v>
      </c>
      <c r="BD7" s="53">
        <f t="shared" si="5"/>
        <v>23324.703368090206</v>
      </c>
      <c r="BE7" s="53">
        <f t="shared" si="6"/>
        <v>2183.3641714708174</v>
      </c>
      <c r="BF7" s="53">
        <f t="shared" si="7"/>
        <v>15891.932460438979</v>
      </c>
      <c r="BG7" s="53"/>
      <c r="BH7" s="53">
        <f t="shared" si="89"/>
        <v>0</v>
      </c>
      <c r="BI7" s="53">
        <f t="shared" si="90"/>
        <v>4</v>
      </c>
      <c r="BJ7" s="53">
        <f t="shared" si="91"/>
        <v>3</v>
      </c>
      <c r="BK7" s="53">
        <f t="shared" si="92"/>
        <v>3</v>
      </c>
      <c r="BL7" s="53"/>
      <c r="BM7" s="53">
        <f t="shared" si="93"/>
        <v>0</v>
      </c>
      <c r="BN7" s="53">
        <f t="shared" si="94"/>
        <v>2</v>
      </c>
      <c r="BO7" s="53">
        <f t="shared" si="95"/>
        <v>2</v>
      </c>
      <c r="BP7" s="53">
        <f t="shared" si="96"/>
        <v>0</v>
      </c>
      <c r="BQ7" s="53"/>
      <c r="BR7" s="53">
        <f t="shared" si="97"/>
        <v>0</v>
      </c>
      <c r="BS7" s="53">
        <f t="shared" si="98"/>
        <v>34.2</v>
      </c>
      <c r="BT7" s="53">
        <f t="shared" si="99"/>
        <v>11</v>
      </c>
      <c r="BU7" s="53">
        <f t="shared" si="8"/>
        <v>21696</v>
      </c>
      <c r="BV7" s="53"/>
      <c r="BW7" s="53">
        <f t="shared" si="100"/>
        <v>10400</v>
      </c>
      <c r="BX7" s="53">
        <f t="shared" si="101"/>
        <v>-19176</v>
      </c>
      <c r="BY7" s="53">
        <f t="shared" si="9"/>
        <v>-17695.273971635408</v>
      </c>
      <c r="BZ7" s="240">
        <f t="shared" si="102"/>
        <v>5.2128000000000005</v>
      </c>
      <c r="CA7" s="217" t="s">
        <v>569</v>
      </c>
      <c r="CB7" s="217">
        <v>200000</v>
      </c>
      <c r="CC7" s="1">
        <f t="shared" si="10"/>
        <v>0</v>
      </c>
      <c r="CD7" s="195">
        <f t="shared" si="11"/>
        <v>2873.2</v>
      </c>
      <c r="CE7" s="195">
        <f t="shared" si="12"/>
        <v>2873.2</v>
      </c>
      <c r="CF7" s="239">
        <f t="shared" si="13"/>
        <v>1.45</v>
      </c>
      <c r="CG7" s="239">
        <f t="shared" si="13"/>
        <v>9.96</v>
      </c>
      <c r="CH7" s="1">
        <f t="shared" si="103"/>
        <v>4780.8</v>
      </c>
      <c r="CK7" s="211">
        <f t="shared" si="14"/>
        <v>0</v>
      </c>
      <c r="CL7" s="211">
        <f t="shared" si="15"/>
        <v>0</v>
      </c>
      <c r="CM7" s="211">
        <f t="shared" si="16"/>
        <v>0</v>
      </c>
      <c r="CQ7" s="1">
        <f t="shared" si="104"/>
        <v>0</v>
      </c>
      <c r="CR7" s="195">
        <f t="shared" si="17"/>
        <v>0</v>
      </c>
      <c r="CS7" s="195"/>
      <c r="CT7" s="195"/>
      <c r="CV7" s="199">
        <f t="shared" si="18"/>
        <v>0</v>
      </c>
      <c r="CW7" s="199">
        <f t="shared" si="19"/>
        <v>0</v>
      </c>
      <c r="CX7" s="199">
        <f t="shared" si="20"/>
        <v>0</v>
      </c>
      <c r="CY7" s="199">
        <f t="shared" si="21"/>
        <v>0</v>
      </c>
      <c r="CZ7" s="199">
        <f t="shared" si="22"/>
        <v>0</v>
      </c>
      <c r="DA7" s="199">
        <f t="shared" si="23"/>
        <v>0</v>
      </c>
      <c r="DB7" s="199">
        <f t="shared" si="24"/>
        <v>16.91694405454181</v>
      </c>
      <c r="DC7" s="199">
        <f t="shared" si="25"/>
        <v>0</v>
      </c>
      <c r="DD7" s="199">
        <f t="shared" si="26"/>
        <v>0</v>
      </c>
      <c r="DE7" s="199">
        <f t="shared" si="27"/>
        <v>0</v>
      </c>
      <c r="DF7" s="199">
        <f t="shared" si="28"/>
        <v>0</v>
      </c>
      <c r="DG7" s="199">
        <f t="shared" si="29"/>
        <v>0</v>
      </c>
      <c r="DH7" s="199">
        <f t="shared" si="30"/>
        <v>0</v>
      </c>
      <c r="DI7" s="199">
        <f t="shared" si="31"/>
        <v>0</v>
      </c>
      <c r="DJ7" s="199">
        <f t="shared" si="32"/>
        <v>0</v>
      </c>
      <c r="DK7" s="199">
        <f t="shared" si="33"/>
        <v>0</v>
      </c>
      <c r="DL7" s="199">
        <f t="shared" si="34"/>
        <v>0</v>
      </c>
      <c r="DM7" s="199">
        <f t="shared" si="35"/>
        <v>0</v>
      </c>
      <c r="DN7" s="199">
        <f t="shared" si="36"/>
        <v>0</v>
      </c>
      <c r="DO7" s="199">
        <f t="shared" si="37"/>
        <v>0</v>
      </c>
      <c r="DP7" s="199">
        <f t="shared" si="38"/>
        <v>0</v>
      </c>
      <c r="DQ7" s="199">
        <f t="shared" si="39"/>
        <v>2.4594634048526167</v>
      </c>
      <c r="DR7" s="199">
        <f t="shared" si="40"/>
        <v>1.0510527371165028</v>
      </c>
      <c r="DS7" s="199">
        <f t="shared" si="41"/>
        <v>0</v>
      </c>
      <c r="DT7" s="199">
        <f t="shared" si="42"/>
        <v>0</v>
      </c>
      <c r="DU7" s="199">
        <f t="shared" si="43"/>
        <v>0</v>
      </c>
      <c r="DV7" s="199">
        <f t="shared" si="44"/>
        <v>0</v>
      </c>
      <c r="DW7" s="199">
        <f t="shared" si="45"/>
        <v>0</v>
      </c>
      <c r="DX7" s="199">
        <f t="shared" si="46"/>
        <v>0</v>
      </c>
      <c r="DY7" s="199">
        <f t="shared" si="47"/>
        <v>0</v>
      </c>
      <c r="DZ7" s="199">
        <f t="shared" si="48"/>
        <v>0.0006473150190495289</v>
      </c>
      <c r="EA7" s="199">
        <f t="shared" si="49"/>
        <v>24.036074593944253</v>
      </c>
      <c r="EB7" s="199">
        <f t="shared" si="50"/>
        <v>3.1333383597353115</v>
      </c>
      <c r="EC7" s="202">
        <f t="shared" si="51"/>
        <v>47.59752046520954</v>
      </c>
      <c r="ED7" s="202">
        <f>SUM(CV7:DI7,DS7:DT7,DW7,DY7,EA7:EB7)</f>
        <v>44.08635700822138</v>
      </c>
      <c r="EE7" s="203">
        <f t="shared" si="52"/>
        <v>7.297741636281543</v>
      </c>
      <c r="EF7" s="199"/>
      <c r="EH7" s="256"/>
      <c r="EI7" s="1">
        <f t="shared" si="53"/>
        <v>0</v>
      </c>
      <c r="EJ7" s="1">
        <f t="shared" si="54"/>
        <v>0</v>
      </c>
      <c r="EK7" s="1">
        <f t="shared" si="55"/>
        <v>0</v>
      </c>
      <c r="EL7" s="1">
        <f t="shared" si="56"/>
        <v>0</v>
      </c>
      <c r="EM7" s="1">
        <f t="shared" si="57"/>
        <v>0</v>
      </c>
      <c r="EN7" s="1">
        <f t="shared" si="58"/>
        <v>0</v>
      </c>
      <c r="EO7" s="1">
        <f t="shared" si="59"/>
        <v>0.2644897670328</v>
      </c>
      <c r="EP7" s="1">
        <f t="shared" si="60"/>
        <v>0</v>
      </c>
      <c r="EQ7" s="1">
        <f t="shared" si="61"/>
        <v>0</v>
      </c>
      <c r="ER7" s="1">
        <f t="shared" si="62"/>
        <v>0</v>
      </c>
      <c r="ES7" s="1">
        <f t="shared" si="63"/>
        <v>0</v>
      </c>
      <c r="ET7" s="1">
        <f t="shared" si="64"/>
        <v>0</v>
      </c>
      <c r="EU7" s="1">
        <f t="shared" si="65"/>
        <v>0</v>
      </c>
      <c r="EV7" s="1">
        <f t="shared" si="66"/>
        <v>0</v>
      </c>
      <c r="EW7" s="1">
        <f t="shared" si="67"/>
        <v>0</v>
      </c>
      <c r="EX7" s="1">
        <f t="shared" si="68"/>
        <v>0</v>
      </c>
      <c r="EY7" s="1">
        <f t="shared" si="69"/>
        <v>0</v>
      </c>
      <c r="EZ7" s="1">
        <f t="shared" si="70"/>
        <v>0</v>
      </c>
      <c r="FA7" s="1">
        <f t="shared" si="71"/>
        <v>0</v>
      </c>
      <c r="FB7" s="1">
        <f t="shared" si="72"/>
        <v>0</v>
      </c>
      <c r="FC7" s="1">
        <f t="shared" si="73"/>
        <v>0</v>
      </c>
      <c r="FD7" s="1">
        <f t="shared" si="74"/>
        <v>0.059350736407200004</v>
      </c>
      <c r="FE7" s="1">
        <f t="shared" si="75"/>
        <v>0.059350736407200004</v>
      </c>
      <c r="FF7" s="1">
        <f t="shared" si="76"/>
        <v>0</v>
      </c>
      <c r="FG7" s="1">
        <f t="shared" si="77"/>
        <v>0</v>
      </c>
      <c r="FH7" s="1">
        <f t="shared" si="78"/>
        <v>0</v>
      </c>
      <c r="FI7" s="1">
        <f t="shared" si="79"/>
        <v>0</v>
      </c>
      <c r="FJ7" s="1">
        <f t="shared" si="80"/>
        <v>0</v>
      </c>
      <c r="FK7" s="1">
        <f t="shared" si="81"/>
        <v>0</v>
      </c>
      <c r="FL7" s="1">
        <f t="shared" si="82"/>
        <v>0</v>
      </c>
      <c r="FM7" s="1">
        <f t="shared" si="83"/>
        <v>0.0034234991863440005</v>
      </c>
      <c r="FN7" s="1">
        <f t="shared" si="84"/>
        <v>7.46760736344</v>
      </c>
      <c r="FO7" s="1">
        <f>IF(O7=0,0,SUM(EI7:FN7))</f>
        <v>7.854222102473544</v>
      </c>
    </row>
    <row r="8" spans="1:171" ht="12.75">
      <c r="A8" s="24">
        <v>87.3</v>
      </c>
      <c r="B8" s="25" t="s">
        <v>84</v>
      </c>
      <c r="C8" s="25" t="s">
        <v>85</v>
      </c>
      <c r="D8" s="26" t="s">
        <v>83</v>
      </c>
      <c r="E8" s="26">
        <v>1</v>
      </c>
      <c r="F8" s="26" t="s">
        <v>73</v>
      </c>
      <c r="G8" s="26" t="s">
        <v>74</v>
      </c>
      <c r="H8" s="26" t="s">
        <v>79</v>
      </c>
      <c r="I8" s="26">
        <v>3</v>
      </c>
      <c r="J8" s="26"/>
      <c r="K8" s="26">
        <f t="shared" si="85"/>
        <v>0</v>
      </c>
      <c r="L8" s="26">
        <f t="shared" si="86"/>
        <v>0</v>
      </c>
      <c r="M8" s="24">
        <v>403250</v>
      </c>
      <c r="N8" s="24">
        <v>741610</v>
      </c>
      <c r="O8" s="27">
        <f t="shared" si="87"/>
        <v>80000</v>
      </c>
      <c r="P8" s="28">
        <v>80000</v>
      </c>
      <c r="Q8" s="28">
        <v>83000</v>
      </c>
      <c r="R8" s="28">
        <v>47000</v>
      </c>
      <c r="S8" s="29">
        <v>0</v>
      </c>
      <c r="T8" s="29">
        <v>0</v>
      </c>
      <c r="U8" s="29">
        <v>0</v>
      </c>
      <c r="V8" s="29">
        <v>0</v>
      </c>
      <c r="W8" s="28">
        <v>0</v>
      </c>
      <c r="X8" s="29">
        <v>0</v>
      </c>
      <c r="Y8" s="28">
        <v>0</v>
      </c>
      <c r="Z8" s="28">
        <v>0</v>
      </c>
      <c r="AA8" s="28">
        <v>0</v>
      </c>
      <c r="AB8" s="28">
        <v>0</v>
      </c>
      <c r="AC8" s="29">
        <v>0</v>
      </c>
      <c r="AD8" s="28">
        <v>0</v>
      </c>
      <c r="AE8" s="28">
        <v>0</v>
      </c>
      <c r="AF8" s="28">
        <v>0</v>
      </c>
      <c r="AG8" s="28">
        <v>0</v>
      </c>
      <c r="AH8" s="28">
        <v>0</v>
      </c>
      <c r="AI8" s="28">
        <v>0</v>
      </c>
      <c r="AJ8" s="28">
        <v>0</v>
      </c>
      <c r="AK8" s="28">
        <v>0</v>
      </c>
      <c r="AL8" s="28">
        <v>0</v>
      </c>
      <c r="AM8" s="30">
        <v>0</v>
      </c>
      <c r="AN8" s="31">
        <v>0</v>
      </c>
      <c r="AO8" s="30">
        <v>35000</v>
      </c>
      <c r="AP8" s="31">
        <v>0</v>
      </c>
      <c r="AQ8" s="31">
        <v>0</v>
      </c>
      <c r="AR8" s="31">
        <v>0</v>
      </c>
      <c r="AS8" s="31">
        <v>0</v>
      </c>
      <c r="AT8" s="31">
        <v>0</v>
      </c>
      <c r="AU8" s="30">
        <v>0</v>
      </c>
      <c r="AX8" s="2">
        <f t="shared" si="0"/>
        <v>42240</v>
      </c>
      <c r="AY8" s="32">
        <f t="shared" si="1"/>
        <v>40713.25301204819</v>
      </c>
      <c r="AZ8" s="186">
        <f t="shared" si="2"/>
        <v>0.4714699130811074</v>
      </c>
      <c r="BA8" s="186">
        <f t="shared" si="3"/>
        <v>0.044133059267798765</v>
      </c>
      <c r="BB8" s="186">
        <f t="shared" si="4"/>
        <v>0.3212288661327347</v>
      </c>
      <c r="BC8" s="53">
        <f t="shared" si="88"/>
        <v>80000</v>
      </c>
      <c r="BD8" s="53">
        <f t="shared" si="5"/>
        <v>22937.791054493457</v>
      </c>
      <c r="BE8" s="53">
        <f t="shared" si="6"/>
        <v>2147.146326824453</v>
      </c>
      <c r="BF8" s="53">
        <f t="shared" si="7"/>
        <v>15628.315630730282</v>
      </c>
      <c r="BG8" s="53"/>
      <c r="BH8" s="53">
        <f t="shared" si="89"/>
        <v>4</v>
      </c>
      <c r="BI8" s="53">
        <f t="shared" si="90"/>
        <v>4</v>
      </c>
      <c r="BJ8" s="53">
        <f t="shared" si="91"/>
        <v>3</v>
      </c>
      <c r="BK8" s="53">
        <f t="shared" si="92"/>
        <v>3</v>
      </c>
      <c r="BL8" s="53"/>
      <c r="BM8" s="53">
        <f t="shared" si="93"/>
        <v>0</v>
      </c>
      <c r="BN8" s="53">
        <f t="shared" si="94"/>
        <v>2</v>
      </c>
      <c r="BO8" s="53">
        <f t="shared" si="95"/>
        <v>2</v>
      </c>
      <c r="BP8" s="53">
        <f t="shared" si="96"/>
        <v>0</v>
      </c>
      <c r="BQ8" s="53"/>
      <c r="BR8" s="53">
        <f t="shared" si="97"/>
        <v>0</v>
      </c>
      <c r="BS8" s="53">
        <f t="shared" si="98"/>
        <v>34.2</v>
      </c>
      <c r="BT8" s="53">
        <f t="shared" si="99"/>
        <v>11</v>
      </c>
      <c r="BU8" s="53">
        <f t="shared" si="8"/>
        <v>21696</v>
      </c>
      <c r="BV8" s="53"/>
      <c r="BW8" s="53">
        <f t="shared" si="100"/>
        <v>10400</v>
      </c>
      <c r="BX8" s="53">
        <f t="shared" si="101"/>
        <v>-19176</v>
      </c>
      <c r="BY8" s="53">
        <f t="shared" si="9"/>
        <v>-17695.273971635408</v>
      </c>
      <c r="BZ8" s="240">
        <f t="shared" si="102"/>
        <v>5.2128000000000005</v>
      </c>
      <c r="CA8" s="217" t="s">
        <v>590</v>
      </c>
      <c r="CB8" s="217">
        <v>0</v>
      </c>
      <c r="CC8" s="1">
        <f t="shared" si="10"/>
        <v>0</v>
      </c>
      <c r="CD8" s="195">
        <f t="shared" si="11"/>
        <v>5746.4</v>
      </c>
      <c r="CE8" s="195">
        <f t="shared" si="12"/>
        <v>5746.4</v>
      </c>
      <c r="CF8" s="239">
        <f t="shared" si="13"/>
        <v>2.9</v>
      </c>
      <c r="CG8" s="239">
        <f t="shared" si="13"/>
        <v>19.92</v>
      </c>
      <c r="CH8" s="1">
        <f t="shared" si="103"/>
        <v>9561.6</v>
      </c>
      <c r="CI8" s="217" t="s">
        <v>613</v>
      </c>
      <c r="CJ8" s="218">
        <v>0</v>
      </c>
      <c r="CK8" s="211">
        <f t="shared" si="14"/>
        <v>0</v>
      </c>
      <c r="CL8" s="211">
        <f t="shared" si="15"/>
        <v>0</v>
      </c>
      <c r="CM8" s="211">
        <f t="shared" si="16"/>
        <v>0</v>
      </c>
      <c r="CQ8" s="1">
        <f t="shared" si="104"/>
        <v>1</v>
      </c>
      <c r="CR8" s="195">
        <f t="shared" si="17"/>
        <v>10000</v>
      </c>
      <c r="CS8" s="195"/>
      <c r="CT8" s="195"/>
      <c r="CV8" s="199">
        <f t="shared" si="18"/>
        <v>42.16473230399037</v>
      </c>
      <c r="CW8" s="199">
        <f t="shared" si="19"/>
        <v>14.114136755564466</v>
      </c>
      <c r="CX8" s="199">
        <f t="shared" si="20"/>
        <v>0</v>
      </c>
      <c r="CY8" s="199">
        <f t="shared" si="21"/>
        <v>0</v>
      </c>
      <c r="CZ8" s="199">
        <f t="shared" si="22"/>
        <v>0</v>
      </c>
      <c r="DA8" s="199">
        <f t="shared" si="23"/>
        <v>0</v>
      </c>
      <c r="DB8" s="199">
        <f t="shared" si="24"/>
        <v>0</v>
      </c>
      <c r="DC8" s="199">
        <f t="shared" si="25"/>
        <v>0</v>
      </c>
      <c r="DD8" s="199">
        <f t="shared" si="26"/>
        <v>0</v>
      </c>
      <c r="DE8" s="199">
        <f t="shared" si="27"/>
        <v>0</v>
      </c>
      <c r="DF8" s="199">
        <f t="shared" si="28"/>
        <v>0</v>
      </c>
      <c r="DG8" s="199">
        <f t="shared" si="29"/>
        <v>0</v>
      </c>
      <c r="DH8" s="199">
        <f t="shared" si="30"/>
        <v>0</v>
      </c>
      <c r="DI8" s="199">
        <f t="shared" si="31"/>
        <v>0</v>
      </c>
      <c r="DJ8" s="199">
        <f t="shared" si="32"/>
        <v>0</v>
      </c>
      <c r="DK8" s="199">
        <f t="shared" si="33"/>
        <v>0</v>
      </c>
      <c r="DL8" s="199">
        <f t="shared" si="34"/>
        <v>0</v>
      </c>
      <c r="DM8" s="199">
        <f t="shared" si="35"/>
        <v>0</v>
      </c>
      <c r="DN8" s="199">
        <f t="shared" si="36"/>
        <v>0</v>
      </c>
      <c r="DO8" s="199">
        <f t="shared" si="37"/>
        <v>0</v>
      </c>
      <c r="DP8" s="199">
        <f t="shared" si="38"/>
        <v>0</v>
      </c>
      <c r="DQ8" s="199">
        <f t="shared" si="39"/>
        <v>0</v>
      </c>
      <c r="DR8" s="199">
        <f t="shared" si="40"/>
        <v>0</v>
      </c>
      <c r="DS8" s="199">
        <f t="shared" si="41"/>
        <v>0</v>
      </c>
      <c r="DT8" s="199">
        <f t="shared" si="42"/>
        <v>100.4339282133547</v>
      </c>
      <c r="DU8" s="199">
        <f t="shared" si="43"/>
        <v>0</v>
      </c>
      <c r="DV8" s="199">
        <f t="shared" si="44"/>
        <v>0</v>
      </c>
      <c r="DW8" s="199">
        <f t="shared" si="45"/>
        <v>0</v>
      </c>
      <c r="DX8" s="199">
        <f t="shared" si="46"/>
        <v>0</v>
      </c>
      <c r="DY8" s="199">
        <f t="shared" si="47"/>
        <v>0</v>
      </c>
      <c r="DZ8" s="199">
        <f t="shared" si="48"/>
        <v>0</v>
      </c>
      <c r="EA8" s="199">
        <f t="shared" si="49"/>
        <v>23.637361989365115</v>
      </c>
      <c r="EB8" s="199">
        <f t="shared" si="50"/>
        <v>3.786140802713561</v>
      </c>
      <c r="EC8" s="202">
        <f t="shared" si="51"/>
        <v>184.1363000649882</v>
      </c>
      <c r="ED8" s="202">
        <f>SUM(CV8:DI8,DS8:DT8,DW8,DY8,EA8:EB8)</f>
        <v>184.1363000649882</v>
      </c>
      <c r="EE8" s="203">
        <f t="shared" si="52"/>
        <v>30.48061202889827</v>
      </c>
      <c r="EF8" s="199"/>
      <c r="EH8" s="256"/>
      <c r="EI8" s="1">
        <f t="shared" si="53"/>
        <v>0.5699766927982697</v>
      </c>
      <c r="EJ8" s="1">
        <f t="shared" si="54"/>
        <v>0.010606863429336002</v>
      </c>
      <c r="EK8" s="1">
        <f t="shared" si="55"/>
        <v>0</v>
      </c>
      <c r="EL8" s="1">
        <f t="shared" si="56"/>
        <v>0</v>
      </c>
      <c r="EM8" s="1">
        <f t="shared" si="57"/>
        <v>0</v>
      </c>
      <c r="EN8" s="1">
        <f t="shared" si="58"/>
        <v>0</v>
      </c>
      <c r="EO8" s="1">
        <f t="shared" si="59"/>
        <v>0</v>
      </c>
      <c r="EP8" s="1">
        <f t="shared" si="60"/>
        <v>0</v>
      </c>
      <c r="EQ8" s="1">
        <f t="shared" si="61"/>
        <v>0</v>
      </c>
      <c r="ER8" s="1">
        <f t="shared" si="62"/>
        <v>0</v>
      </c>
      <c r="ES8" s="1">
        <f t="shared" si="63"/>
        <v>0</v>
      </c>
      <c r="ET8" s="1">
        <f t="shared" si="64"/>
        <v>0</v>
      </c>
      <c r="EU8" s="1">
        <f t="shared" si="65"/>
        <v>0</v>
      </c>
      <c r="EV8" s="1">
        <f t="shared" si="66"/>
        <v>0</v>
      </c>
      <c r="EW8" s="1">
        <f t="shared" si="67"/>
        <v>0</v>
      </c>
      <c r="EX8" s="1">
        <f t="shared" si="68"/>
        <v>0</v>
      </c>
      <c r="EY8" s="1">
        <f t="shared" si="69"/>
        <v>0</v>
      </c>
      <c r="EZ8" s="1">
        <f t="shared" si="70"/>
        <v>0</v>
      </c>
      <c r="FA8" s="1">
        <f t="shared" si="71"/>
        <v>0</v>
      </c>
      <c r="FB8" s="1">
        <f t="shared" si="72"/>
        <v>0</v>
      </c>
      <c r="FC8" s="1">
        <f t="shared" si="73"/>
        <v>0</v>
      </c>
      <c r="FD8" s="1">
        <f t="shared" si="74"/>
        <v>0</v>
      </c>
      <c r="FE8" s="1">
        <f t="shared" si="75"/>
        <v>0</v>
      </c>
      <c r="FF8" s="1">
        <f t="shared" si="76"/>
        <v>0</v>
      </c>
      <c r="FG8" s="1">
        <f t="shared" si="77"/>
        <v>0.059350736407200004</v>
      </c>
      <c r="FH8" s="1">
        <f t="shared" si="78"/>
        <v>0</v>
      </c>
      <c r="FI8" s="1">
        <f t="shared" si="79"/>
        <v>0</v>
      </c>
      <c r="FJ8" s="1">
        <f t="shared" si="80"/>
        <v>0</v>
      </c>
      <c r="FK8" s="1">
        <f t="shared" si="81"/>
        <v>0</v>
      </c>
      <c r="FL8" s="1">
        <f t="shared" si="82"/>
        <v>0</v>
      </c>
      <c r="FM8" s="1">
        <f t="shared" si="83"/>
        <v>0</v>
      </c>
      <c r="FN8" s="1">
        <f t="shared" si="84"/>
        <v>7.46760736344</v>
      </c>
      <c r="FO8" s="1">
        <f>IF(O8=0,0,SUM(EI8:FN8))</f>
        <v>8.107541656074806</v>
      </c>
    </row>
    <row r="9" spans="1:171" ht="12.75">
      <c r="A9" s="24">
        <v>87.6</v>
      </c>
      <c r="B9" s="25" t="s">
        <v>86</v>
      </c>
      <c r="C9" s="25" t="s">
        <v>87</v>
      </c>
      <c r="D9" s="26" t="s">
        <v>83</v>
      </c>
      <c r="E9" s="26">
        <v>1</v>
      </c>
      <c r="F9" s="26" t="s">
        <v>73</v>
      </c>
      <c r="G9" s="26" t="s">
        <v>74</v>
      </c>
      <c r="H9" s="26" t="s">
        <v>79</v>
      </c>
      <c r="I9" s="26">
        <v>3</v>
      </c>
      <c r="J9" s="26"/>
      <c r="K9" s="26">
        <f t="shared" si="85"/>
        <v>0</v>
      </c>
      <c r="L9" s="26">
        <f t="shared" si="86"/>
        <v>0</v>
      </c>
      <c r="M9" s="24">
        <v>395011</v>
      </c>
      <c r="N9" s="24">
        <v>751330</v>
      </c>
      <c r="O9" s="27">
        <f t="shared" si="87"/>
        <v>32000</v>
      </c>
      <c r="P9" s="28">
        <v>32000</v>
      </c>
      <c r="Q9" s="28">
        <v>35000</v>
      </c>
      <c r="R9" s="28">
        <v>40000</v>
      </c>
      <c r="S9" s="29">
        <v>0</v>
      </c>
      <c r="T9" s="29">
        <v>0</v>
      </c>
      <c r="U9" s="29">
        <v>0</v>
      </c>
      <c r="V9" s="29">
        <v>0</v>
      </c>
      <c r="W9" s="28">
        <v>0</v>
      </c>
      <c r="X9" s="29">
        <v>0</v>
      </c>
      <c r="Y9" s="28">
        <v>0</v>
      </c>
      <c r="Z9" s="28">
        <v>0</v>
      </c>
      <c r="AA9" s="28">
        <v>0</v>
      </c>
      <c r="AB9" s="28">
        <v>0</v>
      </c>
      <c r="AC9" s="29">
        <v>0</v>
      </c>
      <c r="AD9" s="28">
        <v>0</v>
      </c>
      <c r="AE9" s="28">
        <v>0</v>
      </c>
      <c r="AF9" s="28">
        <v>0</v>
      </c>
      <c r="AG9" s="28">
        <v>0</v>
      </c>
      <c r="AH9" s="28">
        <v>0</v>
      </c>
      <c r="AI9" s="28">
        <v>0</v>
      </c>
      <c r="AJ9" s="28">
        <v>0</v>
      </c>
      <c r="AK9" s="28">
        <v>0</v>
      </c>
      <c r="AL9" s="28">
        <v>0</v>
      </c>
      <c r="AM9" s="30">
        <v>0</v>
      </c>
      <c r="AN9" s="31">
        <v>0</v>
      </c>
      <c r="AO9" s="30">
        <v>49000</v>
      </c>
      <c r="AP9" s="31">
        <v>0</v>
      </c>
      <c r="AQ9" s="31">
        <v>0</v>
      </c>
      <c r="AR9" s="31">
        <v>0</v>
      </c>
      <c r="AS9" s="31">
        <v>0</v>
      </c>
      <c r="AT9" s="31">
        <v>0</v>
      </c>
      <c r="AU9" s="30">
        <v>0</v>
      </c>
      <c r="AX9" s="2">
        <f t="shared" si="0"/>
        <v>-12320</v>
      </c>
      <c r="AY9" s="32">
        <f t="shared" si="1"/>
        <v>0</v>
      </c>
      <c r="AZ9" s="186">
        <f t="shared" si="2"/>
        <v>0.4714699130811074</v>
      </c>
      <c r="BA9" s="186">
        <f t="shared" si="3"/>
        <v>0.044133059267798765</v>
      </c>
      <c r="BB9" s="186">
        <f t="shared" si="4"/>
        <v>0.3212288661327347</v>
      </c>
      <c r="BC9" s="53">
        <f t="shared" si="88"/>
        <v>32000</v>
      </c>
      <c r="BD9" s="53">
        <f t="shared" si="5"/>
        <v>0</v>
      </c>
      <c r="BE9" s="53">
        <f t="shared" si="6"/>
        <v>0</v>
      </c>
      <c r="BF9" s="53">
        <f t="shared" si="7"/>
        <v>0</v>
      </c>
      <c r="BG9" s="53"/>
      <c r="BH9" s="53">
        <f t="shared" si="89"/>
        <v>3</v>
      </c>
      <c r="BI9" s="53">
        <f t="shared" si="90"/>
        <v>0</v>
      </c>
      <c r="BJ9" s="53">
        <f t="shared" si="91"/>
        <v>2</v>
      </c>
      <c r="BK9" s="53">
        <f t="shared" si="92"/>
        <v>0</v>
      </c>
      <c r="BL9" s="53"/>
      <c r="BM9" s="53">
        <f t="shared" si="93"/>
        <v>0</v>
      </c>
      <c r="BN9" s="53">
        <f t="shared" si="94"/>
        <v>0</v>
      </c>
      <c r="BO9" s="53">
        <f t="shared" si="95"/>
        <v>1</v>
      </c>
      <c r="BP9" s="53">
        <f t="shared" si="96"/>
        <v>0</v>
      </c>
      <c r="BQ9" s="53"/>
      <c r="BR9" s="53">
        <f t="shared" si="97"/>
        <v>0</v>
      </c>
      <c r="BS9" s="53">
        <f t="shared" si="98"/>
        <v>0</v>
      </c>
      <c r="BT9" s="53">
        <f t="shared" si="99"/>
        <v>5.5</v>
      </c>
      <c r="BU9" s="53">
        <f t="shared" si="8"/>
        <v>2640</v>
      </c>
      <c r="BV9" s="53"/>
      <c r="BW9" s="53">
        <f t="shared" si="100"/>
        <v>2600</v>
      </c>
      <c r="BX9" s="53">
        <f t="shared" si="101"/>
        <v>-2010</v>
      </c>
      <c r="BY9" s="53">
        <f t="shared" si="9"/>
        <v>-1639.8184929088518</v>
      </c>
      <c r="BZ9" s="240">
        <f t="shared" si="102"/>
        <v>0.7425</v>
      </c>
      <c r="CA9" s="217" t="s">
        <v>570</v>
      </c>
      <c r="CB9" s="217">
        <v>2</v>
      </c>
      <c r="CC9" s="1">
        <f t="shared" si="10"/>
        <v>0</v>
      </c>
      <c r="CD9" s="195">
        <f t="shared" si="11"/>
        <v>2873.2</v>
      </c>
      <c r="CE9" s="195">
        <f t="shared" si="12"/>
        <v>2873.2</v>
      </c>
      <c r="CF9" s="239">
        <f t="shared" si="13"/>
        <v>1.45</v>
      </c>
      <c r="CG9" s="239">
        <f t="shared" si="13"/>
        <v>9.96</v>
      </c>
      <c r="CH9" s="1">
        <f t="shared" si="103"/>
        <v>4780.8</v>
      </c>
      <c r="CI9" s="217" t="s">
        <v>614</v>
      </c>
      <c r="CJ9" s="218">
        <f>Calc_Checks!J22</f>
        <v>0</v>
      </c>
      <c r="CK9" s="211">
        <f t="shared" si="14"/>
        <v>0</v>
      </c>
      <c r="CL9" s="211">
        <f t="shared" si="15"/>
        <v>0</v>
      </c>
      <c r="CM9" s="211">
        <f t="shared" si="16"/>
        <v>0</v>
      </c>
      <c r="CQ9" s="1">
        <f t="shared" si="104"/>
        <v>1</v>
      </c>
      <c r="CR9" s="195">
        <f t="shared" si="17"/>
        <v>10000</v>
      </c>
      <c r="CS9" s="195"/>
      <c r="CT9" s="195"/>
      <c r="CV9" s="199">
        <f t="shared" si="18"/>
        <v>17.780308802887507</v>
      </c>
      <c r="CW9" s="199">
        <f t="shared" si="19"/>
        <v>12.012031281331462</v>
      </c>
      <c r="CX9" s="199">
        <f t="shared" si="20"/>
        <v>0</v>
      </c>
      <c r="CY9" s="199">
        <f t="shared" si="21"/>
        <v>0</v>
      </c>
      <c r="CZ9" s="199">
        <f t="shared" si="22"/>
        <v>0</v>
      </c>
      <c r="DA9" s="199">
        <f t="shared" si="23"/>
        <v>0</v>
      </c>
      <c r="DB9" s="199">
        <f t="shared" si="24"/>
        <v>0</v>
      </c>
      <c r="DC9" s="199">
        <f t="shared" si="25"/>
        <v>0</v>
      </c>
      <c r="DD9" s="199">
        <f t="shared" si="26"/>
        <v>0</v>
      </c>
      <c r="DE9" s="199">
        <f t="shared" si="27"/>
        <v>0</v>
      </c>
      <c r="DF9" s="199">
        <f t="shared" si="28"/>
        <v>0</v>
      </c>
      <c r="DG9" s="199">
        <f t="shared" si="29"/>
        <v>0</v>
      </c>
      <c r="DH9" s="199">
        <f t="shared" si="30"/>
        <v>0</v>
      </c>
      <c r="DI9" s="199">
        <f t="shared" si="31"/>
        <v>0</v>
      </c>
      <c r="DJ9" s="199">
        <f t="shared" si="32"/>
        <v>0</v>
      </c>
      <c r="DK9" s="199">
        <f t="shared" si="33"/>
        <v>0</v>
      </c>
      <c r="DL9" s="199">
        <f t="shared" si="34"/>
        <v>0</v>
      </c>
      <c r="DM9" s="199">
        <f t="shared" si="35"/>
        <v>0</v>
      </c>
      <c r="DN9" s="199">
        <f t="shared" si="36"/>
        <v>0</v>
      </c>
      <c r="DO9" s="199">
        <f t="shared" si="37"/>
        <v>0</v>
      </c>
      <c r="DP9" s="199">
        <f t="shared" si="38"/>
        <v>0</v>
      </c>
      <c r="DQ9" s="199">
        <f t="shared" si="39"/>
        <v>0</v>
      </c>
      <c r="DR9" s="199">
        <f t="shared" si="40"/>
        <v>0</v>
      </c>
      <c r="DS9" s="199">
        <f t="shared" si="41"/>
        <v>0</v>
      </c>
      <c r="DT9" s="199">
        <f t="shared" si="42"/>
        <v>140.6074994986966</v>
      </c>
      <c r="DU9" s="199">
        <f t="shared" si="43"/>
        <v>0</v>
      </c>
      <c r="DV9" s="199">
        <f t="shared" si="44"/>
        <v>0</v>
      </c>
      <c r="DW9" s="199">
        <f t="shared" si="45"/>
        <v>0</v>
      </c>
      <c r="DX9" s="199">
        <f t="shared" si="46"/>
        <v>0</v>
      </c>
      <c r="DY9" s="199">
        <f t="shared" si="47"/>
        <v>0</v>
      </c>
      <c r="DZ9" s="199">
        <f t="shared" si="48"/>
        <v>0</v>
      </c>
      <c r="EA9" s="199">
        <f t="shared" si="49"/>
        <v>0</v>
      </c>
      <c r="EB9" s="199">
        <f t="shared" si="50"/>
        <v>1.003671947062362</v>
      </c>
      <c r="EC9" s="202">
        <f t="shared" si="51"/>
        <v>171.40351152997795</v>
      </c>
      <c r="ED9" s="202">
        <f>SUM(CV9:DI9,DS9:DT9,DW9,DY9,EA9:EB9)</f>
        <v>171.40351152997795</v>
      </c>
      <c r="EE9" s="203">
        <f t="shared" si="52"/>
        <v>28.37291687457685</v>
      </c>
      <c r="EF9" s="199"/>
      <c r="EH9" s="256"/>
      <c r="EI9" s="1">
        <f t="shared" si="53"/>
        <v>0.18495710758393283</v>
      </c>
      <c r="EJ9" s="1">
        <f t="shared" si="54"/>
        <v>0.010606863429336002</v>
      </c>
      <c r="EK9" s="1">
        <f t="shared" si="55"/>
        <v>0</v>
      </c>
      <c r="EL9" s="1">
        <f t="shared" si="56"/>
        <v>0</v>
      </c>
      <c r="EM9" s="1">
        <f t="shared" si="57"/>
        <v>0</v>
      </c>
      <c r="EN9" s="1">
        <f t="shared" si="58"/>
        <v>0</v>
      </c>
      <c r="EO9" s="1">
        <f t="shared" si="59"/>
        <v>0</v>
      </c>
      <c r="EP9" s="1">
        <f t="shared" si="60"/>
        <v>0</v>
      </c>
      <c r="EQ9" s="1">
        <f t="shared" si="61"/>
        <v>0</v>
      </c>
      <c r="ER9" s="1">
        <f t="shared" si="62"/>
        <v>0</v>
      </c>
      <c r="ES9" s="1">
        <f t="shared" si="63"/>
        <v>0</v>
      </c>
      <c r="ET9" s="1">
        <f t="shared" si="64"/>
        <v>0</v>
      </c>
      <c r="EU9" s="1">
        <f t="shared" si="65"/>
        <v>0</v>
      </c>
      <c r="EV9" s="1">
        <f t="shared" si="66"/>
        <v>0</v>
      </c>
      <c r="EW9" s="1">
        <f t="shared" si="67"/>
        <v>0</v>
      </c>
      <c r="EX9" s="1">
        <f t="shared" si="68"/>
        <v>0</v>
      </c>
      <c r="EY9" s="1">
        <f t="shared" si="69"/>
        <v>0</v>
      </c>
      <c r="EZ9" s="1">
        <f t="shared" si="70"/>
        <v>0</v>
      </c>
      <c r="FA9" s="1">
        <f t="shared" si="71"/>
        <v>0</v>
      </c>
      <c r="FB9" s="1">
        <f t="shared" si="72"/>
        <v>0</v>
      </c>
      <c r="FC9" s="1">
        <f t="shared" si="73"/>
        <v>0</v>
      </c>
      <c r="FD9" s="1">
        <f t="shared" si="74"/>
        <v>0</v>
      </c>
      <c r="FE9" s="1">
        <f t="shared" si="75"/>
        <v>0</v>
      </c>
      <c r="FF9" s="1">
        <f t="shared" si="76"/>
        <v>0</v>
      </c>
      <c r="FG9" s="1">
        <f t="shared" si="77"/>
        <v>0.10099701098903999</v>
      </c>
      <c r="FH9" s="1">
        <f t="shared" si="78"/>
        <v>0</v>
      </c>
      <c r="FI9" s="1">
        <f t="shared" si="79"/>
        <v>0</v>
      </c>
      <c r="FJ9" s="1">
        <f t="shared" si="80"/>
        <v>0</v>
      </c>
      <c r="FK9" s="1">
        <f t="shared" si="81"/>
        <v>0</v>
      </c>
      <c r="FL9" s="1">
        <f t="shared" si="82"/>
        <v>0</v>
      </c>
      <c r="FM9" s="1">
        <f t="shared" si="83"/>
        <v>0</v>
      </c>
      <c r="FN9" s="1">
        <f t="shared" si="84"/>
        <v>4.472293968912</v>
      </c>
      <c r="FO9" s="1">
        <f>IF(O9=0,0,SUM(EI9:FN9))</f>
        <v>4.768854950914309</v>
      </c>
    </row>
    <row r="10" spans="1:171" ht="12.75">
      <c r="A10" s="24">
        <v>88</v>
      </c>
      <c r="B10" s="25" t="s">
        <v>88</v>
      </c>
      <c r="C10" s="25" t="s">
        <v>89</v>
      </c>
      <c r="D10" s="26" t="s">
        <v>83</v>
      </c>
      <c r="E10" s="26">
        <v>1</v>
      </c>
      <c r="F10" s="26" t="s">
        <v>73</v>
      </c>
      <c r="G10" s="26" t="s">
        <v>74</v>
      </c>
      <c r="H10" s="26" t="s">
        <v>75</v>
      </c>
      <c r="I10" s="26">
        <v>1</v>
      </c>
      <c r="J10" s="26"/>
      <c r="K10" s="26">
        <f t="shared" si="85"/>
        <v>1</v>
      </c>
      <c r="L10" s="26">
        <f t="shared" si="86"/>
        <v>1</v>
      </c>
      <c r="M10" s="24">
        <v>395216</v>
      </c>
      <c r="N10" s="24">
        <v>750926</v>
      </c>
      <c r="O10" s="27">
        <f t="shared" si="87"/>
        <v>145000</v>
      </c>
      <c r="P10" s="28">
        <v>145000</v>
      </c>
      <c r="Q10" s="28">
        <v>152000</v>
      </c>
      <c r="R10" s="28">
        <v>42000</v>
      </c>
      <c r="S10" s="29">
        <v>0</v>
      </c>
      <c r="T10" s="29">
        <v>0</v>
      </c>
      <c r="U10" s="29">
        <v>0</v>
      </c>
      <c r="V10" s="29">
        <v>0</v>
      </c>
      <c r="W10" s="28">
        <v>57000</v>
      </c>
      <c r="X10" s="29">
        <v>0</v>
      </c>
      <c r="Y10" s="28">
        <v>0</v>
      </c>
      <c r="Z10" s="28">
        <v>0</v>
      </c>
      <c r="AA10" s="28">
        <v>0</v>
      </c>
      <c r="AB10" s="28">
        <v>30000</v>
      </c>
      <c r="AC10" s="29">
        <v>0</v>
      </c>
      <c r="AD10" s="28">
        <v>0</v>
      </c>
      <c r="AE10" s="28">
        <v>30000</v>
      </c>
      <c r="AF10" s="28">
        <v>65000</v>
      </c>
      <c r="AG10" s="28">
        <v>0</v>
      </c>
      <c r="AH10" s="28">
        <v>0</v>
      </c>
      <c r="AI10" s="28">
        <v>18000</v>
      </c>
      <c r="AJ10" s="28">
        <v>11000</v>
      </c>
      <c r="AK10" s="28">
        <v>0</v>
      </c>
      <c r="AL10" s="30">
        <v>0</v>
      </c>
      <c r="AM10" s="30">
        <v>4000</v>
      </c>
      <c r="AN10" s="31">
        <v>7500</v>
      </c>
      <c r="AO10" s="30">
        <v>0</v>
      </c>
      <c r="AP10" s="31">
        <v>0</v>
      </c>
      <c r="AQ10" s="31">
        <v>10000</v>
      </c>
      <c r="AR10" s="31">
        <v>0</v>
      </c>
      <c r="AS10" s="31">
        <v>0</v>
      </c>
      <c r="AT10" s="31">
        <v>0</v>
      </c>
      <c r="AU10" s="30">
        <v>80</v>
      </c>
      <c r="AX10" s="2">
        <f t="shared" si="0"/>
        <v>127160</v>
      </c>
      <c r="AY10" s="32">
        <f t="shared" si="1"/>
        <v>121303.94736842105</v>
      </c>
      <c r="AZ10" s="186">
        <f t="shared" si="2"/>
        <v>0.4714699130811074</v>
      </c>
      <c r="BA10" s="186">
        <f t="shared" si="3"/>
        <v>0.044133059267798765</v>
      </c>
      <c r="BB10" s="186">
        <f t="shared" si="4"/>
        <v>0.3212288661327347</v>
      </c>
      <c r="BC10" s="53">
        <f t="shared" si="88"/>
        <v>145000</v>
      </c>
      <c r="BD10" s="53">
        <f t="shared" si="5"/>
        <v>68342.47801320888</v>
      </c>
      <c r="BE10" s="53">
        <f t="shared" si="6"/>
        <v>6397.3597232413595</v>
      </c>
      <c r="BF10" s="53">
        <f t="shared" si="7"/>
        <v>46564.109631970816</v>
      </c>
      <c r="BG10" s="53"/>
      <c r="BH10" s="53">
        <f t="shared" si="89"/>
        <v>6</v>
      </c>
      <c r="BI10" s="53">
        <f t="shared" si="90"/>
        <v>6</v>
      </c>
      <c r="BJ10" s="53">
        <f t="shared" si="91"/>
        <v>3</v>
      </c>
      <c r="BK10" s="53">
        <f t="shared" si="92"/>
        <v>5</v>
      </c>
      <c r="BL10" s="53"/>
      <c r="BM10" s="53">
        <f t="shared" si="93"/>
        <v>3</v>
      </c>
      <c r="BN10" s="53">
        <f t="shared" si="94"/>
        <v>3</v>
      </c>
      <c r="BO10" s="53">
        <f t="shared" si="95"/>
        <v>2</v>
      </c>
      <c r="BP10" s="53">
        <f t="shared" si="96"/>
        <v>0</v>
      </c>
      <c r="BQ10" s="53"/>
      <c r="BR10" s="53">
        <f t="shared" si="97"/>
        <v>9.75</v>
      </c>
      <c r="BS10" s="53">
        <f t="shared" si="98"/>
        <v>51.300000000000004</v>
      </c>
      <c r="BT10" s="53">
        <f t="shared" si="99"/>
        <v>11</v>
      </c>
      <c r="BU10" s="53">
        <f t="shared" si="8"/>
        <v>34584.00000000001</v>
      </c>
      <c r="BV10" s="53"/>
      <c r="BW10" s="53">
        <f t="shared" si="100"/>
        <v>20800</v>
      </c>
      <c r="BX10" s="53">
        <f t="shared" si="101"/>
        <v>-29544.000000000007</v>
      </c>
      <c r="BY10" s="53">
        <f t="shared" si="9"/>
        <v>-26582.54794327082</v>
      </c>
      <c r="BZ10" s="240">
        <f t="shared" si="102"/>
        <v>7.944450000000001</v>
      </c>
      <c r="CA10" s="217" t="s">
        <v>571</v>
      </c>
      <c r="CB10" s="217">
        <v>4</v>
      </c>
      <c r="CC10" s="1">
        <f t="shared" si="10"/>
        <v>0</v>
      </c>
      <c r="CD10" s="195">
        <f t="shared" si="11"/>
        <v>5746.4</v>
      </c>
      <c r="CE10" s="195">
        <f t="shared" si="12"/>
        <v>5746.4</v>
      </c>
      <c r="CF10" s="239">
        <f t="shared" si="13"/>
        <v>2.9</v>
      </c>
      <c r="CG10" s="239">
        <f t="shared" si="13"/>
        <v>19.92</v>
      </c>
      <c r="CH10" s="1">
        <f t="shared" si="103"/>
        <v>9561.6</v>
      </c>
      <c r="CI10" s="217" t="s">
        <v>615</v>
      </c>
      <c r="CJ10" s="218">
        <f>Calc_Checks!J23</f>
        <v>0</v>
      </c>
      <c r="CK10" s="211">
        <f t="shared" si="14"/>
        <v>0</v>
      </c>
      <c r="CL10" s="211">
        <f t="shared" si="15"/>
        <v>0</v>
      </c>
      <c r="CM10" s="211">
        <f t="shared" si="16"/>
        <v>0</v>
      </c>
      <c r="CQ10" s="1">
        <f t="shared" si="104"/>
        <v>1</v>
      </c>
      <c r="CR10" s="195">
        <f t="shared" si="17"/>
        <v>10000</v>
      </c>
      <c r="CS10" s="195"/>
      <c r="CT10" s="195"/>
      <c r="CV10" s="199">
        <f t="shared" si="18"/>
        <v>77.21734108682574</v>
      </c>
      <c r="CW10" s="199">
        <f t="shared" si="19"/>
        <v>12.612632845398034</v>
      </c>
      <c r="CX10" s="199">
        <f t="shared" si="20"/>
        <v>0</v>
      </c>
      <c r="CY10" s="199">
        <f t="shared" si="21"/>
        <v>0</v>
      </c>
      <c r="CZ10" s="199">
        <f t="shared" si="22"/>
        <v>0</v>
      </c>
      <c r="DA10" s="199">
        <f t="shared" si="23"/>
        <v>0</v>
      </c>
      <c r="DB10" s="199">
        <f t="shared" si="24"/>
        <v>14.834858632444353</v>
      </c>
      <c r="DC10" s="199">
        <f t="shared" si="25"/>
        <v>0</v>
      </c>
      <c r="DD10" s="199">
        <f t="shared" si="26"/>
        <v>0</v>
      </c>
      <c r="DE10" s="199">
        <f t="shared" si="27"/>
        <v>0</v>
      </c>
      <c r="DF10" s="199">
        <f t="shared" si="28"/>
        <v>0</v>
      </c>
      <c r="DG10" s="199">
        <f t="shared" si="29"/>
        <v>39.789853619410465</v>
      </c>
      <c r="DH10" s="199">
        <f t="shared" si="30"/>
        <v>0</v>
      </c>
      <c r="DI10" s="199">
        <f t="shared" si="31"/>
        <v>0</v>
      </c>
      <c r="DJ10" s="199">
        <f t="shared" si="32"/>
        <v>4.0991056747543615</v>
      </c>
      <c r="DK10" s="199">
        <f t="shared" si="33"/>
        <v>8.881395628634449</v>
      </c>
      <c r="DL10" s="199">
        <f t="shared" si="34"/>
        <v>0</v>
      </c>
      <c r="DM10" s="199">
        <f t="shared" si="35"/>
        <v>0</v>
      </c>
      <c r="DN10" s="199">
        <f t="shared" si="36"/>
        <v>2.4594634048526167</v>
      </c>
      <c r="DO10" s="199">
        <f t="shared" si="37"/>
        <v>1.5030054140765992</v>
      </c>
      <c r="DP10" s="199">
        <f t="shared" si="38"/>
        <v>0</v>
      </c>
      <c r="DQ10" s="199">
        <f t="shared" si="39"/>
        <v>0</v>
      </c>
      <c r="DR10" s="199">
        <f t="shared" si="40"/>
        <v>0.6006015640665731</v>
      </c>
      <c r="DS10" s="199">
        <f t="shared" si="41"/>
        <v>19.894926809705233</v>
      </c>
      <c r="DT10" s="199">
        <f t="shared" si="42"/>
        <v>0</v>
      </c>
      <c r="DU10" s="199">
        <f t="shared" si="43"/>
        <v>0</v>
      </c>
      <c r="DV10" s="199">
        <f t="shared" si="44"/>
        <v>0.00291959093643473</v>
      </c>
      <c r="DW10" s="199">
        <f t="shared" si="45"/>
        <v>0</v>
      </c>
      <c r="DX10" s="199">
        <f t="shared" si="46"/>
        <v>0</v>
      </c>
      <c r="DY10" s="199">
        <f t="shared" si="47"/>
        <v>0</v>
      </c>
      <c r="DZ10" s="199">
        <f t="shared" si="48"/>
        <v>0.005178520152396231</v>
      </c>
      <c r="EA10" s="199">
        <f t="shared" si="49"/>
        <v>70.42682916635884</v>
      </c>
      <c r="EB10" s="199">
        <f t="shared" si="50"/>
        <v>8.352556292676748</v>
      </c>
      <c r="EC10" s="202">
        <f t="shared" si="51"/>
        <v>260.6806682502928</v>
      </c>
      <c r="ED10" s="202">
        <f>SUM(CV10:DI10,DS10:DT10,DW10,DY10,EA10:EB10)</f>
        <v>243.12899845281942</v>
      </c>
      <c r="EE10" s="203">
        <f t="shared" si="52"/>
        <v>40.24584328130571</v>
      </c>
      <c r="EF10" s="199"/>
      <c r="EH10" s="256"/>
      <c r="EI10" s="1">
        <f t="shared" si="53"/>
        <v>0.5699766927982697</v>
      </c>
      <c r="EJ10" s="1">
        <f t="shared" si="54"/>
        <v>0.010606863429336002</v>
      </c>
      <c r="EK10" s="1">
        <f t="shared" si="55"/>
        <v>0</v>
      </c>
      <c r="EL10" s="1">
        <f t="shared" si="56"/>
        <v>0</v>
      </c>
      <c r="EM10" s="1">
        <f t="shared" si="57"/>
        <v>0</v>
      </c>
      <c r="EN10" s="1">
        <f t="shared" si="58"/>
        <v>0</v>
      </c>
      <c r="EO10" s="1">
        <f t="shared" si="59"/>
        <v>0.2644897670328</v>
      </c>
      <c r="EP10" s="1">
        <f t="shared" si="60"/>
        <v>0</v>
      </c>
      <c r="EQ10" s="1">
        <f t="shared" si="61"/>
        <v>0</v>
      </c>
      <c r="ER10" s="1">
        <f t="shared" si="62"/>
        <v>0</v>
      </c>
      <c r="ES10" s="1">
        <f t="shared" si="63"/>
        <v>0</v>
      </c>
      <c r="ET10" s="1">
        <f t="shared" si="64"/>
        <v>0.14589546715944002</v>
      </c>
      <c r="EU10" s="1">
        <f t="shared" si="65"/>
        <v>0</v>
      </c>
      <c r="EV10" s="1">
        <f t="shared" si="66"/>
        <v>0</v>
      </c>
      <c r="EW10" s="1">
        <f t="shared" si="67"/>
        <v>0.059350736407200004</v>
      </c>
      <c r="EX10" s="1">
        <f t="shared" si="68"/>
        <v>0.10099701098903999</v>
      </c>
      <c r="EY10" s="1">
        <f t="shared" si="69"/>
        <v>0</v>
      </c>
      <c r="EZ10" s="1">
        <f t="shared" si="70"/>
        <v>0</v>
      </c>
      <c r="FA10" s="1">
        <f t="shared" si="71"/>
        <v>0.059350736407200004</v>
      </c>
      <c r="FB10" s="1">
        <f t="shared" si="72"/>
        <v>0.059350736407200004</v>
      </c>
      <c r="FC10" s="1">
        <f t="shared" si="73"/>
        <v>0</v>
      </c>
      <c r="FD10" s="1">
        <f t="shared" si="74"/>
        <v>0</v>
      </c>
      <c r="FE10" s="1">
        <f t="shared" si="75"/>
        <v>0.059350736407200004</v>
      </c>
      <c r="FF10" s="1">
        <f t="shared" si="76"/>
        <v>0.059350736407200004</v>
      </c>
      <c r="FG10" s="1">
        <f t="shared" si="77"/>
        <v>0</v>
      </c>
      <c r="FH10" s="1">
        <f t="shared" si="78"/>
        <v>0</v>
      </c>
      <c r="FI10" s="1">
        <f t="shared" si="79"/>
        <v>0</v>
      </c>
      <c r="FJ10" s="1">
        <f t="shared" si="80"/>
        <v>0</v>
      </c>
      <c r="FK10" s="1">
        <f t="shared" si="81"/>
        <v>0</v>
      </c>
      <c r="FL10" s="1">
        <f t="shared" si="82"/>
        <v>0</v>
      </c>
      <c r="FM10" s="1">
        <f t="shared" si="83"/>
        <v>0.0057571153094400015</v>
      </c>
      <c r="FN10" s="1">
        <f t="shared" si="84"/>
        <v>7.46760736344</v>
      </c>
      <c r="FO10" s="1">
        <f>IF(O10=0,0,SUM(EI10:FN10))</f>
        <v>8.862083962194326</v>
      </c>
    </row>
    <row r="11" spans="1:171" ht="12.75">
      <c r="A11" s="24">
        <v>89</v>
      </c>
      <c r="B11" s="25" t="s">
        <v>90</v>
      </c>
      <c r="C11" s="25" t="s">
        <v>91</v>
      </c>
      <c r="D11" s="26" t="s">
        <v>83</v>
      </c>
      <c r="E11" s="26">
        <v>1</v>
      </c>
      <c r="F11" s="26" t="s">
        <v>73</v>
      </c>
      <c r="G11" s="26" t="s">
        <v>74</v>
      </c>
      <c r="H11" s="26" t="s">
        <v>75</v>
      </c>
      <c r="I11" s="26">
        <v>3</v>
      </c>
      <c r="J11" s="26"/>
      <c r="K11" s="26">
        <f t="shared" si="85"/>
        <v>1</v>
      </c>
      <c r="L11" s="26">
        <f t="shared" si="86"/>
        <v>1</v>
      </c>
      <c r="M11" s="24">
        <v>403800</v>
      </c>
      <c r="N11" s="24">
        <v>741210</v>
      </c>
      <c r="O11" s="27">
        <f t="shared" si="87"/>
        <v>238000</v>
      </c>
      <c r="P11" s="28">
        <v>238000</v>
      </c>
      <c r="Q11" s="28">
        <v>250000</v>
      </c>
      <c r="R11" s="28">
        <v>75000</v>
      </c>
      <c r="S11" s="29">
        <v>0</v>
      </c>
      <c r="T11" s="29">
        <v>0</v>
      </c>
      <c r="U11" s="29">
        <v>0</v>
      </c>
      <c r="V11" s="29">
        <v>0</v>
      </c>
      <c r="W11" s="28">
        <v>145000</v>
      </c>
      <c r="X11" s="29">
        <v>0</v>
      </c>
      <c r="Y11" s="28">
        <v>0</v>
      </c>
      <c r="Z11" s="28">
        <v>0</v>
      </c>
      <c r="AA11" s="28">
        <v>0</v>
      </c>
      <c r="AB11" s="28">
        <v>32000</v>
      </c>
      <c r="AC11" s="29">
        <v>0</v>
      </c>
      <c r="AD11" s="28">
        <v>22000</v>
      </c>
      <c r="AE11" s="28">
        <v>84000</v>
      </c>
      <c r="AF11" s="28">
        <v>0</v>
      </c>
      <c r="AG11" s="28">
        <v>0</v>
      </c>
      <c r="AH11" s="28">
        <v>0</v>
      </c>
      <c r="AI11" s="28">
        <v>106000</v>
      </c>
      <c r="AJ11" s="28">
        <v>0</v>
      </c>
      <c r="AK11" s="28">
        <v>0</v>
      </c>
      <c r="AL11" s="28">
        <v>0</v>
      </c>
      <c r="AM11" s="30">
        <v>18000</v>
      </c>
      <c r="AN11" s="31">
        <v>0</v>
      </c>
      <c r="AO11" s="30">
        <v>0</v>
      </c>
      <c r="AP11" s="31">
        <v>4000</v>
      </c>
      <c r="AQ11" s="31">
        <v>0</v>
      </c>
      <c r="AR11" s="31">
        <v>0</v>
      </c>
      <c r="AS11" s="31">
        <v>0</v>
      </c>
      <c r="AT11" s="31">
        <v>10</v>
      </c>
      <c r="AU11" s="30">
        <v>180</v>
      </c>
      <c r="AX11" s="2">
        <f t="shared" si="0"/>
        <v>220000</v>
      </c>
      <c r="AY11" s="32">
        <f t="shared" si="1"/>
        <v>209440</v>
      </c>
      <c r="AZ11" s="186">
        <f t="shared" si="2"/>
        <v>0.4714699130811074</v>
      </c>
      <c r="BA11" s="186">
        <f t="shared" si="3"/>
        <v>0.044133059267798765</v>
      </c>
      <c r="BB11" s="186">
        <f t="shared" si="4"/>
        <v>0.3212288661327347</v>
      </c>
      <c r="BC11" s="53">
        <f t="shared" si="88"/>
        <v>238000</v>
      </c>
      <c r="BD11" s="53">
        <f t="shared" si="5"/>
        <v>117998.20950272493</v>
      </c>
      <c r="BE11" s="53">
        <f t="shared" si="6"/>
        <v>11045.502223981837</v>
      </c>
      <c r="BF11" s="53">
        <f t="shared" si="7"/>
        <v>80396.28827329323</v>
      </c>
      <c r="BG11" s="53"/>
      <c r="BH11" s="53">
        <f t="shared" si="89"/>
        <v>9</v>
      </c>
      <c r="BI11" s="53">
        <f t="shared" si="90"/>
        <v>8</v>
      </c>
      <c r="BJ11" s="53">
        <f t="shared" si="91"/>
        <v>4</v>
      </c>
      <c r="BK11" s="53">
        <f t="shared" si="92"/>
        <v>7</v>
      </c>
      <c r="BL11" s="53"/>
      <c r="BM11" s="53">
        <f t="shared" si="93"/>
        <v>4</v>
      </c>
      <c r="BN11" s="53">
        <f t="shared" si="94"/>
        <v>4</v>
      </c>
      <c r="BO11" s="53">
        <f t="shared" si="95"/>
        <v>2</v>
      </c>
      <c r="BP11" s="53">
        <f t="shared" si="96"/>
        <v>0</v>
      </c>
      <c r="BQ11" s="53"/>
      <c r="BR11" s="53">
        <f t="shared" si="97"/>
        <v>13</v>
      </c>
      <c r="BS11" s="53">
        <f t="shared" si="98"/>
        <v>68.4</v>
      </c>
      <c r="BT11" s="53">
        <f t="shared" si="99"/>
        <v>11</v>
      </c>
      <c r="BU11" s="53">
        <f t="shared" si="8"/>
        <v>44352</v>
      </c>
      <c r="BV11" s="53"/>
      <c r="BW11" s="53">
        <f t="shared" si="100"/>
        <v>26000</v>
      </c>
      <c r="BX11" s="53">
        <f t="shared" si="101"/>
        <v>-38052</v>
      </c>
      <c r="BY11" s="53">
        <f t="shared" si="9"/>
        <v>-34350.184929088515</v>
      </c>
      <c r="BZ11" s="240">
        <f t="shared" si="102"/>
        <v>10.0976</v>
      </c>
      <c r="CA11" s="217" t="s">
        <v>572</v>
      </c>
      <c r="CB11" s="217">
        <v>6</v>
      </c>
      <c r="CC11" s="1">
        <f t="shared" si="10"/>
        <v>0</v>
      </c>
      <c r="CD11" s="195">
        <f t="shared" si="11"/>
        <v>8619.599999999999</v>
      </c>
      <c r="CE11" s="195">
        <f t="shared" si="12"/>
        <v>8619.599999999999</v>
      </c>
      <c r="CF11" s="239">
        <f t="shared" si="13"/>
        <v>4.35</v>
      </c>
      <c r="CG11" s="239">
        <f t="shared" si="13"/>
        <v>29.880000000000003</v>
      </c>
      <c r="CH11" s="1">
        <f t="shared" si="103"/>
        <v>14342.400000000001</v>
      </c>
      <c r="CI11" s="217" t="s">
        <v>616</v>
      </c>
      <c r="CJ11" s="218">
        <f>Calc_Checks!J24</f>
        <v>0</v>
      </c>
      <c r="CK11" s="211">
        <f t="shared" si="14"/>
        <v>0</v>
      </c>
      <c r="CL11" s="211">
        <f t="shared" si="15"/>
        <v>0</v>
      </c>
      <c r="CM11" s="211">
        <f t="shared" si="16"/>
        <v>0</v>
      </c>
      <c r="CQ11" s="1">
        <f t="shared" si="104"/>
        <v>1</v>
      </c>
      <c r="CR11" s="195">
        <f t="shared" si="17"/>
        <v>10000</v>
      </c>
      <c r="CS11" s="195"/>
      <c r="CT11" s="195"/>
      <c r="CV11" s="199">
        <f t="shared" si="18"/>
        <v>127.00220573491076</v>
      </c>
      <c r="CW11" s="199">
        <f t="shared" si="19"/>
        <v>22.522558652496485</v>
      </c>
      <c r="CX11" s="199">
        <f t="shared" si="20"/>
        <v>0</v>
      </c>
      <c r="CY11" s="199">
        <f t="shared" si="21"/>
        <v>0</v>
      </c>
      <c r="CZ11" s="199">
        <f t="shared" si="22"/>
        <v>0</v>
      </c>
      <c r="DA11" s="199">
        <f t="shared" si="23"/>
        <v>0</v>
      </c>
      <c r="DB11" s="199">
        <f t="shared" si="24"/>
        <v>37.73779827551634</v>
      </c>
      <c r="DC11" s="199">
        <f t="shared" si="25"/>
        <v>0</v>
      </c>
      <c r="DD11" s="199">
        <f t="shared" si="26"/>
        <v>0</v>
      </c>
      <c r="DE11" s="199">
        <f t="shared" si="27"/>
        <v>0</v>
      </c>
      <c r="DF11" s="199">
        <f t="shared" si="28"/>
        <v>0</v>
      </c>
      <c r="DG11" s="199">
        <f t="shared" si="29"/>
        <v>42.44251052737116</v>
      </c>
      <c r="DH11" s="199">
        <f t="shared" si="30"/>
        <v>0</v>
      </c>
      <c r="DI11" s="199">
        <f t="shared" si="31"/>
        <v>63.12989773410868</v>
      </c>
      <c r="DJ11" s="199">
        <f t="shared" si="32"/>
        <v>11.47749588931221</v>
      </c>
      <c r="DK11" s="199">
        <f t="shared" si="33"/>
        <v>0</v>
      </c>
      <c r="DL11" s="199">
        <f t="shared" si="34"/>
        <v>0</v>
      </c>
      <c r="DM11" s="199">
        <f t="shared" si="35"/>
        <v>0</v>
      </c>
      <c r="DN11" s="199">
        <f t="shared" si="36"/>
        <v>14.483506717465408</v>
      </c>
      <c r="DO11" s="199">
        <f t="shared" si="37"/>
        <v>0</v>
      </c>
      <c r="DP11" s="199">
        <f t="shared" si="38"/>
        <v>0</v>
      </c>
      <c r="DQ11" s="199">
        <f t="shared" si="39"/>
        <v>0</v>
      </c>
      <c r="DR11" s="199">
        <f t="shared" si="40"/>
        <v>2.702707038299579</v>
      </c>
      <c r="DS11" s="199">
        <f t="shared" si="41"/>
        <v>0</v>
      </c>
      <c r="DT11" s="199">
        <f t="shared" si="42"/>
        <v>0</v>
      </c>
      <c r="DU11" s="199">
        <f t="shared" si="43"/>
        <v>0.001167836374573892</v>
      </c>
      <c r="DV11" s="199">
        <f t="shared" si="44"/>
        <v>0</v>
      </c>
      <c r="DW11" s="199">
        <f t="shared" si="45"/>
        <v>0</v>
      </c>
      <c r="DX11" s="199">
        <f t="shared" si="46"/>
        <v>0</v>
      </c>
      <c r="DY11" s="199">
        <f t="shared" si="47"/>
        <v>0.41374774413475035</v>
      </c>
      <c r="DZ11" s="199">
        <f t="shared" si="48"/>
        <v>0.011651670342891517</v>
      </c>
      <c r="EA11" s="199">
        <f t="shared" si="49"/>
        <v>121.59699185883295</v>
      </c>
      <c r="EB11" s="199">
        <f t="shared" si="50"/>
        <v>14.033842999799479</v>
      </c>
      <c r="EC11" s="202">
        <f t="shared" si="51"/>
        <v>457.55608267896525</v>
      </c>
      <c r="ED11" s="202">
        <f>SUM(CV11:DI11,DS11:DT11,DW11,DY11,EA11:EB11)</f>
        <v>428.87955352717063</v>
      </c>
      <c r="EE11" s="203">
        <f t="shared" si="52"/>
        <v>70.99366759066544</v>
      </c>
      <c r="EF11" s="199"/>
      <c r="EI11" s="1">
        <f t="shared" si="53"/>
        <v>0.5699766927982697</v>
      </c>
      <c r="EJ11" s="1">
        <f t="shared" si="54"/>
        <v>0.010606863429336002</v>
      </c>
      <c r="EK11" s="1">
        <f t="shared" si="55"/>
        <v>0</v>
      </c>
      <c r="EL11" s="1">
        <f t="shared" si="56"/>
        <v>0</v>
      </c>
      <c r="EM11" s="1">
        <f t="shared" si="57"/>
        <v>0</v>
      </c>
      <c r="EN11" s="1">
        <f t="shared" si="58"/>
        <v>0</v>
      </c>
      <c r="EO11" s="1">
        <f t="shared" si="59"/>
        <v>0.2644897670328</v>
      </c>
      <c r="EP11" s="1">
        <f t="shared" si="60"/>
        <v>0</v>
      </c>
      <c r="EQ11" s="1">
        <f t="shared" si="61"/>
        <v>0</v>
      </c>
      <c r="ER11" s="1">
        <f t="shared" si="62"/>
        <v>0</v>
      </c>
      <c r="ES11" s="1">
        <f t="shared" si="63"/>
        <v>0</v>
      </c>
      <c r="ET11" s="1">
        <f t="shared" si="64"/>
        <v>0.14589546715944002</v>
      </c>
      <c r="EU11" s="1">
        <f t="shared" si="65"/>
        <v>0</v>
      </c>
      <c r="EV11" s="1">
        <f t="shared" si="66"/>
        <v>0</v>
      </c>
      <c r="EW11" s="1">
        <f t="shared" si="67"/>
        <v>0.10099701098903999</v>
      </c>
      <c r="EX11" s="1">
        <f t="shared" si="68"/>
        <v>0</v>
      </c>
      <c r="EY11" s="1">
        <f t="shared" si="69"/>
        <v>0</v>
      </c>
      <c r="EZ11" s="1">
        <f t="shared" si="70"/>
        <v>0</v>
      </c>
      <c r="FA11" s="1">
        <f t="shared" si="71"/>
        <v>0.10099701098903999</v>
      </c>
      <c r="FB11" s="1">
        <f t="shared" si="72"/>
        <v>0</v>
      </c>
      <c r="FC11" s="1">
        <f t="shared" si="73"/>
        <v>0</v>
      </c>
      <c r="FD11" s="1">
        <f t="shared" si="74"/>
        <v>0</v>
      </c>
      <c r="FE11" s="1">
        <f t="shared" si="75"/>
        <v>0.059350736407200004</v>
      </c>
      <c r="FF11" s="1">
        <f t="shared" si="76"/>
        <v>0</v>
      </c>
      <c r="FG11" s="1">
        <f t="shared" si="77"/>
        <v>0</v>
      </c>
      <c r="FH11" s="1">
        <f t="shared" si="78"/>
        <v>0</v>
      </c>
      <c r="FI11" s="1">
        <f t="shared" si="79"/>
        <v>0</v>
      </c>
      <c r="FJ11" s="1">
        <f t="shared" si="80"/>
        <v>0</v>
      </c>
      <c r="FK11" s="1">
        <f t="shared" si="81"/>
        <v>0</v>
      </c>
      <c r="FL11" s="1">
        <f t="shared" si="82"/>
        <v>4.300268812675172</v>
      </c>
      <c r="FM11" s="1">
        <f t="shared" si="83"/>
        <v>0.0057571153094400015</v>
      </c>
      <c r="FN11" s="1">
        <f t="shared" si="84"/>
        <v>7.46760736344</v>
      </c>
      <c r="FO11" s="1">
        <f>IF(O11=0,0,SUM(EI11:FN11))</f>
        <v>13.025946840229738</v>
      </c>
    </row>
    <row r="12" spans="1:171" ht="12.75">
      <c r="A12" s="24">
        <v>90</v>
      </c>
      <c r="B12" s="25" t="s">
        <v>92</v>
      </c>
      <c r="C12" s="25" t="s">
        <v>87</v>
      </c>
      <c r="D12" s="26" t="s">
        <v>83</v>
      </c>
      <c r="E12" s="26">
        <v>1</v>
      </c>
      <c r="F12" s="26" t="s">
        <v>73</v>
      </c>
      <c r="G12" s="26" t="s">
        <v>74</v>
      </c>
      <c r="H12" s="26" t="s">
        <v>75</v>
      </c>
      <c r="I12" s="26">
        <v>3</v>
      </c>
      <c r="J12" s="26"/>
      <c r="K12" s="26">
        <f t="shared" si="85"/>
        <v>1</v>
      </c>
      <c r="L12" s="26">
        <f t="shared" si="86"/>
        <v>1</v>
      </c>
      <c r="M12" s="24">
        <v>395024</v>
      </c>
      <c r="N12" s="24">
        <v>751530</v>
      </c>
      <c r="O12" s="27">
        <f t="shared" si="87"/>
        <v>160000</v>
      </c>
      <c r="P12" s="28">
        <v>160000</v>
      </c>
      <c r="Q12" s="28">
        <v>166000</v>
      </c>
      <c r="R12" s="28">
        <v>90000</v>
      </c>
      <c r="S12" s="29">
        <v>27000</v>
      </c>
      <c r="T12" s="29">
        <v>0</v>
      </c>
      <c r="U12" s="29">
        <v>0</v>
      </c>
      <c r="V12" s="29">
        <v>0</v>
      </c>
      <c r="W12" s="28">
        <v>55000</v>
      </c>
      <c r="X12" s="29">
        <v>0</v>
      </c>
      <c r="Y12" s="28">
        <v>0</v>
      </c>
      <c r="Z12" s="28">
        <v>0</v>
      </c>
      <c r="AA12" s="28">
        <v>0</v>
      </c>
      <c r="AB12" s="28">
        <v>30000</v>
      </c>
      <c r="AC12" s="29">
        <v>0</v>
      </c>
      <c r="AD12" s="28">
        <v>0</v>
      </c>
      <c r="AE12" s="28">
        <v>32000</v>
      </c>
      <c r="AF12" s="28">
        <v>35000</v>
      </c>
      <c r="AG12" s="28">
        <v>28500</v>
      </c>
      <c r="AH12" s="28">
        <v>46000</v>
      </c>
      <c r="AI12" s="28">
        <v>0</v>
      </c>
      <c r="AJ12" s="28">
        <v>0</v>
      </c>
      <c r="AK12" s="28">
        <v>0</v>
      </c>
      <c r="AL12" s="30">
        <v>0</v>
      </c>
      <c r="AM12" s="30">
        <v>11200</v>
      </c>
      <c r="AN12" s="31">
        <v>0</v>
      </c>
      <c r="AO12" s="30">
        <v>14500</v>
      </c>
      <c r="AP12" s="31">
        <v>0</v>
      </c>
      <c r="AQ12" s="31">
        <v>0</v>
      </c>
      <c r="AR12" s="31">
        <v>12000</v>
      </c>
      <c r="AS12" s="31">
        <v>7500</v>
      </c>
      <c r="AT12" s="31">
        <v>9</v>
      </c>
      <c r="AU12" s="30">
        <v>206</v>
      </c>
      <c r="AX12" s="2">
        <f t="shared" si="0"/>
        <v>116160</v>
      </c>
      <c r="AY12" s="32">
        <f t="shared" si="1"/>
        <v>111961.44578313253</v>
      </c>
      <c r="AZ12" s="186">
        <f t="shared" si="2"/>
        <v>0.4714699130811074</v>
      </c>
      <c r="BA12" s="186">
        <f t="shared" si="3"/>
        <v>0.044133059267798765</v>
      </c>
      <c r="BB12" s="186">
        <f t="shared" si="4"/>
        <v>0.3212288661327347</v>
      </c>
      <c r="BC12" s="53">
        <f t="shared" si="88"/>
        <v>160000</v>
      </c>
      <c r="BD12" s="53">
        <f t="shared" si="5"/>
        <v>63078.92539985701</v>
      </c>
      <c r="BE12" s="53">
        <f t="shared" si="6"/>
        <v>5904.652398767247</v>
      </c>
      <c r="BF12" s="53">
        <f t="shared" si="7"/>
        <v>42977.86798450827</v>
      </c>
      <c r="BG12" s="53"/>
      <c r="BH12" s="53">
        <f t="shared" si="89"/>
        <v>7</v>
      </c>
      <c r="BI12" s="53">
        <f t="shared" si="90"/>
        <v>6</v>
      </c>
      <c r="BJ12" s="53">
        <f t="shared" si="91"/>
        <v>3</v>
      </c>
      <c r="BK12" s="53">
        <f t="shared" si="92"/>
        <v>4</v>
      </c>
      <c r="BL12" s="53"/>
      <c r="BM12" s="53">
        <f t="shared" si="93"/>
        <v>3</v>
      </c>
      <c r="BN12" s="53">
        <f t="shared" si="94"/>
        <v>3</v>
      </c>
      <c r="BO12" s="53">
        <f t="shared" si="95"/>
        <v>2</v>
      </c>
      <c r="BP12" s="53">
        <f t="shared" si="96"/>
        <v>0</v>
      </c>
      <c r="BQ12" s="53"/>
      <c r="BR12" s="53">
        <f t="shared" si="97"/>
        <v>9.75</v>
      </c>
      <c r="BS12" s="53">
        <f t="shared" si="98"/>
        <v>51.300000000000004</v>
      </c>
      <c r="BT12" s="53">
        <f t="shared" si="99"/>
        <v>11</v>
      </c>
      <c r="BU12" s="53">
        <f t="shared" si="8"/>
        <v>34584.00000000001</v>
      </c>
      <c r="BV12" s="53"/>
      <c r="BW12" s="53">
        <f t="shared" si="100"/>
        <v>20800</v>
      </c>
      <c r="BX12" s="53">
        <f t="shared" si="101"/>
        <v>-29544.000000000007</v>
      </c>
      <c r="BY12" s="53">
        <f t="shared" si="9"/>
        <v>-26582.54794327082</v>
      </c>
      <c r="BZ12" s="240">
        <f t="shared" si="102"/>
        <v>7.944450000000001</v>
      </c>
      <c r="CC12" s="1">
        <f t="shared" si="10"/>
        <v>0</v>
      </c>
      <c r="CD12" s="195">
        <f t="shared" si="11"/>
        <v>5746.4</v>
      </c>
      <c r="CE12" s="195">
        <f t="shared" si="12"/>
        <v>5746.4</v>
      </c>
      <c r="CF12" s="239">
        <f t="shared" si="13"/>
        <v>2.9</v>
      </c>
      <c r="CG12" s="239">
        <f t="shared" si="13"/>
        <v>19.92</v>
      </c>
      <c r="CH12" s="1">
        <f t="shared" si="103"/>
        <v>9561.6</v>
      </c>
      <c r="CI12" s="217" t="s">
        <v>620</v>
      </c>
      <c r="CJ12" s="218">
        <v>0</v>
      </c>
      <c r="CK12" s="211">
        <f t="shared" si="14"/>
        <v>0</v>
      </c>
      <c r="CL12" s="211">
        <f t="shared" si="15"/>
        <v>0</v>
      </c>
      <c r="CM12" s="211">
        <f t="shared" si="16"/>
        <v>0</v>
      </c>
      <c r="CQ12" s="1">
        <f t="shared" si="104"/>
        <v>1</v>
      </c>
      <c r="CR12" s="195">
        <f t="shared" si="17"/>
        <v>10000</v>
      </c>
      <c r="CS12" s="195"/>
      <c r="CT12" s="195"/>
      <c r="CV12" s="199">
        <f t="shared" si="18"/>
        <v>84.32946460798074</v>
      </c>
      <c r="CW12" s="199">
        <f t="shared" si="19"/>
        <v>27.027070382995788</v>
      </c>
      <c r="CX12" s="199">
        <f t="shared" si="20"/>
        <v>53.153238419891714</v>
      </c>
      <c r="CY12" s="199">
        <f t="shared" si="21"/>
        <v>0</v>
      </c>
      <c r="CZ12" s="199">
        <f t="shared" si="22"/>
        <v>0</v>
      </c>
      <c r="DA12" s="199">
        <f t="shared" si="23"/>
        <v>0</v>
      </c>
      <c r="DB12" s="199">
        <f t="shared" si="24"/>
        <v>14.314337276919991</v>
      </c>
      <c r="DC12" s="199">
        <f t="shared" si="25"/>
        <v>0</v>
      </c>
      <c r="DD12" s="199">
        <f t="shared" si="26"/>
        <v>0</v>
      </c>
      <c r="DE12" s="199">
        <f t="shared" si="27"/>
        <v>0</v>
      </c>
      <c r="DF12" s="199">
        <f t="shared" si="28"/>
        <v>0</v>
      </c>
      <c r="DG12" s="199">
        <f t="shared" si="29"/>
        <v>39.789853619410465</v>
      </c>
      <c r="DH12" s="199">
        <f t="shared" si="30"/>
        <v>0</v>
      </c>
      <c r="DI12" s="199">
        <f t="shared" si="31"/>
        <v>0</v>
      </c>
      <c r="DJ12" s="199">
        <f t="shared" si="32"/>
        <v>4.372379386404651</v>
      </c>
      <c r="DK12" s="199">
        <f t="shared" si="33"/>
        <v>4.782289953880087</v>
      </c>
      <c r="DL12" s="199">
        <f t="shared" si="34"/>
        <v>3.894150391016643</v>
      </c>
      <c r="DM12" s="199">
        <f t="shared" si="35"/>
        <v>6.285295367956687</v>
      </c>
      <c r="DN12" s="199">
        <f t="shared" si="36"/>
        <v>0</v>
      </c>
      <c r="DO12" s="199">
        <f t="shared" si="37"/>
        <v>0</v>
      </c>
      <c r="DP12" s="199">
        <f t="shared" si="38"/>
        <v>0</v>
      </c>
      <c r="DQ12" s="199">
        <f t="shared" si="39"/>
        <v>0</v>
      </c>
      <c r="DR12" s="199">
        <f t="shared" si="40"/>
        <v>1.6816843793864045</v>
      </c>
      <c r="DS12" s="199">
        <f t="shared" si="41"/>
        <v>0</v>
      </c>
      <c r="DT12" s="199">
        <f t="shared" si="42"/>
        <v>41.60834168838981</v>
      </c>
      <c r="DU12" s="199">
        <f t="shared" si="43"/>
        <v>0</v>
      </c>
      <c r="DV12" s="199">
        <f t="shared" si="44"/>
        <v>0</v>
      </c>
      <c r="DW12" s="199">
        <f t="shared" si="45"/>
        <v>10.010026067776218</v>
      </c>
      <c r="DX12" s="199">
        <f t="shared" si="46"/>
        <v>0.48548626428714653</v>
      </c>
      <c r="DY12" s="199">
        <f t="shared" si="47"/>
        <v>0.37237296972127526</v>
      </c>
      <c r="DZ12" s="199">
        <f t="shared" si="48"/>
        <v>0.013334689392420291</v>
      </c>
      <c r="EA12" s="199">
        <f t="shared" si="49"/>
        <v>65.00274547075406</v>
      </c>
      <c r="EB12" s="199">
        <f t="shared" si="50"/>
        <v>8.530002306720363</v>
      </c>
      <c r="EC12" s="202">
        <f t="shared" si="51"/>
        <v>365.6520732428844</v>
      </c>
      <c r="ED12" s="202">
        <f>SUM(CV12:DI12,DS12:DT12,DW12,DY12,EA12:EB12)</f>
        <v>344.1374528105604</v>
      </c>
      <c r="EE12" s="203">
        <f t="shared" si="52"/>
        <v>56.96606361716759</v>
      </c>
      <c r="EF12" s="199"/>
      <c r="EI12" s="1">
        <f t="shared" si="53"/>
        <v>0.5699766927982697</v>
      </c>
      <c r="EJ12" s="1">
        <f t="shared" si="54"/>
        <v>0.010606863429336002</v>
      </c>
      <c r="EK12" s="1">
        <f t="shared" si="55"/>
        <v>0.24682268761392</v>
      </c>
      <c r="EL12" s="1">
        <f t="shared" si="56"/>
        <v>0</v>
      </c>
      <c r="EM12" s="1">
        <f t="shared" si="57"/>
        <v>0</v>
      </c>
      <c r="EN12" s="1">
        <f t="shared" si="58"/>
        <v>0</v>
      </c>
      <c r="EO12" s="1">
        <f t="shared" si="59"/>
        <v>0.2644897670328</v>
      </c>
      <c r="EP12" s="1">
        <f t="shared" si="60"/>
        <v>0</v>
      </c>
      <c r="EQ12" s="1">
        <f t="shared" si="61"/>
        <v>0</v>
      </c>
      <c r="ER12" s="1">
        <f t="shared" si="62"/>
        <v>0</v>
      </c>
      <c r="ES12" s="1">
        <f t="shared" si="63"/>
        <v>0</v>
      </c>
      <c r="ET12" s="1">
        <f t="shared" si="64"/>
        <v>0.14589546715944002</v>
      </c>
      <c r="EU12" s="1">
        <f t="shared" si="65"/>
        <v>0</v>
      </c>
      <c r="EV12" s="1">
        <f t="shared" si="66"/>
        <v>0</v>
      </c>
      <c r="EW12" s="1">
        <f t="shared" si="67"/>
        <v>0.059350736407200004</v>
      </c>
      <c r="EX12" s="1">
        <f t="shared" si="68"/>
        <v>0.059350736407200004</v>
      </c>
      <c r="EY12" s="1">
        <f t="shared" si="69"/>
        <v>0.059350736407200004</v>
      </c>
      <c r="EZ12" s="1">
        <f t="shared" si="70"/>
        <v>0.10099701098903999</v>
      </c>
      <c r="FA12" s="1">
        <f t="shared" si="71"/>
        <v>0</v>
      </c>
      <c r="FB12" s="1">
        <f t="shared" si="72"/>
        <v>0</v>
      </c>
      <c r="FC12" s="1">
        <f t="shared" si="73"/>
        <v>0</v>
      </c>
      <c r="FD12" s="1">
        <f t="shared" si="74"/>
        <v>0</v>
      </c>
      <c r="FE12" s="1">
        <f t="shared" si="75"/>
        <v>0.059350736407200004</v>
      </c>
      <c r="FF12" s="1">
        <f t="shared" si="76"/>
        <v>0</v>
      </c>
      <c r="FG12" s="1">
        <f t="shared" si="77"/>
        <v>0.059350736407200004</v>
      </c>
      <c r="FH12" s="1">
        <f t="shared" si="78"/>
        <v>0</v>
      </c>
      <c r="FI12" s="1">
        <f t="shared" si="79"/>
        <v>0</v>
      </c>
      <c r="FJ12" s="1">
        <f t="shared" si="80"/>
        <v>0</v>
      </c>
      <c r="FK12" s="1">
        <f t="shared" si="81"/>
        <v>0</v>
      </c>
      <c r="FL12" s="1">
        <f t="shared" si="82"/>
        <v>4.300268812675172</v>
      </c>
      <c r="FM12" s="1">
        <f t="shared" si="83"/>
        <v>0.0057571153094400015</v>
      </c>
      <c r="FN12" s="1">
        <f t="shared" si="84"/>
        <v>7.46760736344</v>
      </c>
      <c r="FO12" s="1">
        <f>IF(O12=0,0,SUM(EI12:FN12))</f>
        <v>13.409175462483416</v>
      </c>
    </row>
    <row r="13" spans="1:171" ht="12.75">
      <c r="A13" s="33">
        <v>105</v>
      </c>
      <c r="B13" s="34" t="s">
        <v>93</v>
      </c>
      <c r="C13" s="34" t="s">
        <v>94</v>
      </c>
      <c r="D13" s="35" t="s">
        <v>95</v>
      </c>
      <c r="E13" s="35">
        <v>1</v>
      </c>
      <c r="F13" s="26" t="s">
        <v>73</v>
      </c>
      <c r="G13" s="26" t="s">
        <v>74</v>
      </c>
      <c r="H13" s="35" t="s">
        <v>75</v>
      </c>
      <c r="I13" s="35">
        <v>3</v>
      </c>
      <c r="J13" s="35"/>
      <c r="K13" s="26">
        <f t="shared" si="85"/>
        <v>1</v>
      </c>
      <c r="L13" s="26">
        <f t="shared" si="86"/>
        <v>1</v>
      </c>
      <c r="M13" s="33">
        <v>394900</v>
      </c>
      <c r="N13" s="33">
        <v>752500</v>
      </c>
      <c r="O13" s="27">
        <f t="shared" si="87"/>
        <v>175000</v>
      </c>
      <c r="P13" s="30">
        <v>175000</v>
      </c>
      <c r="Q13" s="30">
        <v>191000</v>
      </c>
      <c r="R13" s="30">
        <v>0</v>
      </c>
      <c r="S13" s="31">
        <v>0</v>
      </c>
      <c r="T13" s="31">
        <v>0</v>
      </c>
      <c r="U13" s="31">
        <v>0</v>
      </c>
      <c r="V13" s="31">
        <v>0</v>
      </c>
      <c r="W13" s="30">
        <v>105000</v>
      </c>
      <c r="X13" s="31">
        <v>0</v>
      </c>
      <c r="Y13" s="30">
        <v>0</v>
      </c>
      <c r="Z13" s="30">
        <v>0</v>
      </c>
      <c r="AA13" s="30">
        <v>0</v>
      </c>
      <c r="AB13" s="30">
        <v>0</v>
      </c>
      <c r="AC13" s="30">
        <v>20000</v>
      </c>
      <c r="AD13" s="30">
        <v>0</v>
      </c>
      <c r="AE13" s="30">
        <v>45000</v>
      </c>
      <c r="AF13" s="30">
        <v>65000</v>
      </c>
      <c r="AG13" s="30">
        <v>0</v>
      </c>
      <c r="AH13" s="30">
        <v>0</v>
      </c>
      <c r="AI13" s="30">
        <v>40000</v>
      </c>
      <c r="AJ13" s="30">
        <v>0</v>
      </c>
      <c r="AK13" s="30">
        <v>0</v>
      </c>
      <c r="AL13" s="30">
        <v>0</v>
      </c>
      <c r="AM13" s="30">
        <v>12000</v>
      </c>
      <c r="AN13" s="31">
        <v>8000</v>
      </c>
      <c r="AO13" s="30">
        <v>0</v>
      </c>
      <c r="AP13" s="31">
        <v>0</v>
      </c>
      <c r="AQ13" s="31">
        <v>0</v>
      </c>
      <c r="AR13" s="31">
        <v>0</v>
      </c>
      <c r="AS13" s="31">
        <v>0</v>
      </c>
      <c r="AT13" s="31">
        <v>0</v>
      </c>
      <c r="AU13" s="30">
        <v>33</v>
      </c>
      <c r="AX13" s="2">
        <f t="shared" si="0"/>
        <v>161040</v>
      </c>
      <c r="AY13" s="32">
        <f t="shared" si="1"/>
        <v>147549.73821989528</v>
      </c>
      <c r="AZ13" s="186">
        <f t="shared" si="2"/>
        <v>0.4714699130811074</v>
      </c>
      <c r="BA13" s="186">
        <f t="shared" si="3"/>
        <v>0.044133059267798765</v>
      </c>
      <c r="BB13" s="186">
        <f t="shared" si="4"/>
        <v>0.3212288661327347</v>
      </c>
      <c r="BC13" s="53">
        <f t="shared" si="88"/>
        <v>175000</v>
      </c>
      <c r="BD13" s="53">
        <f t="shared" si="5"/>
        <v>83129.32067677342</v>
      </c>
      <c r="BE13" s="53">
        <f t="shared" si="6"/>
        <v>7781.5171965994605</v>
      </c>
      <c r="BF13" s="53">
        <f t="shared" si="7"/>
        <v>56638.90034652241</v>
      </c>
      <c r="BG13" s="53"/>
      <c r="BH13" s="53">
        <f t="shared" si="89"/>
        <v>7</v>
      </c>
      <c r="BI13" s="53">
        <f t="shared" si="90"/>
        <v>7</v>
      </c>
      <c r="BJ13" s="53">
        <f t="shared" si="91"/>
        <v>3</v>
      </c>
      <c r="BK13" s="53">
        <f t="shared" si="92"/>
        <v>5</v>
      </c>
      <c r="BL13" s="53"/>
      <c r="BM13" s="53">
        <f t="shared" si="93"/>
        <v>3</v>
      </c>
      <c r="BN13" s="53">
        <f t="shared" si="94"/>
        <v>3</v>
      </c>
      <c r="BO13" s="53">
        <f t="shared" si="95"/>
        <v>2</v>
      </c>
      <c r="BP13" s="53">
        <f t="shared" si="96"/>
        <v>0</v>
      </c>
      <c r="BQ13" s="53"/>
      <c r="BR13" s="53">
        <f t="shared" si="97"/>
        <v>9.75</v>
      </c>
      <c r="BS13" s="53">
        <f t="shared" si="98"/>
        <v>51.300000000000004</v>
      </c>
      <c r="BT13" s="53">
        <f t="shared" si="99"/>
        <v>11</v>
      </c>
      <c r="BU13" s="53">
        <f t="shared" si="8"/>
        <v>34584.00000000001</v>
      </c>
      <c r="BV13" s="53"/>
      <c r="BW13" s="53">
        <f t="shared" si="100"/>
        <v>20800</v>
      </c>
      <c r="BX13" s="53">
        <f t="shared" si="101"/>
        <v>-29544.000000000007</v>
      </c>
      <c r="BY13" s="53">
        <f t="shared" si="9"/>
        <v>-26582.54794327082</v>
      </c>
      <c r="BZ13" s="240">
        <f t="shared" si="102"/>
        <v>7.944450000000001</v>
      </c>
      <c r="CC13" s="1">
        <f t="shared" si="10"/>
        <v>0</v>
      </c>
      <c r="CD13" s="195">
        <f t="shared" si="11"/>
        <v>5746.4</v>
      </c>
      <c r="CE13" s="195">
        <f t="shared" si="12"/>
        <v>5746.4</v>
      </c>
      <c r="CF13" s="239">
        <f t="shared" si="13"/>
        <v>2.9</v>
      </c>
      <c r="CG13" s="239">
        <f t="shared" si="13"/>
        <v>19.92</v>
      </c>
      <c r="CH13" s="1">
        <f t="shared" si="103"/>
        <v>9561.6</v>
      </c>
      <c r="CI13" s="217" t="s">
        <v>617</v>
      </c>
      <c r="CJ13" s="218">
        <f>Calc_Checks!K22</f>
        <v>0</v>
      </c>
      <c r="CK13" s="211">
        <f t="shared" si="14"/>
        <v>0</v>
      </c>
      <c r="CL13" s="211">
        <f t="shared" si="15"/>
        <v>0</v>
      </c>
      <c r="CM13" s="211">
        <f t="shared" si="16"/>
        <v>0</v>
      </c>
      <c r="CQ13" s="1">
        <f t="shared" si="104"/>
        <v>1</v>
      </c>
      <c r="CR13" s="195">
        <f t="shared" si="17"/>
        <v>10000</v>
      </c>
      <c r="CS13" s="195"/>
      <c r="CT13" s="195"/>
      <c r="CV13" s="199">
        <f t="shared" si="18"/>
        <v>97.02968518147182</v>
      </c>
      <c r="CW13" s="199">
        <f t="shared" si="19"/>
        <v>0</v>
      </c>
      <c r="CX13" s="199">
        <f t="shared" si="20"/>
        <v>0</v>
      </c>
      <c r="CY13" s="199">
        <f t="shared" si="21"/>
        <v>0</v>
      </c>
      <c r="CZ13" s="199">
        <f t="shared" si="22"/>
        <v>0</v>
      </c>
      <c r="DA13" s="199">
        <f t="shared" si="23"/>
        <v>0</v>
      </c>
      <c r="DB13" s="199">
        <f t="shared" si="24"/>
        <v>27.32737116502907</v>
      </c>
      <c r="DC13" s="199">
        <f t="shared" si="25"/>
        <v>0</v>
      </c>
      <c r="DD13" s="199">
        <f t="shared" si="26"/>
        <v>0</v>
      </c>
      <c r="DE13" s="199">
        <f t="shared" si="27"/>
        <v>0</v>
      </c>
      <c r="DF13" s="199">
        <f t="shared" si="28"/>
        <v>0</v>
      </c>
      <c r="DG13" s="199">
        <f t="shared" si="29"/>
        <v>0</v>
      </c>
      <c r="DH13" s="199">
        <f t="shared" si="30"/>
        <v>26.526569079606976</v>
      </c>
      <c r="DI13" s="199">
        <f t="shared" si="31"/>
        <v>0</v>
      </c>
      <c r="DJ13" s="199">
        <f t="shared" si="32"/>
        <v>6.148658512131541</v>
      </c>
      <c r="DK13" s="199">
        <f t="shared" si="33"/>
        <v>8.881395628634449</v>
      </c>
      <c r="DL13" s="199">
        <f t="shared" si="34"/>
        <v>0</v>
      </c>
      <c r="DM13" s="199">
        <f t="shared" si="35"/>
        <v>0</v>
      </c>
      <c r="DN13" s="199">
        <f t="shared" si="36"/>
        <v>5.465474233005814</v>
      </c>
      <c r="DO13" s="199">
        <f t="shared" si="37"/>
        <v>0</v>
      </c>
      <c r="DP13" s="199">
        <f t="shared" si="38"/>
        <v>0</v>
      </c>
      <c r="DQ13" s="199">
        <f t="shared" si="39"/>
        <v>0</v>
      </c>
      <c r="DR13" s="199">
        <f t="shared" si="40"/>
        <v>1.801804692199719</v>
      </c>
      <c r="DS13" s="199">
        <f t="shared" si="41"/>
        <v>21.22125526368558</v>
      </c>
      <c r="DT13" s="199">
        <f t="shared" si="42"/>
        <v>0</v>
      </c>
      <c r="DU13" s="199">
        <f t="shared" si="43"/>
        <v>0</v>
      </c>
      <c r="DV13" s="199">
        <f t="shared" si="44"/>
        <v>0</v>
      </c>
      <c r="DW13" s="199">
        <f t="shared" si="45"/>
        <v>0</v>
      </c>
      <c r="DX13" s="199">
        <f t="shared" si="46"/>
        <v>0</v>
      </c>
      <c r="DY13" s="199">
        <f t="shared" si="47"/>
        <v>0</v>
      </c>
      <c r="DZ13" s="199">
        <f t="shared" si="48"/>
        <v>0.0021361395628634447</v>
      </c>
      <c r="EA13" s="199">
        <f t="shared" si="49"/>
        <v>85.6646501007331</v>
      </c>
      <c r="EB13" s="199">
        <f t="shared" si="50"/>
        <v>10.116691368238046</v>
      </c>
      <c r="EC13" s="202">
        <f t="shared" si="51"/>
        <v>290.1856913642989</v>
      </c>
      <c r="ED13" s="202">
        <f>SUM(CV13:DI13,DS13:DT13,DW13,DY13,EA13:EB13)</f>
        <v>267.8862221587646</v>
      </c>
      <c r="EE13" s="203">
        <f t="shared" si="52"/>
        <v>44.34397781766398</v>
      </c>
      <c r="EF13" s="199">
        <f>(CV13+DH13+DS13+EA13+EB13)*365/2205</f>
        <v>39.82039937084511</v>
      </c>
      <c r="EI13" s="1">
        <f t="shared" si="53"/>
        <v>0.5699766927982697</v>
      </c>
      <c r="EJ13" s="1">
        <f t="shared" si="54"/>
        <v>0</v>
      </c>
      <c r="EK13" s="1">
        <f t="shared" si="55"/>
        <v>0</v>
      </c>
      <c r="EL13" s="1">
        <f t="shared" si="56"/>
        <v>0</v>
      </c>
      <c r="EM13" s="1">
        <f t="shared" si="57"/>
        <v>0</v>
      </c>
      <c r="EN13" s="1">
        <f t="shared" si="58"/>
        <v>0</v>
      </c>
      <c r="EO13" s="1">
        <f t="shared" si="59"/>
        <v>0.2644897670328</v>
      </c>
      <c r="EP13" s="1">
        <f t="shared" si="60"/>
        <v>0</v>
      </c>
      <c r="EQ13" s="1">
        <f t="shared" si="61"/>
        <v>0</v>
      </c>
      <c r="ER13" s="1">
        <f t="shared" si="62"/>
        <v>0</v>
      </c>
      <c r="ES13" s="1">
        <f t="shared" si="63"/>
        <v>0</v>
      </c>
      <c r="ET13" s="1">
        <f t="shared" si="64"/>
        <v>0</v>
      </c>
      <c r="EU13" s="1">
        <f t="shared" si="65"/>
        <v>0.14589546715944002</v>
      </c>
      <c r="EV13" s="1">
        <f t="shared" si="66"/>
        <v>0</v>
      </c>
      <c r="EW13" s="1">
        <f t="shared" si="67"/>
        <v>0.10099701098903999</v>
      </c>
      <c r="EX13" s="1">
        <f t="shared" si="68"/>
        <v>0.10099701098903999</v>
      </c>
      <c r="EY13" s="1">
        <f t="shared" si="69"/>
        <v>0</v>
      </c>
      <c r="EZ13" s="1">
        <f t="shared" si="70"/>
        <v>0</v>
      </c>
      <c r="FA13" s="1">
        <f t="shared" si="71"/>
        <v>0.10099701098903999</v>
      </c>
      <c r="FB13" s="1">
        <f t="shared" si="72"/>
        <v>0</v>
      </c>
      <c r="FC13" s="1">
        <f t="shared" si="73"/>
        <v>0</v>
      </c>
      <c r="FD13" s="1">
        <f t="shared" si="74"/>
        <v>0</v>
      </c>
      <c r="FE13" s="1">
        <f t="shared" si="75"/>
        <v>0.059350736407200004</v>
      </c>
      <c r="FF13" s="1">
        <f t="shared" si="76"/>
        <v>0.059350736407200004</v>
      </c>
      <c r="FG13" s="1">
        <f t="shared" si="77"/>
        <v>0</v>
      </c>
      <c r="FH13" s="1">
        <f t="shared" si="78"/>
        <v>0</v>
      </c>
      <c r="FI13" s="1">
        <f t="shared" si="79"/>
        <v>0</v>
      </c>
      <c r="FJ13" s="1">
        <f t="shared" si="80"/>
        <v>0</v>
      </c>
      <c r="FK13" s="1">
        <f t="shared" si="81"/>
        <v>0</v>
      </c>
      <c r="FL13" s="1">
        <f t="shared" si="82"/>
        <v>0</v>
      </c>
      <c r="FM13" s="1">
        <f t="shared" si="83"/>
        <v>0.0034234991863440005</v>
      </c>
      <c r="FN13" s="1">
        <f t="shared" si="84"/>
        <v>7.46760736344</v>
      </c>
      <c r="FO13" s="1">
        <f>IF(O13=0,0,SUM(EI13:FN13))</f>
        <v>8.873085295398374</v>
      </c>
    </row>
    <row r="14" spans="1:171" ht="12.75">
      <c r="A14" s="33">
        <v>106</v>
      </c>
      <c r="B14" s="34" t="s">
        <v>96</v>
      </c>
      <c r="C14" s="34" t="s">
        <v>97</v>
      </c>
      <c r="D14" s="35" t="s">
        <v>95</v>
      </c>
      <c r="E14" s="35">
        <v>1</v>
      </c>
      <c r="F14" s="26" t="s">
        <v>73</v>
      </c>
      <c r="G14" s="26" t="s">
        <v>74</v>
      </c>
      <c r="H14" s="35" t="s">
        <v>75</v>
      </c>
      <c r="I14" s="35">
        <v>3</v>
      </c>
      <c r="J14" s="35"/>
      <c r="K14" s="26">
        <f t="shared" si="85"/>
        <v>1</v>
      </c>
      <c r="L14" s="26">
        <f t="shared" si="86"/>
        <v>1</v>
      </c>
      <c r="M14" s="33">
        <v>395500</v>
      </c>
      <c r="N14" s="33">
        <v>751200</v>
      </c>
      <c r="O14" s="27">
        <f t="shared" si="87"/>
        <v>335000</v>
      </c>
      <c r="P14" s="30">
        <v>335000</v>
      </c>
      <c r="Q14" s="30">
        <v>355000</v>
      </c>
      <c r="R14" s="30">
        <v>163200</v>
      </c>
      <c r="S14" s="31">
        <v>0</v>
      </c>
      <c r="T14" s="31">
        <v>0</v>
      </c>
      <c r="U14" s="31">
        <v>0</v>
      </c>
      <c r="V14" s="31">
        <v>0</v>
      </c>
      <c r="W14" s="30">
        <v>123500</v>
      </c>
      <c r="X14" s="31">
        <v>0</v>
      </c>
      <c r="Y14" s="30">
        <v>0</v>
      </c>
      <c r="Z14" s="30">
        <v>0</v>
      </c>
      <c r="AA14" s="30">
        <v>0</v>
      </c>
      <c r="AB14" s="30">
        <v>0</v>
      </c>
      <c r="AC14" s="30">
        <v>86000</v>
      </c>
      <c r="AD14" s="30">
        <v>0</v>
      </c>
      <c r="AE14" s="30">
        <v>88000</v>
      </c>
      <c r="AF14" s="30">
        <v>65000</v>
      </c>
      <c r="AG14" s="30">
        <v>0</v>
      </c>
      <c r="AH14" s="30">
        <v>0</v>
      </c>
      <c r="AI14" s="30">
        <v>89000</v>
      </c>
      <c r="AJ14" s="30">
        <v>0</v>
      </c>
      <c r="AK14" s="30">
        <v>24000</v>
      </c>
      <c r="AL14" s="30">
        <v>0</v>
      </c>
      <c r="AM14" s="30">
        <v>26000</v>
      </c>
      <c r="AN14" s="31">
        <v>4920</v>
      </c>
      <c r="AO14" s="30">
        <v>0</v>
      </c>
      <c r="AP14" s="31">
        <v>5000</v>
      </c>
      <c r="AQ14" s="31">
        <v>0</v>
      </c>
      <c r="AR14" s="31">
        <v>0</v>
      </c>
      <c r="AS14" s="31">
        <v>0</v>
      </c>
      <c r="AT14" s="31">
        <v>0</v>
      </c>
      <c r="AU14" s="30">
        <v>260</v>
      </c>
      <c r="AX14" s="2">
        <f t="shared" si="0"/>
        <v>308070.4</v>
      </c>
      <c r="AY14" s="32">
        <f t="shared" si="1"/>
        <v>290714.32112676057</v>
      </c>
      <c r="AZ14" s="186">
        <f t="shared" si="2"/>
        <v>0.4714699130811074</v>
      </c>
      <c r="BA14" s="186">
        <f t="shared" si="3"/>
        <v>0.044133059267798765</v>
      </c>
      <c r="BB14" s="186">
        <f t="shared" si="4"/>
        <v>0.3212288661327347</v>
      </c>
      <c r="BC14" s="53">
        <f t="shared" si="88"/>
        <v>335000</v>
      </c>
      <c r="BD14" s="53">
        <f t="shared" si="5"/>
        <v>163788.05084872968</v>
      </c>
      <c r="BE14" s="53">
        <f t="shared" si="6"/>
        <v>15331.768910184319</v>
      </c>
      <c r="BF14" s="53">
        <f t="shared" si="7"/>
        <v>111594.50136784656</v>
      </c>
      <c r="BG14" s="53"/>
      <c r="BH14" s="53">
        <f t="shared" si="89"/>
        <v>13</v>
      </c>
      <c r="BI14" s="53">
        <f t="shared" si="90"/>
        <v>11</v>
      </c>
      <c r="BJ14" s="53">
        <f t="shared" si="91"/>
        <v>4</v>
      </c>
      <c r="BK14" s="53">
        <f t="shared" si="92"/>
        <v>9</v>
      </c>
      <c r="BL14" s="53"/>
      <c r="BM14" s="53">
        <f t="shared" si="93"/>
        <v>6</v>
      </c>
      <c r="BN14" s="53">
        <f t="shared" si="94"/>
        <v>5</v>
      </c>
      <c r="BO14" s="53">
        <f t="shared" si="95"/>
        <v>2</v>
      </c>
      <c r="BP14" s="53">
        <f t="shared" si="96"/>
        <v>0</v>
      </c>
      <c r="BQ14" s="53"/>
      <c r="BR14" s="53">
        <f t="shared" si="97"/>
        <v>19.5</v>
      </c>
      <c r="BS14" s="53">
        <f t="shared" si="98"/>
        <v>85.5</v>
      </c>
      <c r="BT14" s="53">
        <f t="shared" si="99"/>
        <v>11</v>
      </c>
      <c r="BU14" s="53">
        <f t="shared" si="8"/>
        <v>55680</v>
      </c>
      <c r="BV14" s="53"/>
      <c r="BW14" s="53">
        <f t="shared" si="100"/>
        <v>33800</v>
      </c>
      <c r="BX14" s="53">
        <f t="shared" si="101"/>
        <v>-47490</v>
      </c>
      <c r="BY14" s="53">
        <f t="shared" si="9"/>
        <v>-42677.64040781507</v>
      </c>
      <c r="BZ14" s="240">
        <f t="shared" si="102"/>
        <v>12.54</v>
      </c>
      <c r="CC14" s="1">
        <f t="shared" si="10"/>
        <v>0</v>
      </c>
      <c r="CD14" s="195">
        <f t="shared" si="11"/>
        <v>8619.599999999999</v>
      </c>
      <c r="CE14" s="195">
        <f t="shared" si="12"/>
        <v>8619.599999999999</v>
      </c>
      <c r="CF14" s="239">
        <f t="shared" si="13"/>
        <v>4.35</v>
      </c>
      <c r="CG14" s="239">
        <f t="shared" si="13"/>
        <v>29.880000000000003</v>
      </c>
      <c r="CH14" s="1">
        <f t="shared" si="103"/>
        <v>14342.400000000001</v>
      </c>
      <c r="CI14" s="217" t="s">
        <v>618</v>
      </c>
      <c r="CJ14" s="218">
        <f>Calc_Checks!K23</f>
        <v>0</v>
      </c>
      <c r="CK14" s="211">
        <f t="shared" si="14"/>
        <v>0</v>
      </c>
      <c r="CL14" s="211">
        <f t="shared" si="15"/>
        <v>0</v>
      </c>
      <c r="CM14" s="211">
        <f t="shared" si="16"/>
        <v>0</v>
      </c>
      <c r="CQ14" s="1">
        <f t="shared" si="104"/>
        <v>1</v>
      </c>
      <c r="CR14" s="195">
        <f t="shared" si="17"/>
        <v>10000</v>
      </c>
      <c r="CS14" s="195"/>
      <c r="CT14" s="195"/>
      <c r="CV14" s="199">
        <f t="shared" si="18"/>
        <v>180.34313214357329</v>
      </c>
      <c r="CW14" s="199">
        <f t="shared" si="19"/>
        <v>49.00908762783236</v>
      </c>
      <c r="CX14" s="199">
        <f t="shared" si="20"/>
        <v>0</v>
      </c>
      <c r="CY14" s="199">
        <f t="shared" si="21"/>
        <v>0</v>
      </c>
      <c r="CZ14" s="199">
        <f t="shared" si="22"/>
        <v>0</v>
      </c>
      <c r="DA14" s="199">
        <f t="shared" si="23"/>
        <v>0</v>
      </c>
      <c r="DB14" s="199">
        <f t="shared" si="24"/>
        <v>32.14219370362943</v>
      </c>
      <c r="DC14" s="199">
        <f t="shared" si="25"/>
        <v>0</v>
      </c>
      <c r="DD14" s="199">
        <f t="shared" si="26"/>
        <v>0</v>
      </c>
      <c r="DE14" s="199">
        <f t="shared" si="27"/>
        <v>0</v>
      </c>
      <c r="DF14" s="199">
        <f t="shared" si="28"/>
        <v>0</v>
      </c>
      <c r="DG14" s="199">
        <f t="shared" si="29"/>
        <v>0</v>
      </c>
      <c r="DH14" s="199">
        <f t="shared" si="30"/>
        <v>114.06424704231</v>
      </c>
      <c r="DI14" s="199">
        <f t="shared" si="31"/>
        <v>0</v>
      </c>
      <c r="DJ14" s="199">
        <f t="shared" si="32"/>
        <v>12.024043312612793</v>
      </c>
      <c r="DK14" s="199">
        <f t="shared" si="33"/>
        <v>8.881395628634449</v>
      </c>
      <c r="DL14" s="199">
        <f t="shared" si="34"/>
        <v>0</v>
      </c>
      <c r="DM14" s="199">
        <f t="shared" si="35"/>
        <v>0</v>
      </c>
      <c r="DN14" s="199">
        <f t="shared" si="36"/>
        <v>12.160680168437937</v>
      </c>
      <c r="DO14" s="199">
        <f t="shared" si="37"/>
        <v>0</v>
      </c>
      <c r="DP14" s="199">
        <f t="shared" si="38"/>
        <v>3.2792845398034887</v>
      </c>
      <c r="DQ14" s="199">
        <f t="shared" si="39"/>
        <v>0</v>
      </c>
      <c r="DR14" s="199">
        <f t="shared" si="40"/>
        <v>3.9039101664327247</v>
      </c>
      <c r="DS14" s="199">
        <f t="shared" si="41"/>
        <v>13.051071987166631</v>
      </c>
      <c r="DT14" s="199">
        <f t="shared" si="42"/>
        <v>0</v>
      </c>
      <c r="DU14" s="199">
        <f t="shared" si="43"/>
        <v>0.001459795468217365</v>
      </c>
      <c r="DV14" s="199">
        <f t="shared" si="44"/>
        <v>0</v>
      </c>
      <c r="DW14" s="199">
        <f t="shared" si="45"/>
        <v>0</v>
      </c>
      <c r="DX14" s="199">
        <f t="shared" si="46"/>
        <v>0</v>
      </c>
      <c r="DY14" s="199">
        <f t="shared" si="47"/>
        <v>0</v>
      </c>
      <c r="DZ14" s="199">
        <f t="shared" si="48"/>
        <v>0.01683019049528775</v>
      </c>
      <c r="EA14" s="199">
        <f t="shared" si="49"/>
        <v>168.78336009977485</v>
      </c>
      <c r="EB14" s="199">
        <f t="shared" si="50"/>
        <v>19.62537221844062</v>
      </c>
      <c r="EC14" s="202">
        <f t="shared" si="51"/>
        <v>617.2860686246121</v>
      </c>
      <c r="ED14" s="202">
        <f>SUM(CV14:DI14,DS14:DT14,DW14,DY14,EA14:EB14)</f>
        <v>577.0184648227272</v>
      </c>
      <c r="EE14" s="203">
        <f t="shared" si="52"/>
        <v>95.51552819061017</v>
      </c>
      <c r="EF14" s="199">
        <f>EE13-0.97*EF13</f>
        <v>5.718190427944229</v>
      </c>
      <c r="EI14" s="1">
        <f t="shared" si="53"/>
        <v>0.5699766927982697</v>
      </c>
      <c r="EJ14" s="1">
        <f t="shared" si="54"/>
        <v>0.010606863429336002</v>
      </c>
      <c r="EK14" s="1">
        <f t="shared" si="55"/>
        <v>0</v>
      </c>
      <c r="EL14" s="1">
        <f t="shared" si="56"/>
        <v>0</v>
      </c>
      <c r="EM14" s="1">
        <f t="shared" si="57"/>
        <v>0</v>
      </c>
      <c r="EN14" s="1">
        <f t="shared" si="58"/>
        <v>0</v>
      </c>
      <c r="EO14" s="1">
        <f t="shared" si="59"/>
        <v>0.2644897670328</v>
      </c>
      <c r="EP14" s="1">
        <f t="shared" si="60"/>
        <v>0</v>
      </c>
      <c r="EQ14" s="1">
        <f t="shared" si="61"/>
        <v>0</v>
      </c>
      <c r="ER14" s="1">
        <f t="shared" si="62"/>
        <v>0</v>
      </c>
      <c r="ES14" s="1">
        <f t="shared" si="63"/>
        <v>0</v>
      </c>
      <c r="ET14" s="1">
        <f t="shared" si="64"/>
        <v>0</v>
      </c>
      <c r="EU14" s="1">
        <f t="shared" si="65"/>
        <v>0.14589546715944002</v>
      </c>
      <c r="EV14" s="1">
        <f t="shared" si="66"/>
        <v>0</v>
      </c>
      <c r="EW14" s="1">
        <f t="shared" si="67"/>
        <v>0.10099701098903999</v>
      </c>
      <c r="EX14" s="1">
        <f t="shared" si="68"/>
        <v>0.10099701098903999</v>
      </c>
      <c r="EY14" s="1">
        <f t="shared" si="69"/>
        <v>0</v>
      </c>
      <c r="EZ14" s="1">
        <f t="shared" si="70"/>
        <v>0</v>
      </c>
      <c r="FA14" s="1">
        <f t="shared" si="71"/>
        <v>0.10099701098903999</v>
      </c>
      <c r="FB14" s="1">
        <f t="shared" si="72"/>
        <v>0</v>
      </c>
      <c r="FC14" s="1">
        <f t="shared" si="73"/>
        <v>0.059350736407200004</v>
      </c>
      <c r="FD14" s="1">
        <f t="shared" si="74"/>
        <v>0</v>
      </c>
      <c r="FE14" s="1">
        <f t="shared" si="75"/>
        <v>0.059350736407200004</v>
      </c>
      <c r="FF14" s="1">
        <f t="shared" si="76"/>
        <v>0.059350736407200004</v>
      </c>
      <c r="FG14" s="1">
        <f t="shared" si="77"/>
        <v>0</v>
      </c>
      <c r="FH14" s="1">
        <f t="shared" si="78"/>
        <v>0</v>
      </c>
      <c r="FI14" s="1">
        <f t="shared" si="79"/>
        <v>0</v>
      </c>
      <c r="FJ14" s="1">
        <f t="shared" si="80"/>
        <v>0</v>
      </c>
      <c r="FK14" s="1">
        <f t="shared" si="81"/>
        <v>0</v>
      </c>
      <c r="FL14" s="1">
        <f t="shared" si="82"/>
        <v>0</v>
      </c>
      <c r="FM14" s="1">
        <f t="shared" si="83"/>
        <v>0.0057571153094400015</v>
      </c>
      <c r="FN14" s="1">
        <f t="shared" si="84"/>
        <v>7.46760736344</v>
      </c>
      <c r="FO14" s="1">
        <f>IF(O14=0,0,SUM(EI14:FN14))</f>
        <v>8.945376511358006</v>
      </c>
    </row>
    <row r="15" spans="1:171" ht="12.75">
      <c r="A15" s="33">
        <v>107</v>
      </c>
      <c r="B15" s="34" t="s">
        <v>98</v>
      </c>
      <c r="C15" s="34" t="s">
        <v>99</v>
      </c>
      <c r="D15" s="35" t="s">
        <v>95</v>
      </c>
      <c r="E15" s="35">
        <v>1</v>
      </c>
      <c r="F15" s="26" t="s">
        <v>73</v>
      </c>
      <c r="G15" s="26" t="s">
        <v>74</v>
      </c>
      <c r="H15" s="35" t="s">
        <v>75</v>
      </c>
      <c r="I15" s="35">
        <v>3</v>
      </c>
      <c r="J15" s="35"/>
      <c r="K15" s="26">
        <f t="shared" si="85"/>
        <v>1</v>
      </c>
      <c r="L15" s="26">
        <f t="shared" si="86"/>
        <v>1</v>
      </c>
      <c r="M15" s="33">
        <v>394900</v>
      </c>
      <c r="N15" s="33">
        <v>752400</v>
      </c>
      <c r="O15" s="27">
        <f t="shared" si="87"/>
        <v>185000</v>
      </c>
      <c r="P15" s="30">
        <v>185000</v>
      </c>
      <c r="Q15" s="30">
        <v>190000</v>
      </c>
      <c r="R15" s="30">
        <v>73000</v>
      </c>
      <c r="S15" s="31">
        <v>0</v>
      </c>
      <c r="T15" s="31">
        <v>0</v>
      </c>
      <c r="U15" s="31">
        <v>0</v>
      </c>
      <c r="V15" s="31">
        <v>0</v>
      </c>
      <c r="W15" s="30">
        <v>53000</v>
      </c>
      <c r="X15" s="31">
        <v>0</v>
      </c>
      <c r="Y15" s="30">
        <v>0</v>
      </c>
      <c r="Z15" s="30">
        <v>0</v>
      </c>
      <c r="AA15" s="30">
        <v>22000</v>
      </c>
      <c r="AB15" s="30">
        <v>50000</v>
      </c>
      <c r="AC15" s="30">
        <v>0</v>
      </c>
      <c r="AD15" s="30">
        <v>0</v>
      </c>
      <c r="AE15" s="30">
        <v>54000</v>
      </c>
      <c r="AF15" s="30">
        <v>0</v>
      </c>
      <c r="AG15" s="30">
        <v>13440</v>
      </c>
      <c r="AH15" s="30">
        <v>24360</v>
      </c>
      <c r="AI15" s="30">
        <v>4200</v>
      </c>
      <c r="AJ15" s="30">
        <v>0</v>
      </c>
      <c r="AK15" s="30">
        <v>40000</v>
      </c>
      <c r="AL15" s="30">
        <v>0</v>
      </c>
      <c r="AM15" s="30">
        <v>12000</v>
      </c>
      <c r="AN15" s="31">
        <v>0</v>
      </c>
      <c r="AO15" s="30">
        <v>0</v>
      </c>
      <c r="AP15" s="31">
        <v>0</v>
      </c>
      <c r="AQ15" s="31">
        <v>0</v>
      </c>
      <c r="AR15" s="31">
        <v>0</v>
      </c>
      <c r="AS15" s="31">
        <v>0</v>
      </c>
      <c r="AT15" s="31">
        <v>0</v>
      </c>
      <c r="AU15" s="30">
        <v>41</v>
      </c>
      <c r="AX15" s="2">
        <f t="shared" si="0"/>
        <v>167200</v>
      </c>
      <c r="AY15" s="32">
        <f t="shared" si="1"/>
        <v>162800</v>
      </c>
      <c r="AZ15" s="186">
        <f t="shared" si="2"/>
        <v>0.4714699130811074</v>
      </c>
      <c r="BA15" s="186">
        <f t="shared" si="3"/>
        <v>0.044133059267798765</v>
      </c>
      <c r="BB15" s="186">
        <f t="shared" si="4"/>
        <v>0.3212288661327347</v>
      </c>
      <c r="BC15" s="53">
        <f t="shared" si="88"/>
        <v>185000</v>
      </c>
      <c r="BD15" s="53">
        <f t="shared" si="5"/>
        <v>91721.2973025383</v>
      </c>
      <c r="BE15" s="53">
        <f t="shared" si="6"/>
        <v>8585.789543851428</v>
      </c>
      <c r="BF15" s="53">
        <f t="shared" si="7"/>
        <v>62492.91315361029</v>
      </c>
      <c r="BG15" s="53"/>
      <c r="BH15" s="53">
        <f t="shared" si="89"/>
        <v>8</v>
      </c>
      <c r="BI15" s="53">
        <f t="shared" si="90"/>
        <v>7</v>
      </c>
      <c r="BJ15" s="53">
        <f t="shared" si="91"/>
        <v>3</v>
      </c>
      <c r="BK15" s="53">
        <f t="shared" si="92"/>
        <v>6</v>
      </c>
      <c r="BL15" s="53"/>
      <c r="BM15" s="53">
        <f t="shared" si="93"/>
        <v>4</v>
      </c>
      <c r="BN15" s="53">
        <f t="shared" si="94"/>
        <v>3</v>
      </c>
      <c r="BO15" s="53">
        <f t="shared" si="95"/>
        <v>2</v>
      </c>
      <c r="BP15" s="53">
        <f t="shared" si="96"/>
        <v>0</v>
      </c>
      <c r="BQ15" s="53"/>
      <c r="BR15" s="53">
        <f t="shared" si="97"/>
        <v>13</v>
      </c>
      <c r="BS15" s="53">
        <f t="shared" si="98"/>
        <v>51.300000000000004</v>
      </c>
      <c r="BT15" s="53">
        <f t="shared" si="99"/>
        <v>11</v>
      </c>
      <c r="BU15" s="53">
        <f t="shared" si="8"/>
        <v>36144.00000000001</v>
      </c>
      <c r="BV15" s="53"/>
      <c r="BW15" s="53">
        <f t="shared" si="100"/>
        <v>23400</v>
      </c>
      <c r="BX15" s="53">
        <f t="shared" si="101"/>
        <v>-30474.000000000007</v>
      </c>
      <c r="BY15" s="53">
        <f t="shared" si="9"/>
        <v>-27142.366436179673</v>
      </c>
      <c r="BZ15" s="240">
        <f t="shared" si="102"/>
        <v>8.2337</v>
      </c>
      <c r="CC15" s="1">
        <f t="shared" si="10"/>
        <v>0</v>
      </c>
      <c r="CD15" s="195">
        <f t="shared" si="11"/>
        <v>5746.4</v>
      </c>
      <c r="CE15" s="195">
        <f t="shared" si="12"/>
        <v>5746.4</v>
      </c>
      <c r="CF15" s="239">
        <f t="shared" si="13"/>
        <v>2.9</v>
      </c>
      <c r="CG15" s="239">
        <f t="shared" si="13"/>
        <v>19.92</v>
      </c>
      <c r="CH15" s="1">
        <f t="shared" si="103"/>
        <v>9561.6</v>
      </c>
      <c r="CI15" s="217" t="s">
        <v>619</v>
      </c>
      <c r="CJ15" s="218">
        <f>Calc_Checks!K24</f>
        <v>0</v>
      </c>
      <c r="CK15" s="211">
        <f t="shared" si="14"/>
        <v>0</v>
      </c>
      <c r="CL15" s="211">
        <f t="shared" si="15"/>
        <v>0</v>
      </c>
      <c r="CM15" s="211">
        <f t="shared" si="16"/>
        <v>0</v>
      </c>
      <c r="CQ15" s="1">
        <f t="shared" si="104"/>
        <v>1</v>
      </c>
      <c r="CR15" s="195">
        <f t="shared" si="17"/>
        <v>10000</v>
      </c>
      <c r="CS15" s="195"/>
      <c r="CT15" s="195"/>
      <c r="CV15" s="199">
        <f t="shared" si="18"/>
        <v>96.52167635853218</v>
      </c>
      <c r="CW15" s="199">
        <f t="shared" si="19"/>
        <v>21.921957088429917</v>
      </c>
      <c r="CX15" s="199">
        <f t="shared" si="20"/>
        <v>0</v>
      </c>
      <c r="CY15" s="199">
        <f t="shared" si="21"/>
        <v>0</v>
      </c>
      <c r="CZ15" s="199">
        <f t="shared" si="22"/>
        <v>0</v>
      </c>
      <c r="DA15" s="199">
        <f t="shared" si="23"/>
        <v>0</v>
      </c>
      <c r="DB15" s="199">
        <f t="shared" si="24"/>
        <v>13.793815921395629</v>
      </c>
      <c r="DC15" s="199">
        <f t="shared" si="25"/>
        <v>0</v>
      </c>
      <c r="DD15" s="199">
        <f t="shared" si="26"/>
        <v>0</v>
      </c>
      <c r="DE15" s="199">
        <f t="shared" si="27"/>
        <v>0</v>
      </c>
      <c r="DF15" s="199">
        <f t="shared" si="28"/>
        <v>6.680024062562662</v>
      </c>
      <c r="DG15" s="199">
        <f t="shared" si="29"/>
        <v>66.31642269901744</v>
      </c>
      <c r="DH15" s="199">
        <f t="shared" si="30"/>
        <v>0</v>
      </c>
      <c r="DI15" s="199">
        <f t="shared" si="31"/>
        <v>0</v>
      </c>
      <c r="DJ15" s="199">
        <f t="shared" si="32"/>
        <v>7.37839021455785</v>
      </c>
      <c r="DK15" s="199">
        <f t="shared" si="33"/>
        <v>0</v>
      </c>
      <c r="DL15" s="199">
        <f t="shared" si="34"/>
        <v>1.8363993422899534</v>
      </c>
      <c r="DM15" s="199">
        <f t="shared" si="35"/>
        <v>3.328473807900541</v>
      </c>
      <c r="DN15" s="199">
        <f t="shared" si="36"/>
        <v>0.5738747944656105</v>
      </c>
      <c r="DO15" s="199">
        <f t="shared" si="37"/>
        <v>0</v>
      </c>
      <c r="DP15" s="199">
        <f t="shared" si="38"/>
        <v>5.465474233005814</v>
      </c>
      <c r="DQ15" s="199">
        <f t="shared" si="39"/>
        <v>0</v>
      </c>
      <c r="DR15" s="199">
        <f t="shared" si="40"/>
        <v>1.801804692199719</v>
      </c>
      <c r="DS15" s="199">
        <f t="shared" si="41"/>
        <v>0</v>
      </c>
      <c r="DT15" s="199">
        <f t="shared" si="42"/>
        <v>0</v>
      </c>
      <c r="DU15" s="199">
        <f t="shared" si="43"/>
        <v>0</v>
      </c>
      <c r="DV15" s="199">
        <f t="shared" si="44"/>
        <v>0</v>
      </c>
      <c r="DW15" s="199">
        <f t="shared" si="45"/>
        <v>0</v>
      </c>
      <c r="DX15" s="199">
        <f t="shared" si="46"/>
        <v>0</v>
      </c>
      <c r="DY15" s="199">
        <f t="shared" si="47"/>
        <v>0</v>
      </c>
      <c r="DZ15" s="199">
        <f t="shared" si="48"/>
        <v>0.002653991578103068</v>
      </c>
      <c r="EA15" s="199">
        <f t="shared" si="49"/>
        <v>94.51867014237015</v>
      </c>
      <c r="EB15" s="199">
        <f t="shared" si="50"/>
        <v>10.908659474634048</v>
      </c>
      <c r="EC15" s="202">
        <f t="shared" si="51"/>
        <v>331.04829682293956</v>
      </c>
      <c r="ED15" s="202">
        <f>SUM(CV15:DI15,DS15:DT15,DW15,DY15,EA15:EB15)</f>
        <v>310.66122574694197</v>
      </c>
      <c r="EE15" s="203">
        <f t="shared" si="52"/>
        <v>51.42464734586567</v>
      </c>
      <c r="EF15" s="199"/>
      <c r="EI15" s="1">
        <f t="shared" si="53"/>
        <v>0.5699766927982697</v>
      </c>
      <c r="EJ15" s="1">
        <f t="shared" si="54"/>
        <v>0.010606863429336002</v>
      </c>
      <c r="EK15" s="1">
        <f t="shared" si="55"/>
        <v>0</v>
      </c>
      <c r="EL15" s="1">
        <f t="shared" si="56"/>
        <v>0</v>
      </c>
      <c r="EM15" s="1">
        <f t="shared" si="57"/>
        <v>0</v>
      </c>
      <c r="EN15" s="1">
        <f t="shared" si="58"/>
        <v>0</v>
      </c>
      <c r="EO15" s="1">
        <f t="shared" si="59"/>
        <v>0.2644897670328</v>
      </c>
      <c r="EP15" s="1">
        <f t="shared" si="60"/>
        <v>0</v>
      </c>
      <c r="EQ15" s="1">
        <f t="shared" si="61"/>
        <v>0.21621849683808003</v>
      </c>
      <c r="ER15" s="1">
        <f t="shared" si="62"/>
        <v>0</v>
      </c>
      <c r="ES15" s="1">
        <f t="shared" si="63"/>
        <v>0</v>
      </c>
      <c r="ET15" s="1">
        <f t="shared" si="64"/>
        <v>0.14589546715944002</v>
      </c>
      <c r="EU15" s="1">
        <f t="shared" si="65"/>
        <v>0</v>
      </c>
      <c r="EV15" s="1">
        <f t="shared" si="66"/>
        <v>0</v>
      </c>
      <c r="EW15" s="1">
        <f t="shared" si="67"/>
        <v>0.10099701098903999</v>
      </c>
      <c r="EX15" s="1">
        <f t="shared" si="68"/>
        <v>0</v>
      </c>
      <c r="EY15" s="1">
        <f t="shared" si="69"/>
        <v>0.059350736407200004</v>
      </c>
      <c r="EZ15" s="1">
        <f t="shared" si="70"/>
        <v>0.059350736407200004</v>
      </c>
      <c r="FA15" s="1">
        <f t="shared" si="71"/>
        <v>0.059350736407200004</v>
      </c>
      <c r="FB15" s="1">
        <f t="shared" si="72"/>
        <v>0</v>
      </c>
      <c r="FC15" s="1">
        <f t="shared" si="73"/>
        <v>0.10099701098903999</v>
      </c>
      <c r="FD15" s="1">
        <f t="shared" si="74"/>
        <v>0</v>
      </c>
      <c r="FE15" s="1">
        <f t="shared" si="75"/>
        <v>0.059350736407200004</v>
      </c>
      <c r="FF15" s="1">
        <f t="shared" si="76"/>
        <v>0</v>
      </c>
      <c r="FG15" s="1">
        <f t="shared" si="77"/>
        <v>0</v>
      </c>
      <c r="FH15" s="1">
        <f t="shared" si="78"/>
        <v>0</v>
      </c>
      <c r="FI15" s="1">
        <f t="shared" si="79"/>
        <v>0</v>
      </c>
      <c r="FJ15" s="1">
        <f t="shared" si="80"/>
        <v>0</v>
      </c>
      <c r="FK15" s="1">
        <f t="shared" si="81"/>
        <v>0</v>
      </c>
      <c r="FL15" s="1">
        <f t="shared" si="82"/>
        <v>0</v>
      </c>
      <c r="FM15" s="1">
        <f t="shared" si="83"/>
        <v>0.0034234991863440005</v>
      </c>
      <c r="FN15" s="1">
        <f t="shared" si="84"/>
        <v>7.46760736344</v>
      </c>
      <c r="FO15" s="1">
        <f>IF(O15=0,0,SUM(EI15:FN15))</f>
        <v>9.117615117491148</v>
      </c>
    </row>
    <row r="16" spans="1:171" ht="12.75">
      <c r="A16" s="24">
        <v>140</v>
      </c>
      <c r="B16" s="25" t="s">
        <v>100</v>
      </c>
      <c r="C16" s="25" t="s">
        <v>101</v>
      </c>
      <c r="D16" s="26" t="s">
        <v>102</v>
      </c>
      <c r="E16" s="26">
        <v>1</v>
      </c>
      <c r="F16" s="26" t="s">
        <v>73</v>
      </c>
      <c r="G16" s="35" t="s">
        <v>74</v>
      </c>
      <c r="H16" s="26" t="s">
        <v>75</v>
      </c>
      <c r="I16" s="26">
        <v>3</v>
      </c>
      <c r="J16" s="26"/>
      <c r="K16" s="26">
        <f t="shared" si="85"/>
        <v>1</v>
      </c>
      <c r="L16" s="26">
        <f t="shared" si="86"/>
        <v>1</v>
      </c>
      <c r="M16" s="24">
        <v>371230</v>
      </c>
      <c r="N16" s="24">
        <v>762730</v>
      </c>
      <c r="O16" s="27">
        <f t="shared" si="87"/>
        <v>58600</v>
      </c>
      <c r="P16" s="28">
        <v>58600</v>
      </c>
      <c r="Q16" s="28">
        <v>61800</v>
      </c>
      <c r="R16" s="28">
        <v>37300</v>
      </c>
      <c r="S16" s="29">
        <v>19000</v>
      </c>
      <c r="T16" s="29">
        <v>0</v>
      </c>
      <c r="U16" s="29">
        <v>0</v>
      </c>
      <c r="V16" s="29">
        <v>0</v>
      </c>
      <c r="W16" s="28">
        <v>28200</v>
      </c>
      <c r="X16" s="29">
        <v>2000</v>
      </c>
      <c r="Y16" s="28">
        <v>0</v>
      </c>
      <c r="Z16" s="28">
        <v>0</v>
      </c>
      <c r="AA16" s="28">
        <v>0</v>
      </c>
      <c r="AB16" s="28">
        <v>0</v>
      </c>
      <c r="AC16" s="28">
        <v>12100</v>
      </c>
      <c r="AD16" s="28">
        <v>0</v>
      </c>
      <c r="AE16" s="28">
        <v>11900</v>
      </c>
      <c r="AF16" s="28">
        <v>0</v>
      </c>
      <c r="AG16" s="28">
        <v>0</v>
      </c>
      <c r="AH16" s="28">
        <v>0</v>
      </c>
      <c r="AI16" s="28">
        <v>18960</v>
      </c>
      <c r="AJ16" s="28">
        <v>0</v>
      </c>
      <c r="AK16" s="28">
        <v>0</v>
      </c>
      <c r="AL16" s="28">
        <v>0</v>
      </c>
      <c r="AM16" s="30">
        <v>4200</v>
      </c>
      <c r="AN16" s="31">
        <v>0</v>
      </c>
      <c r="AO16" s="30">
        <v>0</v>
      </c>
      <c r="AP16" s="31">
        <v>0</v>
      </c>
      <c r="AQ16" s="31">
        <v>0</v>
      </c>
      <c r="AR16" s="31">
        <v>0</v>
      </c>
      <c r="AS16" s="31">
        <v>5400</v>
      </c>
      <c r="AT16" s="31">
        <v>0</v>
      </c>
      <c r="AU16" s="30">
        <v>39</v>
      </c>
      <c r="AX16" s="2">
        <f t="shared" si="0"/>
        <v>49632</v>
      </c>
      <c r="AY16" s="32">
        <f t="shared" si="1"/>
        <v>47062.05825242718</v>
      </c>
      <c r="AZ16" s="186">
        <f t="shared" si="2"/>
        <v>0.4714699130811074</v>
      </c>
      <c r="BA16" s="186">
        <f t="shared" si="3"/>
        <v>0.044133059267798765</v>
      </c>
      <c r="BB16" s="186">
        <f t="shared" si="4"/>
        <v>0.3212288661327347</v>
      </c>
      <c r="BC16" s="53">
        <f t="shared" si="88"/>
        <v>58600</v>
      </c>
      <c r="BD16" s="53">
        <f t="shared" si="5"/>
        <v>26514.69924226197</v>
      </c>
      <c r="BE16" s="53">
        <f t="shared" si="6"/>
        <v>2481.97130009715</v>
      </c>
      <c r="BF16" s="53">
        <f t="shared" si="7"/>
        <v>18065.38771006806</v>
      </c>
      <c r="BG16" s="53"/>
      <c r="BH16" s="53">
        <f t="shared" si="89"/>
        <v>3</v>
      </c>
      <c r="BI16" s="53">
        <f t="shared" si="90"/>
        <v>4</v>
      </c>
      <c r="BJ16" s="53">
        <f t="shared" si="91"/>
        <v>3</v>
      </c>
      <c r="BK16" s="53">
        <f t="shared" si="92"/>
        <v>3</v>
      </c>
      <c r="BL16" s="53"/>
      <c r="BM16" s="53">
        <f t="shared" si="93"/>
        <v>2</v>
      </c>
      <c r="BN16" s="53">
        <f t="shared" si="94"/>
        <v>2</v>
      </c>
      <c r="BO16" s="53">
        <f t="shared" si="95"/>
        <v>2</v>
      </c>
      <c r="BP16" s="53">
        <f t="shared" si="96"/>
        <v>0</v>
      </c>
      <c r="BQ16" s="53"/>
      <c r="BR16" s="53">
        <f t="shared" si="97"/>
        <v>6.5</v>
      </c>
      <c r="BS16" s="53">
        <f t="shared" si="98"/>
        <v>34.2</v>
      </c>
      <c r="BT16" s="53">
        <f t="shared" si="99"/>
        <v>11</v>
      </c>
      <c r="BU16" s="53">
        <f t="shared" si="8"/>
        <v>24816</v>
      </c>
      <c r="BV16" s="53"/>
      <c r="BW16" s="53">
        <f t="shared" si="100"/>
        <v>15600</v>
      </c>
      <c r="BX16" s="53">
        <f t="shared" si="101"/>
        <v>-21036</v>
      </c>
      <c r="BY16" s="53">
        <f t="shared" si="9"/>
        <v>-18814.91095745311</v>
      </c>
      <c r="BZ16" s="240">
        <f t="shared" si="102"/>
        <v>5.791300000000001</v>
      </c>
      <c r="CC16" s="1">
        <f t="shared" si="10"/>
        <v>0</v>
      </c>
      <c r="CD16" s="195">
        <f t="shared" si="11"/>
        <v>2873.2</v>
      </c>
      <c r="CE16" s="195">
        <f t="shared" si="12"/>
        <v>2873.2</v>
      </c>
      <c r="CF16" s="239">
        <f t="shared" si="13"/>
        <v>1.45</v>
      </c>
      <c r="CG16" s="239">
        <f t="shared" si="13"/>
        <v>9.96</v>
      </c>
      <c r="CH16" s="1">
        <f t="shared" si="103"/>
        <v>4780.8</v>
      </c>
      <c r="CK16" s="211">
        <f t="shared" si="14"/>
        <v>0</v>
      </c>
      <c r="CL16" s="211">
        <f t="shared" si="15"/>
        <v>0</v>
      </c>
      <c r="CM16" s="211">
        <f t="shared" si="16"/>
        <v>0</v>
      </c>
      <c r="CQ16" s="1">
        <f t="shared" si="104"/>
        <v>1</v>
      </c>
      <c r="CR16" s="195">
        <f t="shared" si="17"/>
        <v>10000</v>
      </c>
      <c r="CS16" s="195"/>
      <c r="CT16" s="195"/>
      <c r="CV16" s="199">
        <f t="shared" si="18"/>
        <v>31.394945257669942</v>
      </c>
      <c r="CW16" s="199">
        <f t="shared" si="19"/>
        <v>11.201219169841588</v>
      </c>
      <c r="CX16" s="199">
        <f t="shared" si="20"/>
        <v>37.4041307399238</v>
      </c>
      <c r="CY16" s="199">
        <f t="shared" si="21"/>
        <v>0</v>
      </c>
      <c r="CZ16" s="199">
        <f t="shared" si="22"/>
        <v>0</v>
      </c>
      <c r="DA16" s="199">
        <f t="shared" si="23"/>
        <v>0</v>
      </c>
      <c r="DB16" s="199">
        <f t="shared" si="24"/>
        <v>7.339351112893523</v>
      </c>
      <c r="DC16" s="199">
        <f t="shared" si="25"/>
        <v>0.5205213555243633</v>
      </c>
      <c r="DD16" s="199">
        <f t="shared" si="26"/>
        <v>0</v>
      </c>
      <c r="DE16" s="199">
        <f t="shared" si="27"/>
        <v>0</v>
      </c>
      <c r="DF16" s="199">
        <f t="shared" si="28"/>
        <v>0</v>
      </c>
      <c r="DG16" s="199">
        <f t="shared" si="29"/>
        <v>0</v>
      </c>
      <c r="DH16" s="199">
        <f t="shared" si="30"/>
        <v>16.048574293162222</v>
      </c>
      <c r="DI16" s="199">
        <f t="shared" si="31"/>
        <v>0</v>
      </c>
      <c r="DJ16" s="199">
        <f t="shared" si="32"/>
        <v>1.62597858431923</v>
      </c>
      <c r="DK16" s="199">
        <f t="shared" si="33"/>
        <v>0</v>
      </c>
      <c r="DL16" s="199">
        <f t="shared" si="34"/>
        <v>0</v>
      </c>
      <c r="DM16" s="199">
        <f t="shared" si="35"/>
        <v>0</v>
      </c>
      <c r="DN16" s="199">
        <f t="shared" si="36"/>
        <v>2.590634786444756</v>
      </c>
      <c r="DO16" s="199">
        <f t="shared" si="37"/>
        <v>0</v>
      </c>
      <c r="DP16" s="199">
        <f t="shared" si="38"/>
        <v>0</v>
      </c>
      <c r="DQ16" s="199">
        <f t="shared" si="39"/>
        <v>0</v>
      </c>
      <c r="DR16" s="199">
        <f t="shared" si="40"/>
        <v>0.6306316422699016</v>
      </c>
      <c r="DS16" s="199">
        <f t="shared" si="41"/>
        <v>0</v>
      </c>
      <c r="DT16" s="199">
        <f t="shared" si="42"/>
        <v>0</v>
      </c>
      <c r="DU16" s="199">
        <f t="shared" si="43"/>
        <v>0</v>
      </c>
      <c r="DV16" s="199">
        <f t="shared" si="44"/>
        <v>0</v>
      </c>
      <c r="DW16" s="199">
        <f t="shared" si="45"/>
        <v>0</v>
      </c>
      <c r="DX16" s="199">
        <f t="shared" si="46"/>
        <v>0.34955011028674554</v>
      </c>
      <c r="DY16" s="199">
        <f t="shared" si="47"/>
        <v>0</v>
      </c>
      <c r="DZ16" s="199">
        <f t="shared" si="48"/>
        <v>0.002524528574293162</v>
      </c>
      <c r="EA16" s="199">
        <f t="shared" si="49"/>
        <v>27.323360934779934</v>
      </c>
      <c r="EB16" s="199">
        <f t="shared" si="50"/>
        <v>3.314063866775947</v>
      </c>
      <c r="EC16" s="202">
        <f t="shared" si="51"/>
        <v>139.74548638246623</v>
      </c>
      <c r="ED16" s="202">
        <f>SUM(CV16:DI16,DS16:DT16,DW16,DY16,EA16:EB16)</f>
        <v>134.54616673057131</v>
      </c>
      <c r="EE16" s="203">
        <f t="shared" si="52"/>
        <v>22.271814447464187</v>
      </c>
      <c r="EF16" s="199"/>
      <c r="EI16" s="1">
        <f t="shared" si="53"/>
        <v>0.5699766927982697</v>
      </c>
      <c r="EJ16" s="1">
        <f t="shared" si="54"/>
        <v>0.010606863429336002</v>
      </c>
      <c r="EK16" s="1">
        <f t="shared" si="55"/>
        <v>0.24682268761392</v>
      </c>
      <c r="EL16" s="1">
        <f t="shared" si="56"/>
        <v>0</v>
      </c>
      <c r="EM16" s="1">
        <f t="shared" si="57"/>
        <v>0</v>
      </c>
      <c r="EN16" s="1">
        <f t="shared" si="58"/>
        <v>0</v>
      </c>
      <c r="EO16" s="1">
        <f t="shared" si="59"/>
        <v>0.2644897670328</v>
      </c>
      <c r="EP16" s="1">
        <f t="shared" si="60"/>
        <v>0</v>
      </c>
      <c r="EQ16" s="1">
        <f t="shared" si="61"/>
        <v>0</v>
      </c>
      <c r="ER16" s="1">
        <f t="shared" si="62"/>
        <v>0</v>
      </c>
      <c r="ES16" s="1">
        <f t="shared" si="63"/>
        <v>0</v>
      </c>
      <c r="ET16" s="1">
        <f t="shared" si="64"/>
        <v>0</v>
      </c>
      <c r="EU16" s="1">
        <f t="shared" si="65"/>
        <v>0.14589546715944002</v>
      </c>
      <c r="EV16" s="1">
        <f t="shared" si="66"/>
        <v>0</v>
      </c>
      <c r="EW16" s="1">
        <f t="shared" si="67"/>
        <v>0.059350736407200004</v>
      </c>
      <c r="EX16" s="1">
        <f t="shared" si="68"/>
        <v>0</v>
      </c>
      <c r="EY16" s="1">
        <f t="shared" si="69"/>
        <v>0</v>
      </c>
      <c r="EZ16" s="1">
        <f t="shared" si="70"/>
        <v>0</v>
      </c>
      <c r="FA16" s="1">
        <f t="shared" si="71"/>
        <v>0.059350736407200004</v>
      </c>
      <c r="FB16" s="1">
        <f t="shared" si="72"/>
        <v>0</v>
      </c>
      <c r="FC16" s="1">
        <f t="shared" si="73"/>
        <v>0</v>
      </c>
      <c r="FD16" s="1">
        <f t="shared" si="74"/>
        <v>0</v>
      </c>
      <c r="FE16" s="1">
        <f t="shared" si="75"/>
        <v>0.059350736407200004</v>
      </c>
      <c r="FF16" s="1">
        <f t="shared" si="76"/>
        <v>0</v>
      </c>
      <c r="FG16" s="1">
        <f t="shared" si="77"/>
        <v>0</v>
      </c>
      <c r="FH16" s="1">
        <f t="shared" si="78"/>
        <v>0</v>
      </c>
      <c r="FI16" s="1">
        <f t="shared" si="79"/>
        <v>0</v>
      </c>
      <c r="FJ16" s="1">
        <f t="shared" si="80"/>
        <v>0</v>
      </c>
      <c r="FK16" s="1">
        <f t="shared" si="81"/>
        <v>0</v>
      </c>
      <c r="FL16" s="1">
        <f t="shared" si="82"/>
        <v>0</v>
      </c>
      <c r="FM16" s="1">
        <f t="shared" si="83"/>
        <v>0.0034234991863440005</v>
      </c>
      <c r="FN16" s="1">
        <f t="shared" si="84"/>
        <v>7.46760736344</v>
      </c>
      <c r="FO16" s="1">
        <f>IF(O16=0,0,SUM(EI16:FN16))</f>
        <v>8.886874549881709</v>
      </c>
    </row>
    <row r="17" spans="1:171" ht="12.75">
      <c r="A17" s="33">
        <v>104</v>
      </c>
      <c r="B17" s="34" t="s">
        <v>103</v>
      </c>
      <c r="C17" s="34" t="s">
        <v>104</v>
      </c>
      <c r="D17" s="35" t="s">
        <v>95</v>
      </c>
      <c r="E17" s="35">
        <v>1</v>
      </c>
      <c r="F17" s="26" t="s">
        <v>105</v>
      </c>
      <c r="G17" s="26" t="s">
        <v>74</v>
      </c>
      <c r="H17" s="35" t="s">
        <v>75</v>
      </c>
      <c r="I17" s="35">
        <v>3</v>
      </c>
      <c r="J17" s="35"/>
      <c r="K17" s="26">
        <f t="shared" si="85"/>
        <v>0</v>
      </c>
      <c r="L17" s="26">
        <f t="shared" si="86"/>
        <v>1</v>
      </c>
      <c r="M17" s="33">
        <v>415756</v>
      </c>
      <c r="N17" s="33">
        <v>783905</v>
      </c>
      <c r="O17" s="27">
        <f t="shared" si="87"/>
        <v>10000</v>
      </c>
      <c r="P17" s="30">
        <v>10000</v>
      </c>
      <c r="Q17" s="30">
        <v>10500</v>
      </c>
      <c r="R17" s="30">
        <v>0</v>
      </c>
      <c r="S17" s="31">
        <v>0</v>
      </c>
      <c r="T17" s="31">
        <v>0</v>
      </c>
      <c r="U17" s="31">
        <v>0</v>
      </c>
      <c r="V17" s="31">
        <v>0</v>
      </c>
      <c r="W17" s="30">
        <v>0</v>
      </c>
      <c r="X17" s="31">
        <v>0</v>
      </c>
      <c r="Y17" s="30">
        <v>0</v>
      </c>
      <c r="Z17" s="30">
        <v>0</v>
      </c>
      <c r="AA17" s="30">
        <v>0</v>
      </c>
      <c r="AB17" s="37">
        <v>0</v>
      </c>
      <c r="AC17" s="30">
        <v>1800</v>
      </c>
      <c r="AD17" s="30">
        <v>0</v>
      </c>
      <c r="AE17" s="30">
        <v>3300</v>
      </c>
      <c r="AF17" s="30">
        <v>0</v>
      </c>
      <c r="AG17" s="30">
        <v>0</v>
      </c>
      <c r="AH17" s="30">
        <v>0</v>
      </c>
      <c r="AI17" s="30">
        <v>0</v>
      </c>
      <c r="AJ17" s="30">
        <v>0</v>
      </c>
      <c r="AK17" s="30">
        <v>0</v>
      </c>
      <c r="AL17" s="30">
        <v>0</v>
      </c>
      <c r="AM17" s="30">
        <v>0</v>
      </c>
      <c r="AN17" s="31">
        <v>0</v>
      </c>
      <c r="AO17" s="30">
        <v>0</v>
      </c>
      <c r="AP17" s="31">
        <v>0</v>
      </c>
      <c r="AQ17" s="31">
        <v>0</v>
      </c>
      <c r="AR17" s="31">
        <v>2945</v>
      </c>
      <c r="AS17" s="31">
        <v>0</v>
      </c>
      <c r="AT17" s="31">
        <v>0</v>
      </c>
      <c r="AU17" s="30">
        <v>0</v>
      </c>
      <c r="AX17" s="2">
        <f t="shared" si="0"/>
        <v>6648.4</v>
      </c>
      <c r="AY17" s="32">
        <f t="shared" si="1"/>
        <v>6331.809523809523</v>
      </c>
      <c r="AZ17" s="186">
        <f t="shared" si="2"/>
        <v>0.3673687333135568</v>
      </c>
      <c r="BA17" s="186">
        <f t="shared" si="3"/>
        <v>0.016716107979827942</v>
      </c>
      <c r="BB17" s="186">
        <f t="shared" si="4"/>
        <v>0.2983832690596262</v>
      </c>
      <c r="BC17" s="53">
        <f t="shared" si="88"/>
        <v>10000</v>
      </c>
      <c r="BD17" s="53">
        <f t="shared" si="5"/>
        <v>3408.3773425566</v>
      </c>
      <c r="BE17" s="53">
        <f t="shared" si="6"/>
        <v>155.08887536584655</v>
      </c>
      <c r="BF17" s="53">
        <f t="shared" si="7"/>
        <v>2768.3433058870764</v>
      </c>
      <c r="BG17" s="53"/>
      <c r="BH17" s="53">
        <f t="shared" si="89"/>
        <v>2</v>
      </c>
      <c r="BI17" s="53">
        <f t="shared" si="90"/>
        <v>3</v>
      </c>
      <c r="BJ17" s="53">
        <f t="shared" si="91"/>
        <v>3</v>
      </c>
      <c r="BK17" s="53">
        <f t="shared" si="92"/>
        <v>2</v>
      </c>
      <c r="BL17" s="53"/>
      <c r="BM17" s="53">
        <f t="shared" si="93"/>
        <v>1</v>
      </c>
      <c r="BN17" s="53">
        <f t="shared" si="94"/>
        <v>2</v>
      </c>
      <c r="BO17" s="53">
        <f t="shared" si="95"/>
        <v>2</v>
      </c>
      <c r="BP17" s="53">
        <f t="shared" si="96"/>
        <v>0</v>
      </c>
      <c r="BQ17" s="53"/>
      <c r="BR17" s="53">
        <f t="shared" si="97"/>
        <v>3.25</v>
      </c>
      <c r="BS17" s="53">
        <f t="shared" si="98"/>
        <v>34.2</v>
      </c>
      <c r="BT17" s="53">
        <f t="shared" si="99"/>
        <v>11</v>
      </c>
      <c r="BU17" s="53">
        <f t="shared" si="8"/>
        <v>23256</v>
      </c>
      <c r="BV17" s="53"/>
      <c r="BW17" s="53">
        <f t="shared" si="100"/>
        <v>13000</v>
      </c>
      <c r="BX17" s="53">
        <f t="shared" si="101"/>
        <v>-20106</v>
      </c>
      <c r="BY17" s="53">
        <f t="shared" si="9"/>
        <v>-18255.092464544257</v>
      </c>
      <c r="BZ17" s="240">
        <f t="shared" si="102"/>
        <v>5.5020500000000006</v>
      </c>
      <c r="CC17" s="1">
        <f t="shared" si="10"/>
        <v>0</v>
      </c>
      <c r="CD17" s="195">
        <f t="shared" si="11"/>
        <v>2873.2</v>
      </c>
      <c r="CE17" s="195">
        <f t="shared" si="12"/>
        <v>2873.2</v>
      </c>
      <c r="CF17" s="239">
        <f t="shared" si="13"/>
        <v>1.45</v>
      </c>
      <c r="CG17" s="239">
        <f t="shared" si="13"/>
        <v>9.96</v>
      </c>
      <c r="CH17" s="1">
        <f t="shared" si="103"/>
        <v>4780.8</v>
      </c>
      <c r="CK17" s="211">
        <f t="shared" si="14"/>
        <v>0</v>
      </c>
      <c r="CL17" s="211">
        <f t="shared" si="15"/>
        <v>0</v>
      </c>
      <c r="CM17" s="211">
        <f t="shared" si="16"/>
        <v>0</v>
      </c>
      <c r="CQ17" s="1">
        <f t="shared" si="104"/>
        <v>0</v>
      </c>
      <c r="CR17" s="195">
        <f t="shared" si="17"/>
        <v>0</v>
      </c>
      <c r="CS17" s="195"/>
      <c r="CT17" s="195"/>
      <c r="CV17" s="199">
        <f t="shared" si="18"/>
        <v>5.334092640866252</v>
      </c>
      <c r="CW17" s="199">
        <f t="shared" si="19"/>
        <v>0</v>
      </c>
      <c r="CX17" s="199">
        <f t="shared" si="20"/>
        <v>0</v>
      </c>
      <c r="CY17" s="199">
        <f t="shared" si="21"/>
        <v>0</v>
      </c>
      <c r="CZ17" s="199">
        <f t="shared" si="22"/>
        <v>0</v>
      </c>
      <c r="DA17" s="199">
        <f t="shared" si="23"/>
        <v>0</v>
      </c>
      <c r="DB17" s="199">
        <f t="shared" si="24"/>
        <v>0</v>
      </c>
      <c r="DC17" s="199">
        <f t="shared" si="25"/>
        <v>0</v>
      </c>
      <c r="DD17" s="199">
        <f t="shared" si="26"/>
        <v>0</v>
      </c>
      <c r="DE17" s="199">
        <f t="shared" si="27"/>
        <v>0</v>
      </c>
      <c r="DF17" s="199">
        <f t="shared" si="28"/>
        <v>0</v>
      </c>
      <c r="DG17" s="199">
        <f t="shared" si="29"/>
        <v>0</v>
      </c>
      <c r="DH17" s="199">
        <f t="shared" si="30"/>
        <v>2.3873912171646277</v>
      </c>
      <c r="DI17" s="199">
        <f t="shared" si="31"/>
        <v>0</v>
      </c>
      <c r="DJ17" s="199">
        <f t="shared" si="32"/>
        <v>0.4509016242229797</v>
      </c>
      <c r="DK17" s="199">
        <f t="shared" si="33"/>
        <v>0</v>
      </c>
      <c r="DL17" s="199">
        <f t="shared" si="34"/>
        <v>0</v>
      </c>
      <c r="DM17" s="199">
        <f t="shared" si="35"/>
        <v>0</v>
      </c>
      <c r="DN17" s="199">
        <f t="shared" si="36"/>
        <v>0</v>
      </c>
      <c r="DO17" s="199">
        <f t="shared" si="37"/>
        <v>0</v>
      </c>
      <c r="DP17" s="199">
        <f t="shared" si="38"/>
        <v>0</v>
      </c>
      <c r="DQ17" s="199">
        <f t="shared" si="39"/>
        <v>0</v>
      </c>
      <c r="DR17" s="199">
        <f t="shared" si="40"/>
        <v>0</v>
      </c>
      <c r="DS17" s="199">
        <f t="shared" si="41"/>
        <v>0</v>
      </c>
      <c r="DT17" s="199">
        <f t="shared" si="42"/>
        <v>0</v>
      </c>
      <c r="DU17" s="199">
        <f t="shared" si="43"/>
        <v>0</v>
      </c>
      <c r="DV17" s="199">
        <f t="shared" si="44"/>
        <v>0</v>
      </c>
      <c r="DW17" s="199">
        <f t="shared" si="45"/>
        <v>2.45662723080008</v>
      </c>
      <c r="DX17" s="199">
        <f t="shared" si="46"/>
        <v>0</v>
      </c>
      <c r="DY17" s="199">
        <f t="shared" si="47"/>
        <v>0</v>
      </c>
      <c r="DZ17" s="199">
        <f t="shared" si="48"/>
        <v>0</v>
      </c>
      <c r="EA17" s="199">
        <f t="shared" si="49"/>
        <v>3.676131546592568</v>
      </c>
      <c r="EB17" s="199">
        <f t="shared" si="50"/>
        <v>0.5122430957441728</v>
      </c>
      <c r="EC17" s="202">
        <f t="shared" si="51"/>
        <v>14.81738735539068</v>
      </c>
      <c r="ED17" s="202">
        <f>SUM(CV17:DI17,DS17:DT17,DW17,DY17,EA17:EB17)</f>
        <v>14.366485731167701</v>
      </c>
      <c r="EE17" s="203">
        <f t="shared" si="52"/>
        <v>2.3781257559529303</v>
      </c>
      <c r="EF17" s="199"/>
      <c r="EI17" s="1">
        <f t="shared" si="53"/>
        <v>0.18495710758393283</v>
      </c>
      <c r="EJ17" s="1">
        <f t="shared" si="54"/>
        <v>0</v>
      </c>
      <c r="EK17" s="1">
        <f t="shared" si="55"/>
        <v>0</v>
      </c>
      <c r="EL17" s="1">
        <f t="shared" si="56"/>
        <v>0</v>
      </c>
      <c r="EM17" s="1">
        <f t="shared" si="57"/>
        <v>0</v>
      </c>
      <c r="EN17" s="1">
        <f t="shared" si="58"/>
        <v>0</v>
      </c>
      <c r="EO17" s="1">
        <f t="shared" si="59"/>
        <v>0</v>
      </c>
      <c r="EP17" s="1">
        <f t="shared" si="60"/>
        <v>0</v>
      </c>
      <c r="EQ17" s="1">
        <f t="shared" si="61"/>
        <v>0</v>
      </c>
      <c r="ER17" s="1">
        <f t="shared" si="62"/>
        <v>0</v>
      </c>
      <c r="ES17" s="1">
        <f t="shared" si="63"/>
        <v>0</v>
      </c>
      <c r="ET17" s="1">
        <f t="shared" si="64"/>
        <v>0</v>
      </c>
      <c r="EU17" s="1">
        <f t="shared" si="65"/>
        <v>0.07346601658824001</v>
      </c>
      <c r="EV17" s="1">
        <f t="shared" si="66"/>
        <v>0</v>
      </c>
      <c r="EW17" s="1">
        <f t="shared" si="67"/>
        <v>0.059350736407200004</v>
      </c>
      <c r="EX17" s="1">
        <f t="shared" si="68"/>
        <v>0</v>
      </c>
      <c r="EY17" s="1">
        <f t="shared" si="69"/>
        <v>0</v>
      </c>
      <c r="EZ17" s="1">
        <f t="shared" si="70"/>
        <v>0</v>
      </c>
      <c r="FA17" s="1">
        <f t="shared" si="71"/>
        <v>0</v>
      </c>
      <c r="FB17" s="1">
        <f t="shared" si="72"/>
        <v>0</v>
      </c>
      <c r="FC17" s="1">
        <f t="shared" si="73"/>
        <v>0</v>
      </c>
      <c r="FD17" s="1">
        <f t="shared" si="74"/>
        <v>0</v>
      </c>
      <c r="FE17" s="1">
        <f t="shared" si="75"/>
        <v>0</v>
      </c>
      <c r="FF17" s="1">
        <f t="shared" si="76"/>
        <v>0</v>
      </c>
      <c r="FG17" s="1">
        <f t="shared" si="77"/>
        <v>0</v>
      </c>
      <c r="FH17" s="1">
        <f t="shared" si="78"/>
        <v>0</v>
      </c>
      <c r="FI17" s="1">
        <f t="shared" si="79"/>
        <v>0</v>
      </c>
      <c r="FJ17" s="1">
        <f t="shared" si="80"/>
        <v>0</v>
      </c>
      <c r="FK17" s="1">
        <f t="shared" si="81"/>
        <v>0</v>
      </c>
      <c r="FL17" s="1">
        <f t="shared" si="82"/>
        <v>0</v>
      </c>
      <c r="FM17" s="1">
        <f t="shared" si="83"/>
        <v>0</v>
      </c>
      <c r="FN17" s="1">
        <f t="shared" si="84"/>
        <v>4.472293968912</v>
      </c>
      <c r="FO17" s="1">
        <f>IF(O17=0,0,SUM(EI17:FN17))</f>
        <v>4.790067829491373</v>
      </c>
    </row>
    <row r="18" spans="1:171" ht="12.75">
      <c r="A18" s="33">
        <v>108</v>
      </c>
      <c r="B18" s="34" t="s">
        <v>106</v>
      </c>
      <c r="C18" s="34" t="s">
        <v>107</v>
      </c>
      <c r="D18" s="35" t="s">
        <v>95</v>
      </c>
      <c r="E18" s="35">
        <v>1</v>
      </c>
      <c r="F18" s="26" t="s">
        <v>105</v>
      </c>
      <c r="G18" s="26" t="s">
        <v>74</v>
      </c>
      <c r="H18" s="35" t="s">
        <v>75</v>
      </c>
      <c r="I18" s="35">
        <v>3</v>
      </c>
      <c r="J18" s="35"/>
      <c r="K18" s="26">
        <f t="shared" si="85"/>
        <v>1</v>
      </c>
      <c r="L18" s="26">
        <f t="shared" si="86"/>
        <v>1</v>
      </c>
      <c r="M18" s="33">
        <v>414942</v>
      </c>
      <c r="N18" s="33">
        <v>790730</v>
      </c>
      <c r="O18" s="27">
        <f t="shared" si="87"/>
        <v>65000</v>
      </c>
      <c r="P18" s="30">
        <v>65000</v>
      </c>
      <c r="Q18" s="30">
        <v>68000</v>
      </c>
      <c r="R18" s="30">
        <v>31000</v>
      </c>
      <c r="S18" s="31">
        <v>0</v>
      </c>
      <c r="T18" s="31">
        <v>0</v>
      </c>
      <c r="U18" s="31">
        <v>0</v>
      </c>
      <c r="V18" s="31">
        <v>0</v>
      </c>
      <c r="W18" s="30">
        <v>25000</v>
      </c>
      <c r="X18" s="31">
        <v>1000</v>
      </c>
      <c r="Y18" s="30">
        <v>0</v>
      </c>
      <c r="Z18" s="30">
        <v>0</v>
      </c>
      <c r="AA18" s="30">
        <v>0</v>
      </c>
      <c r="AB18" s="30">
        <v>0</v>
      </c>
      <c r="AC18" s="30">
        <v>14000</v>
      </c>
      <c r="AD18" s="30">
        <v>0</v>
      </c>
      <c r="AE18" s="30">
        <v>22000</v>
      </c>
      <c r="AF18" s="30">
        <v>3000</v>
      </c>
      <c r="AG18" s="30">
        <v>3000</v>
      </c>
      <c r="AH18" s="30">
        <v>17000</v>
      </c>
      <c r="AI18" s="30">
        <v>0</v>
      </c>
      <c r="AJ18" s="30">
        <v>0</v>
      </c>
      <c r="AK18" s="30">
        <v>0</v>
      </c>
      <c r="AL18" s="30">
        <v>0</v>
      </c>
      <c r="AM18" s="30">
        <v>4100</v>
      </c>
      <c r="AN18" s="31">
        <v>0</v>
      </c>
      <c r="AO18" s="30">
        <v>20000</v>
      </c>
      <c r="AP18" s="31">
        <v>0</v>
      </c>
      <c r="AQ18" s="31">
        <v>6800</v>
      </c>
      <c r="AR18" s="31">
        <v>0</v>
      </c>
      <c r="AS18" s="31">
        <v>0</v>
      </c>
      <c r="AT18" s="31">
        <v>0</v>
      </c>
      <c r="AU18" s="30">
        <v>70</v>
      </c>
      <c r="AX18" s="2">
        <f t="shared" si="0"/>
        <v>42240</v>
      </c>
      <c r="AY18" s="32">
        <f t="shared" si="1"/>
        <v>40376.470588235294</v>
      </c>
      <c r="AZ18" s="186">
        <f t="shared" si="2"/>
        <v>0.3673687333135568</v>
      </c>
      <c r="BA18" s="186">
        <f t="shared" si="3"/>
        <v>0.016716107979827942</v>
      </c>
      <c r="BB18" s="186">
        <f t="shared" si="4"/>
        <v>0.2983832690596262</v>
      </c>
      <c r="BC18" s="53">
        <f t="shared" si="88"/>
        <v>65000</v>
      </c>
      <c r="BD18" s="53">
        <f t="shared" si="5"/>
        <v>21734.426313340256</v>
      </c>
      <c r="BE18" s="53">
        <f t="shared" si="6"/>
        <v>988.9655384017468</v>
      </c>
      <c r="BF18" s="53">
        <f t="shared" si="7"/>
        <v>17653.07873649329</v>
      </c>
      <c r="BG18" s="53"/>
      <c r="BH18" s="53">
        <f t="shared" si="89"/>
        <v>4</v>
      </c>
      <c r="BI18" s="53">
        <f t="shared" si="90"/>
        <v>4</v>
      </c>
      <c r="BJ18" s="53">
        <f t="shared" si="91"/>
        <v>3</v>
      </c>
      <c r="BK18" s="53">
        <f t="shared" si="92"/>
        <v>3</v>
      </c>
      <c r="BL18" s="53"/>
      <c r="BM18" s="53">
        <f t="shared" si="93"/>
        <v>2</v>
      </c>
      <c r="BN18" s="53">
        <f t="shared" si="94"/>
        <v>2</v>
      </c>
      <c r="BO18" s="53">
        <f t="shared" si="95"/>
        <v>2</v>
      </c>
      <c r="BP18" s="53">
        <f t="shared" si="96"/>
        <v>0</v>
      </c>
      <c r="BQ18" s="53"/>
      <c r="BR18" s="53">
        <f t="shared" si="97"/>
        <v>6.5</v>
      </c>
      <c r="BS18" s="53">
        <f t="shared" si="98"/>
        <v>34.2</v>
      </c>
      <c r="BT18" s="53">
        <f t="shared" si="99"/>
        <v>11</v>
      </c>
      <c r="BU18" s="53">
        <f t="shared" si="8"/>
        <v>24816</v>
      </c>
      <c r="BV18" s="53"/>
      <c r="BW18" s="53">
        <f t="shared" si="100"/>
        <v>15600</v>
      </c>
      <c r="BX18" s="53">
        <f t="shared" si="101"/>
        <v>-21036</v>
      </c>
      <c r="BY18" s="53">
        <f t="shared" si="9"/>
        <v>-18814.91095745311</v>
      </c>
      <c r="BZ18" s="240">
        <f t="shared" si="102"/>
        <v>5.791300000000001</v>
      </c>
      <c r="CC18" s="1">
        <f t="shared" si="10"/>
        <v>0</v>
      </c>
      <c r="CD18" s="195">
        <f t="shared" si="11"/>
        <v>2873.2</v>
      </c>
      <c r="CE18" s="195">
        <f t="shared" si="12"/>
        <v>2873.2</v>
      </c>
      <c r="CF18" s="239">
        <f t="shared" si="13"/>
        <v>1.45</v>
      </c>
      <c r="CG18" s="239">
        <f t="shared" si="13"/>
        <v>9.96</v>
      </c>
      <c r="CH18" s="1">
        <f t="shared" si="103"/>
        <v>4780.8</v>
      </c>
      <c r="CK18" s="211">
        <f t="shared" si="14"/>
        <v>0</v>
      </c>
      <c r="CL18" s="211">
        <f t="shared" si="15"/>
        <v>0</v>
      </c>
      <c r="CM18" s="211">
        <f t="shared" si="16"/>
        <v>0</v>
      </c>
      <c r="CQ18" s="1">
        <f t="shared" si="104"/>
        <v>1</v>
      </c>
      <c r="CR18" s="195">
        <f t="shared" si="17"/>
        <v>10000</v>
      </c>
      <c r="CS18" s="195"/>
      <c r="CT18" s="195"/>
      <c r="CV18" s="199">
        <f t="shared" si="18"/>
        <v>34.54459995989572</v>
      </c>
      <c r="CW18" s="199">
        <f t="shared" si="19"/>
        <v>9.309324243031881</v>
      </c>
      <c r="CX18" s="199">
        <f t="shared" si="20"/>
        <v>0</v>
      </c>
      <c r="CY18" s="199">
        <f t="shared" si="21"/>
        <v>0</v>
      </c>
      <c r="CZ18" s="199">
        <f t="shared" si="22"/>
        <v>0</v>
      </c>
      <c r="DA18" s="199">
        <f t="shared" si="23"/>
        <v>0</v>
      </c>
      <c r="DB18" s="199">
        <f t="shared" si="24"/>
        <v>6.506516944054542</v>
      </c>
      <c r="DC18" s="199">
        <f t="shared" si="25"/>
        <v>0.26026067776218165</v>
      </c>
      <c r="DD18" s="199">
        <f t="shared" si="26"/>
        <v>0</v>
      </c>
      <c r="DE18" s="199">
        <f t="shared" si="27"/>
        <v>0</v>
      </c>
      <c r="DF18" s="199">
        <f t="shared" si="28"/>
        <v>0</v>
      </c>
      <c r="DG18" s="199">
        <f t="shared" si="29"/>
        <v>0</v>
      </c>
      <c r="DH18" s="199">
        <f t="shared" si="30"/>
        <v>18.568598355724884</v>
      </c>
      <c r="DI18" s="199">
        <f t="shared" si="31"/>
        <v>0</v>
      </c>
      <c r="DJ18" s="199">
        <f t="shared" si="32"/>
        <v>3.0060108281531983</v>
      </c>
      <c r="DK18" s="199">
        <f t="shared" si="33"/>
        <v>0.4099105674754361</v>
      </c>
      <c r="DL18" s="199">
        <f t="shared" si="34"/>
        <v>0.4099105674754361</v>
      </c>
      <c r="DM18" s="199">
        <f t="shared" si="35"/>
        <v>2.3228265490274715</v>
      </c>
      <c r="DN18" s="199">
        <f t="shared" si="36"/>
        <v>0</v>
      </c>
      <c r="DO18" s="199">
        <f t="shared" si="37"/>
        <v>0</v>
      </c>
      <c r="DP18" s="199">
        <f t="shared" si="38"/>
        <v>0</v>
      </c>
      <c r="DQ18" s="199">
        <f t="shared" si="39"/>
        <v>0</v>
      </c>
      <c r="DR18" s="199">
        <f t="shared" si="40"/>
        <v>0.6156166031682374</v>
      </c>
      <c r="DS18" s="199">
        <f t="shared" si="41"/>
        <v>0</v>
      </c>
      <c r="DT18" s="199">
        <f t="shared" si="42"/>
        <v>57.39081612191698</v>
      </c>
      <c r="DU18" s="199">
        <f t="shared" si="43"/>
        <v>0</v>
      </c>
      <c r="DV18" s="199">
        <f t="shared" si="44"/>
        <v>0.0019853218367756166</v>
      </c>
      <c r="DW18" s="199">
        <f t="shared" si="45"/>
        <v>0</v>
      </c>
      <c r="DX18" s="199">
        <f t="shared" si="46"/>
        <v>0</v>
      </c>
      <c r="DY18" s="199">
        <f t="shared" si="47"/>
        <v>0</v>
      </c>
      <c r="DZ18" s="199">
        <f t="shared" si="48"/>
        <v>0.004531205133346702</v>
      </c>
      <c r="EA18" s="199">
        <f t="shared" si="49"/>
        <v>23.44183234055603</v>
      </c>
      <c r="EB18" s="199">
        <f t="shared" si="50"/>
        <v>3.3051064815579325</v>
      </c>
      <c r="EC18" s="202">
        <f t="shared" si="51"/>
        <v>160.09784676677003</v>
      </c>
      <c r="ED18" s="202">
        <f>SUM(CV18:DI18,DS18:DT18,DW18,DY18,EA18:EB18)</f>
        <v>153.32705512450016</v>
      </c>
      <c r="EE18" s="203">
        <f t="shared" si="52"/>
        <v>25.380668988862837</v>
      </c>
      <c r="EF18" s="199"/>
      <c r="EI18" s="1">
        <f t="shared" si="53"/>
        <v>0.5699766927982697</v>
      </c>
      <c r="EJ18" s="1">
        <f t="shared" si="54"/>
        <v>0.010606863429336002</v>
      </c>
      <c r="EK18" s="1">
        <f t="shared" si="55"/>
        <v>0</v>
      </c>
      <c r="EL18" s="1">
        <f t="shared" si="56"/>
        <v>0</v>
      </c>
      <c r="EM18" s="1">
        <f t="shared" si="57"/>
        <v>0</v>
      </c>
      <c r="EN18" s="1">
        <f t="shared" si="58"/>
        <v>0</v>
      </c>
      <c r="EO18" s="1">
        <f t="shared" si="59"/>
        <v>0.2644897670328</v>
      </c>
      <c r="EP18" s="1">
        <f t="shared" si="60"/>
        <v>0</v>
      </c>
      <c r="EQ18" s="1">
        <f t="shared" si="61"/>
        <v>0</v>
      </c>
      <c r="ER18" s="1">
        <f t="shared" si="62"/>
        <v>0</v>
      </c>
      <c r="ES18" s="1">
        <f t="shared" si="63"/>
        <v>0</v>
      </c>
      <c r="ET18" s="1">
        <f t="shared" si="64"/>
        <v>0</v>
      </c>
      <c r="EU18" s="1">
        <f t="shared" si="65"/>
        <v>0.14589546715944002</v>
      </c>
      <c r="EV18" s="1">
        <f t="shared" si="66"/>
        <v>0</v>
      </c>
      <c r="EW18" s="1">
        <f t="shared" si="67"/>
        <v>0.059350736407200004</v>
      </c>
      <c r="EX18" s="1">
        <f t="shared" si="68"/>
        <v>0.059350736407200004</v>
      </c>
      <c r="EY18" s="1">
        <f t="shared" si="69"/>
        <v>0.059350736407200004</v>
      </c>
      <c r="EZ18" s="1">
        <f t="shared" si="70"/>
        <v>0.059350736407200004</v>
      </c>
      <c r="FA18" s="1">
        <f t="shared" si="71"/>
        <v>0</v>
      </c>
      <c r="FB18" s="1">
        <f t="shared" si="72"/>
        <v>0</v>
      </c>
      <c r="FC18" s="1">
        <f t="shared" si="73"/>
        <v>0</v>
      </c>
      <c r="FD18" s="1">
        <f t="shared" si="74"/>
        <v>0</v>
      </c>
      <c r="FE18" s="1">
        <f t="shared" si="75"/>
        <v>0.059350736407200004</v>
      </c>
      <c r="FF18" s="1">
        <f t="shared" si="76"/>
        <v>0</v>
      </c>
      <c r="FG18" s="1">
        <f t="shared" si="77"/>
        <v>0.059350736407200004</v>
      </c>
      <c r="FH18" s="1">
        <f t="shared" si="78"/>
        <v>0</v>
      </c>
      <c r="FI18" s="1">
        <f t="shared" si="79"/>
        <v>0</v>
      </c>
      <c r="FJ18" s="1">
        <f t="shared" si="80"/>
        <v>0</v>
      </c>
      <c r="FK18" s="1">
        <f t="shared" si="81"/>
        <v>0</v>
      </c>
      <c r="FL18" s="1">
        <f t="shared" si="82"/>
        <v>0</v>
      </c>
      <c r="FM18" s="1">
        <f t="shared" si="83"/>
        <v>0.0034234991863440005</v>
      </c>
      <c r="FN18" s="1">
        <f t="shared" si="84"/>
        <v>7.46760736344</v>
      </c>
      <c r="FO18" s="1">
        <f>IF(O18=0,0,SUM(EI18:FN18))</f>
        <v>8.818104071489389</v>
      </c>
    </row>
    <row r="19" spans="1:171" ht="12.75">
      <c r="A19" s="24">
        <v>147</v>
      </c>
      <c r="B19" s="25" t="s">
        <v>108</v>
      </c>
      <c r="C19" s="25" t="s">
        <v>109</v>
      </c>
      <c r="D19" s="26" t="s">
        <v>110</v>
      </c>
      <c r="E19" s="26">
        <v>1</v>
      </c>
      <c r="F19" s="26" t="s">
        <v>105</v>
      </c>
      <c r="G19" s="26" t="s">
        <v>74</v>
      </c>
      <c r="H19" s="26" t="s">
        <v>75</v>
      </c>
      <c r="I19" s="26">
        <v>3</v>
      </c>
      <c r="J19" s="26"/>
      <c r="K19" s="26">
        <f t="shared" si="85"/>
        <v>0</v>
      </c>
      <c r="L19" s="26">
        <f t="shared" si="86"/>
        <v>1</v>
      </c>
      <c r="M19" s="24">
        <v>403644</v>
      </c>
      <c r="N19" s="24">
        <v>803609</v>
      </c>
      <c r="O19" s="27">
        <f t="shared" si="87"/>
        <v>20000</v>
      </c>
      <c r="P19" s="28">
        <v>20000</v>
      </c>
      <c r="Q19" s="28">
        <v>22000</v>
      </c>
      <c r="R19" s="28">
        <v>8600</v>
      </c>
      <c r="S19" s="29">
        <v>0</v>
      </c>
      <c r="T19" s="29">
        <v>0</v>
      </c>
      <c r="U19" s="29">
        <v>0</v>
      </c>
      <c r="V19" s="29">
        <v>0</v>
      </c>
      <c r="W19" s="28">
        <v>0</v>
      </c>
      <c r="X19" s="29">
        <v>0</v>
      </c>
      <c r="Y19" s="28">
        <v>0</v>
      </c>
      <c r="Z19" s="28">
        <v>0</v>
      </c>
      <c r="AA19" s="28">
        <v>0</v>
      </c>
      <c r="AB19" s="28">
        <v>3400</v>
      </c>
      <c r="AC19" s="29">
        <v>0</v>
      </c>
      <c r="AD19" s="28">
        <v>0</v>
      </c>
      <c r="AE19" s="28">
        <v>4300</v>
      </c>
      <c r="AF19" s="28">
        <v>0</v>
      </c>
      <c r="AG19" s="28">
        <v>0</v>
      </c>
      <c r="AH19" s="28">
        <v>0</v>
      </c>
      <c r="AI19" s="28">
        <v>0</v>
      </c>
      <c r="AJ19" s="28">
        <v>0</v>
      </c>
      <c r="AK19" s="28">
        <v>6300</v>
      </c>
      <c r="AL19" s="28">
        <v>0</v>
      </c>
      <c r="AM19" s="30">
        <v>0</v>
      </c>
      <c r="AN19" s="31">
        <v>0</v>
      </c>
      <c r="AO19" s="30">
        <v>550</v>
      </c>
      <c r="AP19" s="31">
        <v>0</v>
      </c>
      <c r="AQ19" s="31">
        <v>0</v>
      </c>
      <c r="AR19" s="31">
        <v>5200</v>
      </c>
      <c r="AS19" s="31">
        <v>0</v>
      </c>
      <c r="AT19" s="31">
        <v>1.2</v>
      </c>
      <c r="AU19" s="30">
        <v>1</v>
      </c>
      <c r="AX19" s="2">
        <f t="shared" si="0"/>
        <v>14300</v>
      </c>
      <c r="AY19" s="32">
        <f t="shared" si="1"/>
        <v>13000</v>
      </c>
      <c r="AZ19" s="186">
        <f t="shared" si="2"/>
        <v>0.3673687333135568</v>
      </c>
      <c r="BA19" s="186">
        <f t="shared" si="3"/>
        <v>0.016716107979827942</v>
      </c>
      <c r="BB19" s="186">
        <f t="shared" si="4"/>
        <v>0.2983832690596262</v>
      </c>
      <c r="BC19" s="53">
        <f t="shared" si="88"/>
        <v>20000</v>
      </c>
      <c r="BD19" s="53">
        <f t="shared" si="5"/>
        <v>6997.826653916371</v>
      </c>
      <c r="BE19" s="53">
        <f t="shared" si="6"/>
        <v>318.4169347126836</v>
      </c>
      <c r="BF19" s="53">
        <f t="shared" si="7"/>
        <v>5683.756411370947</v>
      </c>
      <c r="BG19" s="53"/>
      <c r="BH19" s="53">
        <f t="shared" si="89"/>
        <v>2</v>
      </c>
      <c r="BI19" s="53">
        <f t="shared" si="90"/>
        <v>3</v>
      </c>
      <c r="BJ19" s="53">
        <f t="shared" si="91"/>
        <v>3</v>
      </c>
      <c r="BK19" s="53">
        <f t="shared" si="92"/>
        <v>2</v>
      </c>
      <c r="BL19" s="53"/>
      <c r="BM19" s="53">
        <f t="shared" si="93"/>
        <v>1</v>
      </c>
      <c r="BN19" s="53">
        <f t="shared" si="94"/>
        <v>2</v>
      </c>
      <c r="BO19" s="53">
        <f t="shared" si="95"/>
        <v>2</v>
      </c>
      <c r="BP19" s="53">
        <f t="shared" si="96"/>
        <v>0</v>
      </c>
      <c r="BQ19" s="53"/>
      <c r="BR19" s="53">
        <f t="shared" si="97"/>
        <v>3.25</v>
      </c>
      <c r="BS19" s="53">
        <f t="shared" si="98"/>
        <v>34.2</v>
      </c>
      <c r="BT19" s="53">
        <f t="shared" si="99"/>
        <v>11</v>
      </c>
      <c r="BU19" s="53">
        <f t="shared" si="8"/>
        <v>23256</v>
      </c>
      <c r="BV19" s="53"/>
      <c r="BW19" s="53">
        <f t="shared" si="100"/>
        <v>13000</v>
      </c>
      <c r="BX19" s="53">
        <f t="shared" si="101"/>
        <v>-20106</v>
      </c>
      <c r="BY19" s="53">
        <f t="shared" si="9"/>
        <v>-18255.092464544257</v>
      </c>
      <c r="BZ19" s="240">
        <f t="shared" si="102"/>
        <v>5.5020500000000006</v>
      </c>
      <c r="CC19" s="1">
        <f t="shared" si="10"/>
        <v>0</v>
      </c>
      <c r="CD19" s="195">
        <f t="shared" si="11"/>
        <v>2873.2</v>
      </c>
      <c r="CE19" s="195">
        <f t="shared" si="12"/>
        <v>2873.2</v>
      </c>
      <c r="CF19" s="239">
        <f t="shared" si="13"/>
        <v>1.45</v>
      </c>
      <c r="CG19" s="239">
        <f t="shared" si="13"/>
        <v>9.96</v>
      </c>
      <c r="CH19" s="1">
        <f t="shared" si="103"/>
        <v>4780.8</v>
      </c>
      <c r="CK19" s="211">
        <f t="shared" si="14"/>
        <v>0</v>
      </c>
      <c r="CL19" s="211">
        <f t="shared" si="15"/>
        <v>0</v>
      </c>
      <c r="CM19" s="211">
        <f t="shared" si="16"/>
        <v>0</v>
      </c>
      <c r="CQ19" s="1">
        <f t="shared" si="104"/>
        <v>0</v>
      </c>
      <c r="CR19" s="195">
        <f t="shared" si="17"/>
        <v>0</v>
      </c>
      <c r="CS19" s="195"/>
      <c r="CT19" s="195"/>
      <c r="CV19" s="199">
        <f t="shared" si="18"/>
        <v>11.176194104672147</v>
      </c>
      <c r="CW19" s="199">
        <f t="shared" si="19"/>
        <v>2.582586725486264</v>
      </c>
      <c r="CX19" s="199">
        <f t="shared" si="20"/>
        <v>0</v>
      </c>
      <c r="CY19" s="199">
        <f t="shared" si="21"/>
        <v>0</v>
      </c>
      <c r="CZ19" s="199">
        <f t="shared" si="22"/>
        <v>0</v>
      </c>
      <c r="DA19" s="199">
        <f t="shared" si="23"/>
        <v>0</v>
      </c>
      <c r="DB19" s="199">
        <f t="shared" si="24"/>
        <v>0</v>
      </c>
      <c r="DC19" s="199">
        <f t="shared" si="25"/>
        <v>0</v>
      </c>
      <c r="DD19" s="199">
        <f t="shared" si="26"/>
        <v>0</v>
      </c>
      <c r="DE19" s="199">
        <f t="shared" si="27"/>
        <v>0</v>
      </c>
      <c r="DF19" s="199">
        <f t="shared" si="28"/>
        <v>0</v>
      </c>
      <c r="DG19" s="199">
        <f t="shared" si="29"/>
        <v>4.509516743533186</v>
      </c>
      <c r="DH19" s="199">
        <f t="shared" si="30"/>
        <v>0</v>
      </c>
      <c r="DI19" s="199">
        <f t="shared" si="31"/>
        <v>0</v>
      </c>
      <c r="DJ19" s="199">
        <f t="shared" si="32"/>
        <v>0.587538480048125</v>
      </c>
      <c r="DK19" s="199">
        <f t="shared" si="33"/>
        <v>0</v>
      </c>
      <c r="DL19" s="199">
        <f t="shared" si="34"/>
        <v>0</v>
      </c>
      <c r="DM19" s="199">
        <f t="shared" si="35"/>
        <v>0</v>
      </c>
      <c r="DN19" s="199">
        <f t="shared" si="36"/>
        <v>0</v>
      </c>
      <c r="DO19" s="199">
        <f t="shared" si="37"/>
        <v>0</v>
      </c>
      <c r="DP19" s="199">
        <f t="shared" si="38"/>
        <v>0.8608121916984158</v>
      </c>
      <c r="DQ19" s="199">
        <f t="shared" si="39"/>
        <v>0</v>
      </c>
      <c r="DR19" s="199">
        <f t="shared" si="40"/>
        <v>0</v>
      </c>
      <c r="DS19" s="199">
        <f t="shared" si="41"/>
        <v>0</v>
      </c>
      <c r="DT19" s="199">
        <f t="shared" si="42"/>
        <v>1.578247443352717</v>
      </c>
      <c r="DU19" s="199">
        <f t="shared" si="43"/>
        <v>0</v>
      </c>
      <c r="DV19" s="199">
        <f t="shared" si="44"/>
        <v>0</v>
      </c>
      <c r="DW19" s="199">
        <f t="shared" si="45"/>
        <v>4.337677962703028</v>
      </c>
      <c r="DX19" s="199">
        <f t="shared" si="46"/>
        <v>0</v>
      </c>
      <c r="DY19" s="199">
        <f t="shared" si="47"/>
        <v>0.049649729296170036</v>
      </c>
      <c r="DZ19" s="199">
        <f t="shared" si="48"/>
        <v>6.473150190495286E-05</v>
      </c>
      <c r="EA19" s="199">
        <f t="shared" si="49"/>
        <v>7.547559655103268</v>
      </c>
      <c r="EB19" s="199">
        <f t="shared" si="50"/>
        <v>1.035036695408061</v>
      </c>
      <c r="EC19" s="202">
        <f t="shared" si="51"/>
        <v>34.26488446280328</v>
      </c>
      <c r="ED19" s="202">
        <f>SUM(CV19:DI19,DS19:DT19,DW19,DY19,EA19:EB19)</f>
        <v>32.81646905955484</v>
      </c>
      <c r="EE19" s="203">
        <f t="shared" si="52"/>
        <v>5.432204628905904</v>
      </c>
      <c r="EF19" s="199"/>
      <c r="EI19" s="1">
        <f t="shared" si="53"/>
        <v>0.18495710758393283</v>
      </c>
      <c r="EJ19" s="1">
        <f t="shared" si="54"/>
        <v>0.002442336444552</v>
      </c>
      <c r="EK19" s="1">
        <f t="shared" si="55"/>
        <v>0</v>
      </c>
      <c r="EL19" s="1">
        <f t="shared" si="56"/>
        <v>0</v>
      </c>
      <c r="EM19" s="1">
        <f t="shared" si="57"/>
        <v>0</v>
      </c>
      <c r="EN19" s="1">
        <f t="shared" si="58"/>
        <v>0</v>
      </c>
      <c r="EO19" s="1">
        <f t="shared" si="59"/>
        <v>0</v>
      </c>
      <c r="EP19" s="1">
        <f t="shared" si="60"/>
        <v>0</v>
      </c>
      <c r="EQ19" s="1">
        <f t="shared" si="61"/>
        <v>0</v>
      </c>
      <c r="ER19" s="1">
        <f t="shared" si="62"/>
        <v>0</v>
      </c>
      <c r="ES19" s="1">
        <f t="shared" si="63"/>
        <v>0</v>
      </c>
      <c r="ET19" s="1">
        <f t="shared" si="64"/>
        <v>0.07346601658824001</v>
      </c>
      <c r="EU19" s="1">
        <f t="shared" si="65"/>
        <v>0</v>
      </c>
      <c r="EV19" s="1">
        <f t="shared" si="66"/>
        <v>0</v>
      </c>
      <c r="EW19" s="1">
        <f t="shared" si="67"/>
        <v>0.059350736407200004</v>
      </c>
      <c r="EX19" s="1">
        <f t="shared" si="68"/>
        <v>0</v>
      </c>
      <c r="EY19" s="1">
        <f t="shared" si="69"/>
        <v>0</v>
      </c>
      <c r="EZ19" s="1">
        <f t="shared" si="70"/>
        <v>0</v>
      </c>
      <c r="FA19" s="1">
        <f t="shared" si="71"/>
        <v>0</v>
      </c>
      <c r="FB19" s="1">
        <f t="shared" si="72"/>
        <v>0</v>
      </c>
      <c r="FC19" s="1">
        <f t="shared" si="73"/>
        <v>0.059350736407200004</v>
      </c>
      <c r="FD19" s="1">
        <f t="shared" si="74"/>
        <v>0</v>
      </c>
      <c r="FE19" s="1">
        <f t="shared" si="75"/>
        <v>0</v>
      </c>
      <c r="FF19" s="1">
        <f t="shared" si="76"/>
        <v>0</v>
      </c>
      <c r="FG19" s="1">
        <f t="shared" si="77"/>
        <v>0.059350736407200004</v>
      </c>
      <c r="FH19" s="1">
        <f t="shared" si="78"/>
        <v>0</v>
      </c>
      <c r="FI19" s="1">
        <f t="shared" si="79"/>
        <v>0</v>
      </c>
      <c r="FJ19" s="1">
        <f t="shared" si="80"/>
        <v>0</v>
      </c>
      <c r="FK19" s="1">
        <f t="shared" si="81"/>
        <v>0</v>
      </c>
      <c r="FL19" s="1">
        <f t="shared" si="82"/>
        <v>4.300268812675172</v>
      </c>
      <c r="FM19" s="1">
        <f t="shared" si="83"/>
        <v>0.0034234991863440005</v>
      </c>
      <c r="FN19" s="1">
        <f t="shared" si="84"/>
        <v>4.472293968912</v>
      </c>
      <c r="FO19" s="1">
        <f>IF(O19=0,0,SUM(EI19:FN19))</f>
        <v>9.214903950611841</v>
      </c>
    </row>
    <row r="20" spans="1:171" ht="12.75">
      <c r="A20" s="24">
        <v>41</v>
      </c>
      <c r="B20" s="25" t="s">
        <v>111</v>
      </c>
      <c r="C20" s="25" t="s">
        <v>112</v>
      </c>
      <c r="D20" s="26" t="s">
        <v>113</v>
      </c>
      <c r="E20" s="26">
        <v>2</v>
      </c>
      <c r="F20" s="26" t="s">
        <v>114</v>
      </c>
      <c r="G20" s="26" t="s">
        <v>74</v>
      </c>
      <c r="H20" s="26" t="s">
        <v>75</v>
      </c>
      <c r="I20" s="26">
        <v>3</v>
      </c>
      <c r="J20" s="26"/>
      <c r="K20" s="26">
        <f t="shared" si="85"/>
        <v>1</v>
      </c>
      <c r="L20" s="26">
        <f t="shared" si="86"/>
        <v>1</v>
      </c>
      <c r="M20" s="24">
        <v>403832</v>
      </c>
      <c r="N20" s="24">
        <v>880256</v>
      </c>
      <c r="O20" s="27">
        <f t="shared" si="87"/>
        <v>167000</v>
      </c>
      <c r="P20" s="28">
        <v>167000</v>
      </c>
      <c r="Q20" s="28">
        <v>170500</v>
      </c>
      <c r="R20" s="28">
        <v>75000</v>
      </c>
      <c r="S20" s="29">
        <v>44000</v>
      </c>
      <c r="T20" s="29">
        <v>0</v>
      </c>
      <c r="U20" s="29">
        <v>0</v>
      </c>
      <c r="V20" s="29">
        <v>0</v>
      </c>
      <c r="W20" s="28">
        <v>67000</v>
      </c>
      <c r="X20" s="29">
        <v>3000</v>
      </c>
      <c r="Y20" s="28">
        <v>0</v>
      </c>
      <c r="Z20" s="28">
        <v>0</v>
      </c>
      <c r="AA20" s="28">
        <v>0</v>
      </c>
      <c r="AB20" s="28">
        <v>0</v>
      </c>
      <c r="AC20" s="28">
        <v>31200</v>
      </c>
      <c r="AD20" s="28">
        <v>0</v>
      </c>
      <c r="AE20" s="28">
        <v>95700</v>
      </c>
      <c r="AF20" s="28">
        <v>0</v>
      </c>
      <c r="AG20" s="28">
        <v>15000</v>
      </c>
      <c r="AH20" s="28">
        <v>35500</v>
      </c>
      <c r="AI20" s="28">
        <v>0</v>
      </c>
      <c r="AJ20" s="28">
        <v>0</v>
      </c>
      <c r="AK20" s="28">
        <v>0</v>
      </c>
      <c r="AL20" s="28">
        <v>0</v>
      </c>
      <c r="AM20" s="30">
        <v>21000</v>
      </c>
      <c r="AN20" s="31">
        <v>9000</v>
      </c>
      <c r="AO20" s="30">
        <v>0</v>
      </c>
      <c r="AP20" s="31">
        <v>0</v>
      </c>
      <c r="AQ20" s="31">
        <v>0</v>
      </c>
      <c r="AR20" s="31">
        <v>0</v>
      </c>
      <c r="AS20" s="31">
        <v>16500</v>
      </c>
      <c r="AT20" s="31">
        <v>12</v>
      </c>
      <c r="AU20" s="30">
        <v>400</v>
      </c>
      <c r="AX20" s="2">
        <f t="shared" si="0"/>
        <v>127600</v>
      </c>
      <c r="AY20" s="32">
        <f t="shared" si="1"/>
        <v>124980.64516129032</v>
      </c>
      <c r="AZ20" s="186">
        <f t="shared" si="2"/>
        <v>0.510089429030039</v>
      </c>
      <c r="BA20" s="186">
        <f t="shared" si="3"/>
        <v>0.052360487507797614</v>
      </c>
      <c r="BB20" s="186">
        <f t="shared" si="4"/>
        <v>0.282589077675289</v>
      </c>
      <c r="BC20" s="53">
        <f t="shared" si="88"/>
        <v>167000</v>
      </c>
      <c r="BD20" s="53">
        <f t="shared" si="5"/>
        <v>75441.85104675761</v>
      </c>
      <c r="BE20" s="53">
        <f t="shared" si="6"/>
        <v>7744.0775567733945</v>
      </c>
      <c r="BF20" s="53">
        <f t="shared" si="7"/>
        <v>41794.71655775932</v>
      </c>
      <c r="BG20" s="53"/>
      <c r="BH20" s="53">
        <f t="shared" si="89"/>
        <v>7</v>
      </c>
      <c r="BI20" s="53">
        <f t="shared" si="90"/>
        <v>6</v>
      </c>
      <c r="BJ20" s="53">
        <f t="shared" si="91"/>
        <v>3</v>
      </c>
      <c r="BK20" s="53">
        <f t="shared" si="92"/>
        <v>4</v>
      </c>
      <c r="BL20" s="53"/>
      <c r="BM20" s="53">
        <f t="shared" si="93"/>
        <v>3</v>
      </c>
      <c r="BN20" s="53">
        <f t="shared" si="94"/>
        <v>3</v>
      </c>
      <c r="BO20" s="53">
        <f t="shared" si="95"/>
        <v>2</v>
      </c>
      <c r="BP20" s="53">
        <f t="shared" si="96"/>
        <v>0</v>
      </c>
      <c r="BQ20" s="53"/>
      <c r="BR20" s="53">
        <f t="shared" si="97"/>
        <v>9.75</v>
      </c>
      <c r="BS20" s="53">
        <f t="shared" si="98"/>
        <v>51.300000000000004</v>
      </c>
      <c r="BT20" s="53">
        <f t="shared" si="99"/>
        <v>11</v>
      </c>
      <c r="BU20" s="53">
        <f t="shared" si="8"/>
        <v>34584.00000000001</v>
      </c>
      <c r="BV20" s="53"/>
      <c r="BW20" s="53">
        <f t="shared" si="100"/>
        <v>20800</v>
      </c>
      <c r="BX20" s="53">
        <f t="shared" si="101"/>
        <v>-29544.000000000007</v>
      </c>
      <c r="BY20" s="53">
        <f t="shared" si="9"/>
        <v>-26582.54794327082</v>
      </c>
      <c r="BZ20" s="240">
        <f t="shared" si="102"/>
        <v>7.944450000000001</v>
      </c>
      <c r="CC20" s="1">
        <f t="shared" si="10"/>
        <v>0</v>
      </c>
      <c r="CD20" s="195">
        <f t="shared" si="11"/>
        <v>5746.4</v>
      </c>
      <c r="CE20" s="195">
        <f t="shared" si="12"/>
        <v>5746.4</v>
      </c>
      <c r="CF20" s="239">
        <f t="shared" si="13"/>
        <v>2.9</v>
      </c>
      <c r="CG20" s="239">
        <f t="shared" si="13"/>
        <v>19.92</v>
      </c>
      <c r="CH20" s="1">
        <f t="shared" si="103"/>
        <v>9561.6</v>
      </c>
      <c r="CK20" s="211">
        <f t="shared" si="14"/>
        <v>0</v>
      </c>
      <c r="CL20" s="211">
        <f t="shared" si="15"/>
        <v>0</v>
      </c>
      <c r="CM20" s="211">
        <f t="shared" si="16"/>
        <v>0</v>
      </c>
      <c r="CQ20" s="1">
        <f t="shared" si="104"/>
        <v>1</v>
      </c>
      <c r="CR20" s="195">
        <f t="shared" si="17"/>
        <v>10000</v>
      </c>
      <c r="CS20" s="195"/>
      <c r="CT20" s="195"/>
      <c r="CV20" s="199">
        <f t="shared" si="18"/>
        <v>86.61550431120914</v>
      </c>
      <c r="CW20" s="199">
        <f t="shared" si="19"/>
        <v>22.522558652496485</v>
      </c>
      <c r="CX20" s="199">
        <f t="shared" si="20"/>
        <v>86.62009223982355</v>
      </c>
      <c r="CY20" s="199">
        <f t="shared" si="21"/>
        <v>0</v>
      </c>
      <c r="CZ20" s="199">
        <f t="shared" si="22"/>
        <v>0</v>
      </c>
      <c r="DA20" s="199">
        <f t="shared" si="23"/>
        <v>0</v>
      </c>
      <c r="DB20" s="199">
        <f t="shared" si="24"/>
        <v>17.437465410066167</v>
      </c>
      <c r="DC20" s="199">
        <f t="shared" si="25"/>
        <v>0.7807820332865449</v>
      </c>
      <c r="DD20" s="199">
        <f t="shared" si="26"/>
        <v>0</v>
      </c>
      <c r="DE20" s="199">
        <f t="shared" si="27"/>
        <v>0</v>
      </c>
      <c r="DF20" s="199">
        <f t="shared" si="28"/>
        <v>0</v>
      </c>
      <c r="DG20" s="199">
        <f t="shared" si="29"/>
        <v>0</v>
      </c>
      <c r="DH20" s="199">
        <f t="shared" si="30"/>
        <v>41.38144776418688</v>
      </c>
      <c r="DI20" s="199">
        <f t="shared" si="31"/>
        <v>0</v>
      </c>
      <c r="DJ20" s="199">
        <f t="shared" si="32"/>
        <v>13.076147102466411</v>
      </c>
      <c r="DK20" s="199">
        <f t="shared" si="33"/>
        <v>0</v>
      </c>
      <c r="DL20" s="199">
        <f t="shared" si="34"/>
        <v>2.0495528373771807</v>
      </c>
      <c r="DM20" s="199">
        <f t="shared" si="35"/>
        <v>4.850608381792661</v>
      </c>
      <c r="DN20" s="199">
        <f t="shared" si="36"/>
        <v>0</v>
      </c>
      <c r="DO20" s="199">
        <f t="shared" si="37"/>
        <v>0</v>
      </c>
      <c r="DP20" s="199">
        <f t="shared" si="38"/>
        <v>0</v>
      </c>
      <c r="DQ20" s="199">
        <f t="shared" si="39"/>
        <v>0</v>
      </c>
      <c r="DR20" s="199">
        <f t="shared" si="40"/>
        <v>3.1531582113495085</v>
      </c>
      <c r="DS20" s="199">
        <f t="shared" si="41"/>
        <v>23.87391217164628</v>
      </c>
      <c r="DT20" s="199">
        <f t="shared" si="42"/>
        <v>0</v>
      </c>
      <c r="DU20" s="199">
        <f t="shared" si="43"/>
        <v>0</v>
      </c>
      <c r="DV20" s="199">
        <f t="shared" si="44"/>
        <v>0</v>
      </c>
      <c r="DW20" s="199">
        <f t="shared" si="45"/>
        <v>0</v>
      </c>
      <c r="DX20" s="199">
        <f t="shared" si="46"/>
        <v>1.0680697814317224</v>
      </c>
      <c r="DY20" s="199">
        <f t="shared" si="47"/>
        <v>0.49649729296170036</v>
      </c>
      <c r="DZ20" s="199">
        <f t="shared" si="48"/>
        <v>0.02589260076198115</v>
      </c>
      <c r="EA20" s="199">
        <f t="shared" si="49"/>
        <v>72.56145192985632</v>
      </c>
      <c r="EB20" s="199">
        <f t="shared" si="50"/>
        <v>9.157899457298651</v>
      </c>
      <c r="EC20" s="202">
        <f t="shared" si="51"/>
        <v>385.67104017801125</v>
      </c>
      <c r="ED20" s="202">
        <f>SUM(CV20:DI20,DS20:DT20,DW20,DY20,EA20:EB20)</f>
        <v>361.4476112628317</v>
      </c>
      <c r="EE20" s="203">
        <f t="shared" si="52"/>
        <v>59.831463995888235</v>
      </c>
      <c r="EF20" s="199"/>
      <c r="EI20" s="1">
        <f t="shared" si="53"/>
        <v>0.5699766927982697</v>
      </c>
      <c r="EJ20" s="1">
        <f t="shared" si="54"/>
        <v>0.010606863429336002</v>
      </c>
      <c r="EK20" s="1">
        <f t="shared" si="55"/>
        <v>0.24682268761392</v>
      </c>
      <c r="EL20" s="1">
        <f t="shared" si="56"/>
        <v>0</v>
      </c>
      <c r="EM20" s="1">
        <f t="shared" si="57"/>
        <v>0</v>
      </c>
      <c r="EN20" s="1">
        <f t="shared" si="58"/>
        <v>0</v>
      </c>
      <c r="EO20" s="1">
        <f t="shared" si="59"/>
        <v>0.2644897670328</v>
      </c>
      <c r="EP20" s="1">
        <f t="shared" si="60"/>
        <v>0</v>
      </c>
      <c r="EQ20" s="1">
        <f t="shared" si="61"/>
        <v>0</v>
      </c>
      <c r="ER20" s="1">
        <f t="shared" si="62"/>
        <v>0</v>
      </c>
      <c r="ES20" s="1">
        <f t="shared" si="63"/>
        <v>0</v>
      </c>
      <c r="ET20" s="1">
        <f t="shared" si="64"/>
        <v>0</v>
      </c>
      <c r="EU20" s="1">
        <f t="shared" si="65"/>
        <v>0.14589546715944002</v>
      </c>
      <c r="EV20" s="1">
        <f t="shared" si="66"/>
        <v>0</v>
      </c>
      <c r="EW20" s="1">
        <f t="shared" si="67"/>
        <v>0.10099701098903999</v>
      </c>
      <c r="EX20" s="1">
        <f t="shared" si="68"/>
        <v>0</v>
      </c>
      <c r="EY20" s="1">
        <f t="shared" si="69"/>
        <v>0.059350736407200004</v>
      </c>
      <c r="EZ20" s="1">
        <f t="shared" si="70"/>
        <v>0.10099701098903999</v>
      </c>
      <c r="FA20" s="1">
        <f t="shared" si="71"/>
        <v>0</v>
      </c>
      <c r="FB20" s="1">
        <f t="shared" si="72"/>
        <v>0</v>
      </c>
      <c r="FC20" s="1">
        <f t="shared" si="73"/>
        <v>0</v>
      </c>
      <c r="FD20" s="1">
        <f t="shared" si="74"/>
        <v>0</v>
      </c>
      <c r="FE20" s="1">
        <f t="shared" si="75"/>
        <v>0.059350736407200004</v>
      </c>
      <c r="FF20" s="1">
        <f t="shared" si="76"/>
        <v>0.059350736407200004</v>
      </c>
      <c r="FG20" s="1">
        <f t="shared" si="77"/>
        <v>0</v>
      </c>
      <c r="FH20" s="1">
        <f t="shared" si="78"/>
        <v>0</v>
      </c>
      <c r="FI20" s="1">
        <f t="shared" si="79"/>
        <v>0</v>
      </c>
      <c r="FJ20" s="1">
        <f t="shared" si="80"/>
        <v>0</v>
      </c>
      <c r="FK20" s="1">
        <f t="shared" si="81"/>
        <v>0</v>
      </c>
      <c r="FL20" s="1">
        <f t="shared" si="82"/>
        <v>4.263919336981805</v>
      </c>
      <c r="FM20" s="1">
        <f t="shared" si="83"/>
        <v>0.0057571153094400015</v>
      </c>
      <c r="FN20" s="1">
        <f t="shared" si="84"/>
        <v>7.46760736344</v>
      </c>
      <c r="FO20" s="1">
        <f>IF(O20=0,0,SUM(EI20:FN20))</f>
        <v>13.35512152496469</v>
      </c>
    </row>
    <row r="21" spans="1:171" ht="12.75">
      <c r="A21" s="24">
        <v>42</v>
      </c>
      <c r="B21" s="25" t="s">
        <v>115</v>
      </c>
      <c r="C21" s="25" t="s">
        <v>116</v>
      </c>
      <c r="D21" s="26" t="s">
        <v>113</v>
      </c>
      <c r="E21" s="26">
        <v>2</v>
      </c>
      <c r="F21" s="26" t="s">
        <v>114</v>
      </c>
      <c r="G21" s="26" t="s">
        <v>74</v>
      </c>
      <c r="H21" s="26" t="s">
        <v>75</v>
      </c>
      <c r="I21" s="26">
        <v>3</v>
      </c>
      <c r="J21" s="26"/>
      <c r="K21" s="26">
        <f t="shared" si="85"/>
        <v>1</v>
      </c>
      <c r="L21" s="26">
        <f t="shared" si="86"/>
        <v>1</v>
      </c>
      <c r="M21" s="24">
        <v>412520</v>
      </c>
      <c r="N21" s="24">
        <v>881120</v>
      </c>
      <c r="O21" s="27">
        <f t="shared" si="87"/>
        <v>238500</v>
      </c>
      <c r="P21" s="28">
        <v>238500</v>
      </c>
      <c r="Q21" s="28">
        <v>248500</v>
      </c>
      <c r="R21" s="28">
        <v>117700</v>
      </c>
      <c r="S21" s="29">
        <v>59100</v>
      </c>
      <c r="T21" s="29">
        <v>0</v>
      </c>
      <c r="U21" s="29">
        <v>0</v>
      </c>
      <c r="V21" s="29">
        <v>0</v>
      </c>
      <c r="W21" s="28">
        <v>98000</v>
      </c>
      <c r="X21" s="29">
        <v>0</v>
      </c>
      <c r="Y21" s="28">
        <v>0</v>
      </c>
      <c r="Z21" s="28">
        <v>0</v>
      </c>
      <c r="AA21" s="28">
        <v>0</v>
      </c>
      <c r="AB21" s="28">
        <v>52200</v>
      </c>
      <c r="AC21" s="28">
        <v>0</v>
      </c>
      <c r="AD21" s="28">
        <v>0</v>
      </c>
      <c r="AE21" s="28">
        <v>110400</v>
      </c>
      <c r="AF21" s="28">
        <v>0</v>
      </c>
      <c r="AG21" s="28">
        <v>0</v>
      </c>
      <c r="AH21" s="28">
        <v>85100</v>
      </c>
      <c r="AI21" s="28">
        <v>0</v>
      </c>
      <c r="AJ21" s="28">
        <v>0</v>
      </c>
      <c r="AK21" s="28">
        <v>0</v>
      </c>
      <c r="AL21" s="28">
        <v>56400</v>
      </c>
      <c r="AM21" s="30">
        <v>28100</v>
      </c>
      <c r="AN21" s="31">
        <v>0</v>
      </c>
      <c r="AO21" s="30">
        <v>12000</v>
      </c>
      <c r="AP21" s="31">
        <v>0</v>
      </c>
      <c r="AQ21" s="31">
        <v>0</v>
      </c>
      <c r="AR21" s="31">
        <v>0</v>
      </c>
      <c r="AS21" s="31">
        <v>16650</v>
      </c>
      <c r="AT21" s="31">
        <v>0</v>
      </c>
      <c r="AU21" s="30">
        <v>660</v>
      </c>
      <c r="AX21" s="2">
        <f t="shared" si="0"/>
        <v>193468</v>
      </c>
      <c r="AY21" s="32">
        <f t="shared" si="1"/>
        <v>185682.56740442655</v>
      </c>
      <c r="AZ21" s="186">
        <f t="shared" si="2"/>
        <v>0.510089429030039</v>
      </c>
      <c r="BA21" s="186">
        <f t="shared" si="3"/>
        <v>0.052360487507797614</v>
      </c>
      <c r="BB21" s="186">
        <f t="shared" si="4"/>
        <v>0.282589077675289</v>
      </c>
      <c r="BC21" s="53">
        <f t="shared" si="88"/>
        <v>238500</v>
      </c>
      <c r="BD21" s="53">
        <f t="shared" si="5"/>
        <v>112083.2475622632</v>
      </c>
      <c r="BE21" s="53">
        <f t="shared" si="6"/>
        <v>11505.303089650311</v>
      </c>
      <c r="BF21" s="53">
        <f t="shared" si="7"/>
        <v>62094.01675251303</v>
      </c>
      <c r="BG21" s="53"/>
      <c r="BH21" s="53">
        <f t="shared" si="89"/>
        <v>9</v>
      </c>
      <c r="BI21" s="53">
        <f t="shared" si="90"/>
        <v>8</v>
      </c>
      <c r="BJ21" s="53">
        <f t="shared" si="91"/>
        <v>4</v>
      </c>
      <c r="BK21" s="53">
        <f t="shared" si="92"/>
        <v>6</v>
      </c>
      <c r="BL21" s="53"/>
      <c r="BM21" s="53">
        <f t="shared" si="93"/>
        <v>4</v>
      </c>
      <c r="BN21" s="53">
        <f t="shared" si="94"/>
        <v>4</v>
      </c>
      <c r="BO21" s="53">
        <f t="shared" si="95"/>
        <v>2</v>
      </c>
      <c r="BP21" s="53">
        <f t="shared" si="96"/>
        <v>0</v>
      </c>
      <c r="BQ21" s="53"/>
      <c r="BR21" s="53">
        <f t="shared" si="97"/>
        <v>13</v>
      </c>
      <c r="BS21" s="53">
        <f t="shared" si="98"/>
        <v>68.4</v>
      </c>
      <c r="BT21" s="53">
        <f t="shared" si="99"/>
        <v>11</v>
      </c>
      <c r="BU21" s="53">
        <f t="shared" si="8"/>
        <v>44352</v>
      </c>
      <c r="BV21" s="53"/>
      <c r="BW21" s="53">
        <f t="shared" si="100"/>
        <v>26000</v>
      </c>
      <c r="BX21" s="53">
        <f t="shared" si="101"/>
        <v>-38052</v>
      </c>
      <c r="BY21" s="53">
        <f t="shared" si="9"/>
        <v>-34350.184929088515</v>
      </c>
      <c r="BZ21" s="240">
        <f t="shared" si="102"/>
        <v>10.0976</v>
      </c>
      <c r="CC21" s="1">
        <f t="shared" si="10"/>
        <v>0</v>
      </c>
      <c r="CD21" s="195">
        <f t="shared" si="11"/>
        <v>8619.599999999999</v>
      </c>
      <c r="CE21" s="195">
        <f t="shared" si="12"/>
        <v>8619.599999999999</v>
      </c>
      <c r="CF21" s="239">
        <f t="shared" si="13"/>
        <v>4.35</v>
      </c>
      <c r="CG21" s="239">
        <f t="shared" si="13"/>
        <v>29.880000000000003</v>
      </c>
      <c r="CH21" s="1">
        <f t="shared" si="103"/>
        <v>14342.400000000001</v>
      </c>
      <c r="CK21" s="211">
        <f t="shared" si="14"/>
        <v>0</v>
      </c>
      <c r="CL21" s="211">
        <f t="shared" si="15"/>
        <v>0</v>
      </c>
      <c r="CM21" s="211">
        <f t="shared" si="16"/>
        <v>0</v>
      </c>
      <c r="CQ21" s="1">
        <f t="shared" si="104"/>
        <v>1</v>
      </c>
      <c r="CR21" s="195">
        <f t="shared" si="17"/>
        <v>10000</v>
      </c>
      <c r="CS21" s="195"/>
      <c r="CT21" s="195"/>
      <c r="CV21" s="199">
        <f t="shared" si="18"/>
        <v>126.2401925005013</v>
      </c>
      <c r="CW21" s="199">
        <f t="shared" si="19"/>
        <v>35.34540204531782</v>
      </c>
      <c r="CX21" s="199">
        <f t="shared" si="20"/>
        <v>116.34653298576296</v>
      </c>
      <c r="CY21" s="199">
        <f t="shared" si="21"/>
        <v>0</v>
      </c>
      <c r="CZ21" s="199">
        <f t="shared" si="22"/>
        <v>0</v>
      </c>
      <c r="DA21" s="199">
        <f t="shared" si="23"/>
        <v>0</v>
      </c>
      <c r="DB21" s="199">
        <f t="shared" si="24"/>
        <v>25.5055464206938</v>
      </c>
      <c r="DC21" s="199">
        <f t="shared" si="25"/>
        <v>0</v>
      </c>
      <c r="DD21" s="199">
        <f t="shared" si="26"/>
        <v>0</v>
      </c>
      <c r="DE21" s="199">
        <f t="shared" si="27"/>
        <v>0</v>
      </c>
      <c r="DF21" s="199">
        <f t="shared" si="28"/>
        <v>0</v>
      </c>
      <c r="DG21" s="199">
        <f t="shared" si="29"/>
        <v>69.23434529777421</v>
      </c>
      <c r="DH21" s="199">
        <f t="shared" si="30"/>
        <v>0</v>
      </c>
      <c r="DI21" s="199">
        <f t="shared" si="31"/>
        <v>0</v>
      </c>
      <c r="DJ21" s="199">
        <f t="shared" si="32"/>
        <v>15.084708883096049</v>
      </c>
      <c r="DK21" s="199">
        <f t="shared" si="33"/>
        <v>0</v>
      </c>
      <c r="DL21" s="199">
        <f t="shared" si="34"/>
        <v>0</v>
      </c>
      <c r="DM21" s="199">
        <f t="shared" si="35"/>
        <v>11.62779643071987</v>
      </c>
      <c r="DN21" s="199">
        <f t="shared" si="36"/>
        <v>0</v>
      </c>
      <c r="DO21" s="199">
        <f t="shared" si="37"/>
        <v>0</v>
      </c>
      <c r="DP21" s="199">
        <f t="shared" si="38"/>
        <v>0</v>
      </c>
      <c r="DQ21" s="199">
        <f t="shared" si="39"/>
        <v>7.706318668538199</v>
      </c>
      <c r="DR21" s="199">
        <f t="shared" si="40"/>
        <v>4.219225987567675</v>
      </c>
      <c r="DS21" s="199">
        <f t="shared" si="41"/>
        <v>0</v>
      </c>
      <c r="DT21" s="199">
        <f t="shared" si="42"/>
        <v>34.43448967315019</v>
      </c>
      <c r="DU21" s="199">
        <f t="shared" si="43"/>
        <v>0</v>
      </c>
      <c r="DV21" s="199">
        <f t="shared" si="44"/>
        <v>0</v>
      </c>
      <c r="DW21" s="199">
        <f t="shared" si="45"/>
        <v>0</v>
      </c>
      <c r="DX21" s="199">
        <f t="shared" si="46"/>
        <v>1.0777795067174654</v>
      </c>
      <c r="DY21" s="199">
        <f t="shared" si="47"/>
        <v>0</v>
      </c>
      <c r="DZ21" s="199">
        <f t="shared" si="48"/>
        <v>0.04272279125726889</v>
      </c>
      <c r="EA21" s="199">
        <f t="shared" si="49"/>
        <v>107.80386572289561</v>
      </c>
      <c r="EB21" s="199">
        <f t="shared" si="50"/>
        <v>13.304379479272262</v>
      </c>
      <c r="EC21" s="202">
        <f t="shared" si="51"/>
        <v>567.9733063932647</v>
      </c>
      <c r="ED21" s="202">
        <f>SUM(CV21:DI21,DS21:DT21,DW21,DY21,EA21:EB21)</f>
        <v>528.2147541253681</v>
      </c>
      <c r="EE21" s="203">
        <f t="shared" si="52"/>
        <v>87.4369094130428</v>
      </c>
      <c r="EF21" s="199"/>
      <c r="EI21" s="1">
        <f t="shared" si="53"/>
        <v>0.5699766927982697</v>
      </c>
      <c r="EJ21" s="1">
        <f t="shared" si="54"/>
        <v>0.010606863429336002</v>
      </c>
      <c r="EK21" s="1">
        <f t="shared" si="55"/>
        <v>0.24682268761392</v>
      </c>
      <c r="EL21" s="1">
        <f t="shared" si="56"/>
        <v>0</v>
      </c>
      <c r="EM21" s="1">
        <f t="shared" si="57"/>
        <v>0</v>
      </c>
      <c r="EN21" s="1">
        <f t="shared" si="58"/>
        <v>0</v>
      </c>
      <c r="EO21" s="1">
        <f t="shared" si="59"/>
        <v>0.2644897670328</v>
      </c>
      <c r="EP21" s="1">
        <f t="shared" si="60"/>
        <v>0</v>
      </c>
      <c r="EQ21" s="1">
        <f t="shared" si="61"/>
        <v>0</v>
      </c>
      <c r="ER21" s="1">
        <f t="shared" si="62"/>
        <v>0</v>
      </c>
      <c r="ES21" s="1">
        <f t="shared" si="63"/>
        <v>0</v>
      </c>
      <c r="ET21" s="1">
        <f t="shared" si="64"/>
        <v>0.14589546715944002</v>
      </c>
      <c r="EU21" s="1">
        <f t="shared" si="65"/>
        <v>0</v>
      </c>
      <c r="EV21" s="1">
        <f t="shared" si="66"/>
        <v>0</v>
      </c>
      <c r="EW21" s="1">
        <f t="shared" si="67"/>
        <v>0.10099701098903999</v>
      </c>
      <c r="EX21" s="1">
        <f t="shared" si="68"/>
        <v>0</v>
      </c>
      <c r="EY21" s="1">
        <f t="shared" si="69"/>
        <v>0</v>
      </c>
      <c r="EZ21" s="1">
        <f t="shared" si="70"/>
        <v>0.10099701098903999</v>
      </c>
      <c r="FA21" s="1">
        <f t="shared" si="71"/>
        <v>0</v>
      </c>
      <c r="FB21" s="1">
        <f t="shared" si="72"/>
        <v>0</v>
      </c>
      <c r="FC21" s="1">
        <f t="shared" si="73"/>
        <v>0</v>
      </c>
      <c r="FD21" s="1">
        <f t="shared" si="74"/>
        <v>0.10099701098903999</v>
      </c>
      <c r="FE21" s="1">
        <f t="shared" si="75"/>
        <v>0.059350736407200004</v>
      </c>
      <c r="FF21" s="1">
        <f t="shared" si="76"/>
        <v>0</v>
      </c>
      <c r="FG21" s="1">
        <f t="shared" si="77"/>
        <v>0.059350736407200004</v>
      </c>
      <c r="FH21" s="1">
        <f t="shared" si="78"/>
        <v>0</v>
      </c>
      <c r="FI21" s="1">
        <f t="shared" si="79"/>
        <v>0</v>
      </c>
      <c r="FJ21" s="1">
        <f t="shared" si="80"/>
        <v>0</v>
      </c>
      <c r="FK21" s="1">
        <f t="shared" si="81"/>
        <v>0</v>
      </c>
      <c r="FL21" s="1">
        <f t="shared" si="82"/>
        <v>0</v>
      </c>
      <c r="FM21" s="1">
        <f t="shared" si="83"/>
        <v>0.0057571153094400015</v>
      </c>
      <c r="FN21" s="1">
        <f t="shared" si="84"/>
        <v>7.46760736344</v>
      </c>
      <c r="FO21" s="1">
        <f>IF(O21=0,0,SUM(EI21:FN21))</f>
        <v>9.132848462564725</v>
      </c>
    </row>
    <row r="22" spans="1:171" ht="12.75">
      <c r="A22" s="24">
        <v>43</v>
      </c>
      <c r="B22" s="25" t="s">
        <v>117</v>
      </c>
      <c r="C22" s="25" t="s">
        <v>118</v>
      </c>
      <c r="D22" s="26" t="s">
        <v>113</v>
      </c>
      <c r="E22" s="26">
        <v>2</v>
      </c>
      <c r="F22" s="26" t="s">
        <v>114</v>
      </c>
      <c r="G22" s="26" t="s">
        <v>74</v>
      </c>
      <c r="H22" s="26" t="s">
        <v>75</v>
      </c>
      <c r="I22" s="26">
        <v>3</v>
      </c>
      <c r="J22" s="26"/>
      <c r="K22" s="26">
        <f t="shared" si="85"/>
        <v>1</v>
      </c>
      <c r="L22" s="26">
        <f t="shared" si="86"/>
        <v>1</v>
      </c>
      <c r="M22" s="24">
        <v>390058</v>
      </c>
      <c r="N22" s="24">
        <v>874230</v>
      </c>
      <c r="O22" s="27">
        <f t="shared" si="87"/>
        <v>192000</v>
      </c>
      <c r="P22" s="28">
        <v>192000</v>
      </c>
      <c r="Q22" s="28">
        <v>210000</v>
      </c>
      <c r="R22" s="28">
        <v>65200</v>
      </c>
      <c r="S22" s="29">
        <v>29400</v>
      </c>
      <c r="T22" s="29">
        <v>0</v>
      </c>
      <c r="U22" s="29">
        <v>0</v>
      </c>
      <c r="V22" s="29">
        <v>0</v>
      </c>
      <c r="W22" s="28">
        <v>49000</v>
      </c>
      <c r="X22" s="29">
        <v>0</v>
      </c>
      <c r="Y22" s="28">
        <v>0</v>
      </c>
      <c r="Z22" s="28">
        <v>28000</v>
      </c>
      <c r="AA22" s="28">
        <v>0</v>
      </c>
      <c r="AB22" s="28">
        <v>74500</v>
      </c>
      <c r="AC22" s="28">
        <v>0</v>
      </c>
      <c r="AD22" s="28">
        <v>0</v>
      </c>
      <c r="AE22" s="28">
        <v>61500</v>
      </c>
      <c r="AF22" s="28">
        <v>36000</v>
      </c>
      <c r="AG22" s="28">
        <v>0</v>
      </c>
      <c r="AH22" s="28">
        <v>74000</v>
      </c>
      <c r="AI22" s="28">
        <v>0</v>
      </c>
      <c r="AJ22" s="28">
        <v>0</v>
      </c>
      <c r="AK22" s="28">
        <v>0</v>
      </c>
      <c r="AL22" s="28">
        <v>0</v>
      </c>
      <c r="AM22" s="30">
        <v>11500</v>
      </c>
      <c r="AN22" s="31">
        <v>0</v>
      </c>
      <c r="AO22" s="30">
        <v>0</v>
      </c>
      <c r="AP22" s="31">
        <v>0</v>
      </c>
      <c r="AQ22" s="31">
        <v>15000</v>
      </c>
      <c r="AR22" s="31">
        <v>0</v>
      </c>
      <c r="AS22" s="31">
        <v>7000</v>
      </c>
      <c r="AT22" s="31">
        <v>0</v>
      </c>
      <c r="AU22" s="30">
        <v>202</v>
      </c>
      <c r="AX22" s="2">
        <f t="shared" si="0"/>
        <v>178640</v>
      </c>
      <c r="AY22" s="32">
        <f t="shared" si="1"/>
        <v>163328</v>
      </c>
      <c r="AZ22" s="186">
        <f t="shared" si="2"/>
        <v>0.510089429030039</v>
      </c>
      <c r="BA22" s="186">
        <f t="shared" si="3"/>
        <v>0.052360487507797614</v>
      </c>
      <c r="BB22" s="186">
        <f t="shared" si="4"/>
        <v>0.282589077675289</v>
      </c>
      <c r="BC22" s="53">
        <f t="shared" si="88"/>
        <v>192000</v>
      </c>
      <c r="BD22" s="53">
        <f t="shared" si="5"/>
        <v>98589.39863739148</v>
      </c>
      <c r="BE22" s="53">
        <f t="shared" si="6"/>
        <v>10120.164586767818</v>
      </c>
      <c r="BF22" s="53">
        <f t="shared" si="7"/>
        <v>54618.43677584069</v>
      </c>
      <c r="BG22" s="53"/>
      <c r="BH22" s="53">
        <f t="shared" si="89"/>
        <v>8</v>
      </c>
      <c r="BI22" s="53">
        <f t="shared" si="90"/>
        <v>7</v>
      </c>
      <c r="BJ22" s="53">
        <f t="shared" si="91"/>
        <v>4</v>
      </c>
      <c r="BK22" s="53">
        <f t="shared" si="92"/>
        <v>5</v>
      </c>
      <c r="BL22" s="53"/>
      <c r="BM22" s="53">
        <f t="shared" si="93"/>
        <v>4</v>
      </c>
      <c r="BN22" s="53">
        <f t="shared" si="94"/>
        <v>3</v>
      </c>
      <c r="BO22" s="53">
        <f t="shared" si="95"/>
        <v>2</v>
      </c>
      <c r="BP22" s="53">
        <f t="shared" si="96"/>
        <v>0</v>
      </c>
      <c r="BQ22" s="53"/>
      <c r="BR22" s="53">
        <f t="shared" si="97"/>
        <v>13</v>
      </c>
      <c r="BS22" s="53">
        <f t="shared" si="98"/>
        <v>51.300000000000004</v>
      </c>
      <c r="BT22" s="53">
        <f t="shared" si="99"/>
        <v>11</v>
      </c>
      <c r="BU22" s="53">
        <f t="shared" si="8"/>
        <v>36144.00000000001</v>
      </c>
      <c r="BV22" s="53"/>
      <c r="BW22" s="53">
        <f t="shared" si="100"/>
        <v>23400</v>
      </c>
      <c r="BX22" s="53">
        <f t="shared" si="101"/>
        <v>-30474.000000000007</v>
      </c>
      <c r="BY22" s="53">
        <f t="shared" si="9"/>
        <v>-27142.366436179673</v>
      </c>
      <c r="BZ22" s="240">
        <f t="shared" si="102"/>
        <v>8.2337</v>
      </c>
      <c r="CC22" s="1">
        <f t="shared" si="10"/>
        <v>0</v>
      </c>
      <c r="CD22" s="195">
        <f t="shared" si="11"/>
        <v>5746.4</v>
      </c>
      <c r="CE22" s="195">
        <f t="shared" si="12"/>
        <v>5746.4</v>
      </c>
      <c r="CF22" s="239">
        <f t="shared" si="13"/>
        <v>2.9</v>
      </c>
      <c r="CG22" s="239">
        <f t="shared" si="13"/>
        <v>19.92</v>
      </c>
      <c r="CH22" s="1">
        <f t="shared" si="103"/>
        <v>9561.6</v>
      </c>
      <c r="CK22" s="211">
        <f t="shared" si="14"/>
        <v>0</v>
      </c>
      <c r="CL22" s="211">
        <f t="shared" si="15"/>
        <v>0</v>
      </c>
      <c r="CM22" s="211">
        <f t="shared" si="16"/>
        <v>0</v>
      </c>
      <c r="CQ22" s="1">
        <f t="shared" si="104"/>
        <v>1</v>
      </c>
      <c r="CR22" s="195">
        <f t="shared" si="17"/>
        <v>10000</v>
      </c>
      <c r="CS22" s="195"/>
      <c r="CT22" s="195"/>
      <c r="CV22" s="199">
        <f t="shared" si="18"/>
        <v>106.68185281732504</v>
      </c>
      <c r="CW22" s="199">
        <f t="shared" si="19"/>
        <v>19.57961098857028</v>
      </c>
      <c r="CX22" s="199">
        <f t="shared" si="20"/>
        <v>57.877970723882086</v>
      </c>
      <c r="CY22" s="199">
        <f t="shared" si="21"/>
        <v>0</v>
      </c>
      <c r="CZ22" s="199">
        <f t="shared" si="22"/>
        <v>0</v>
      </c>
      <c r="DA22" s="199">
        <f t="shared" si="23"/>
        <v>0</v>
      </c>
      <c r="DB22" s="199">
        <f t="shared" si="24"/>
        <v>12.7527732103469</v>
      </c>
      <c r="DC22" s="199">
        <f t="shared" si="25"/>
        <v>0</v>
      </c>
      <c r="DD22" s="199">
        <f t="shared" si="26"/>
        <v>0</v>
      </c>
      <c r="DE22" s="199">
        <f t="shared" si="27"/>
        <v>8.501848806897934</v>
      </c>
      <c r="DF22" s="199">
        <f t="shared" si="28"/>
        <v>0</v>
      </c>
      <c r="DG22" s="199">
        <f t="shared" si="29"/>
        <v>98.811469821536</v>
      </c>
      <c r="DH22" s="199">
        <f t="shared" si="30"/>
        <v>0</v>
      </c>
      <c r="DI22" s="199">
        <f t="shared" si="31"/>
        <v>0</v>
      </c>
      <c r="DJ22" s="199">
        <f t="shared" si="32"/>
        <v>8.40316663324644</v>
      </c>
      <c r="DK22" s="199">
        <f t="shared" si="33"/>
        <v>4.918926809705233</v>
      </c>
      <c r="DL22" s="199">
        <f t="shared" si="34"/>
        <v>0</v>
      </c>
      <c r="DM22" s="199">
        <f t="shared" si="35"/>
        <v>10.111127331060757</v>
      </c>
      <c r="DN22" s="199">
        <f t="shared" si="36"/>
        <v>0</v>
      </c>
      <c r="DO22" s="199">
        <f t="shared" si="37"/>
        <v>0</v>
      </c>
      <c r="DP22" s="199">
        <f t="shared" si="38"/>
        <v>0</v>
      </c>
      <c r="DQ22" s="199">
        <f t="shared" si="39"/>
        <v>0</v>
      </c>
      <c r="DR22" s="199">
        <f t="shared" si="40"/>
        <v>1.7267294966913973</v>
      </c>
      <c r="DS22" s="199">
        <f t="shared" si="41"/>
        <v>0</v>
      </c>
      <c r="DT22" s="199">
        <f t="shared" si="42"/>
        <v>0</v>
      </c>
      <c r="DU22" s="199">
        <f t="shared" si="43"/>
        <v>0</v>
      </c>
      <c r="DV22" s="199">
        <f t="shared" si="44"/>
        <v>0.004379386404652095</v>
      </c>
      <c r="DW22" s="199">
        <f t="shared" si="45"/>
        <v>0</v>
      </c>
      <c r="DX22" s="199">
        <f t="shared" si="46"/>
        <v>0.4531205133346701</v>
      </c>
      <c r="DY22" s="199">
        <f t="shared" si="47"/>
        <v>0</v>
      </c>
      <c r="DZ22" s="199">
        <f t="shared" si="48"/>
        <v>0.01307576338480048</v>
      </c>
      <c r="EA22" s="199">
        <f t="shared" si="49"/>
        <v>94.82521718066974</v>
      </c>
      <c r="EB22" s="199">
        <f t="shared" si="50"/>
        <v>11.144773300180468</v>
      </c>
      <c r="EC22" s="202">
        <f t="shared" si="51"/>
        <v>435.80604278323636</v>
      </c>
      <c r="ED22" s="202">
        <f>SUM(CV22:DI22,DS22:DT22,DW22,DY22,EA22:EB22)</f>
        <v>410.17551684940844</v>
      </c>
      <c r="EE22" s="203">
        <f t="shared" si="52"/>
        <v>67.89753453516285</v>
      </c>
      <c r="EF22" s="199"/>
      <c r="EI22" s="1">
        <f t="shared" si="53"/>
        <v>0.5699766927982697</v>
      </c>
      <c r="EJ22" s="1">
        <f t="shared" si="54"/>
        <v>0.010606863429336002</v>
      </c>
      <c r="EK22" s="1">
        <f t="shared" si="55"/>
        <v>0.24682268761392</v>
      </c>
      <c r="EL22" s="1">
        <f t="shared" si="56"/>
        <v>0</v>
      </c>
      <c r="EM22" s="1">
        <f t="shared" si="57"/>
        <v>0</v>
      </c>
      <c r="EN22" s="1">
        <f t="shared" si="58"/>
        <v>0</v>
      </c>
      <c r="EO22" s="1">
        <f t="shared" si="59"/>
        <v>0.2644897670328</v>
      </c>
      <c r="EP22" s="1">
        <f t="shared" si="60"/>
        <v>0</v>
      </c>
      <c r="EQ22" s="1">
        <f t="shared" si="61"/>
        <v>0.21621849683808003</v>
      </c>
      <c r="ER22" s="1">
        <f t="shared" si="62"/>
        <v>0</v>
      </c>
      <c r="ES22" s="1">
        <f t="shared" si="63"/>
        <v>0</v>
      </c>
      <c r="ET22" s="1">
        <f t="shared" si="64"/>
        <v>0.14589546715944002</v>
      </c>
      <c r="EU22" s="1">
        <f t="shared" si="65"/>
        <v>0</v>
      </c>
      <c r="EV22" s="1">
        <f t="shared" si="66"/>
        <v>0</v>
      </c>
      <c r="EW22" s="1">
        <f t="shared" si="67"/>
        <v>0.10099701098903999</v>
      </c>
      <c r="EX22" s="1">
        <f t="shared" si="68"/>
        <v>0.10099701098903999</v>
      </c>
      <c r="EY22" s="1">
        <f t="shared" si="69"/>
        <v>0</v>
      </c>
      <c r="EZ22" s="1">
        <f t="shared" si="70"/>
        <v>0.10099701098903999</v>
      </c>
      <c r="FA22" s="1">
        <f t="shared" si="71"/>
        <v>0</v>
      </c>
      <c r="FB22" s="1">
        <f t="shared" si="72"/>
        <v>0</v>
      </c>
      <c r="FC22" s="1">
        <f t="shared" si="73"/>
        <v>0</v>
      </c>
      <c r="FD22" s="1">
        <f t="shared" si="74"/>
        <v>0</v>
      </c>
      <c r="FE22" s="1">
        <f t="shared" si="75"/>
        <v>0.059350736407200004</v>
      </c>
      <c r="FF22" s="1">
        <f t="shared" si="76"/>
        <v>0</v>
      </c>
      <c r="FG22" s="1">
        <f t="shared" si="77"/>
        <v>0</v>
      </c>
      <c r="FH22" s="1">
        <f t="shared" si="78"/>
        <v>0</v>
      </c>
      <c r="FI22" s="1">
        <f t="shared" si="79"/>
        <v>0</v>
      </c>
      <c r="FJ22" s="1">
        <f t="shared" si="80"/>
        <v>0</v>
      </c>
      <c r="FK22" s="1">
        <f t="shared" si="81"/>
        <v>0</v>
      </c>
      <c r="FL22" s="1">
        <f t="shared" si="82"/>
        <v>0</v>
      </c>
      <c r="FM22" s="1">
        <f t="shared" si="83"/>
        <v>0.0057571153094400015</v>
      </c>
      <c r="FN22" s="1">
        <f t="shared" si="84"/>
        <v>7.46760736344</v>
      </c>
      <c r="FO22" s="1">
        <f>IF(O22=0,0,SUM(EI22:FN22))</f>
        <v>9.289716222995605</v>
      </c>
    </row>
    <row r="23" spans="1:171" ht="12.75">
      <c r="A23" s="24">
        <v>46</v>
      </c>
      <c r="B23" s="25" t="s">
        <v>119</v>
      </c>
      <c r="C23" s="25" t="s">
        <v>120</v>
      </c>
      <c r="D23" s="26" t="s">
        <v>113</v>
      </c>
      <c r="E23" s="26">
        <v>2</v>
      </c>
      <c r="F23" s="26" t="s">
        <v>114</v>
      </c>
      <c r="G23" s="26" t="s">
        <v>74</v>
      </c>
      <c r="H23" s="26" t="s">
        <v>75</v>
      </c>
      <c r="I23" s="26">
        <v>3</v>
      </c>
      <c r="J23" s="38"/>
      <c r="K23" s="26">
        <f t="shared" si="85"/>
        <v>1</v>
      </c>
      <c r="L23" s="26">
        <f t="shared" si="86"/>
        <v>1</v>
      </c>
      <c r="M23" s="39">
        <v>385015</v>
      </c>
      <c r="N23" s="39">
        <v>900403</v>
      </c>
      <c r="O23" s="27">
        <f t="shared" si="87"/>
        <v>306000</v>
      </c>
      <c r="P23" s="40">
        <v>306000</v>
      </c>
      <c r="Q23" s="28">
        <v>322000</v>
      </c>
      <c r="R23" s="28">
        <v>130200</v>
      </c>
      <c r="S23" s="29">
        <v>18000</v>
      </c>
      <c r="T23" s="29">
        <v>0</v>
      </c>
      <c r="U23" s="29">
        <v>0</v>
      </c>
      <c r="V23" s="29">
        <v>0</v>
      </c>
      <c r="W23" s="28">
        <v>101000</v>
      </c>
      <c r="X23" s="29">
        <v>0</v>
      </c>
      <c r="Y23" s="28">
        <v>0</v>
      </c>
      <c r="Z23" s="28">
        <v>36500</v>
      </c>
      <c r="AA23" s="28">
        <v>0</v>
      </c>
      <c r="AB23" s="28">
        <v>78800</v>
      </c>
      <c r="AC23" s="28">
        <v>17700</v>
      </c>
      <c r="AD23" s="28">
        <v>0</v>
      </c>
      <c r="AE23" s="28">
        <v>69300</v>
      </c>
      <c r="AF23" s="28">
        <v>48000</v>
      </c>
      <c r="AG23" s="28">
        <v>32900</v>
      </c>
      <c r="AH23" s="28">
        <v>53250</v>
      </c>
      <c r="AI23" s="28">
        <v>0</v>
      </c>
      <c r="AJ23" s="28">
        <v>0</v>
      </c>
      <c r="AK23" s="28">
        <v>0</v>
      </c>
      <c r="AL23" s="28">
        <v>0</v>
      </c>
      <c r="AM23" s="30">
        <v>21800</v>
      </c>
      <c r="AN23" s="31">
        <v>4500</v>
      </c>
      <c r="AO23" s="30">
        <v>55000</v>
      </c>
      <c r="AP23" s="31">
        <v>0</v>
      </c>
      <c r="AQ23" s="31">
        <v>0</v>
      </c>
      <c r="AR23" s="31">
        <v>0</v>
      </c>
      <c r="AS23" s="31">
        <v>6500</v>
      </c>
      <c r="AT23" s="31">
        <v>57</v>
      </c>
      <c r="AU23" s="30">
        <v>504</v>
      </c>
      <c r="AX23" s="2">
        <f t="shared" si="0"/>
        <v>225280</v>
      </c>
      <c r="AY23" s="32">
        <f t="shared" si="1"/>
        <v>214085.96273291926</v>
      </c>
      <c r="AZ23" s="186">
        <f t="shared" si="2"/>
        <v>0.510089429030039</v>
      </c>
      <c r="BA23" s="186">
        <f t="shared" si="3"/>
        <v>0.052360487507797614</v>
      </c>
      <c r="BB23" s="186">
        <f t="shared" si="4"/>
        <v>0.282589077675289</v>
      </c>
      <c r="BC23" s="53">
        <f t="shared" si="88"/>
        <v>306000</v>
      </c>
      <c r="BD23" s="53">
        <f t="shared" si="5"/>
        <v>129228.34004301476</v>
      </c>
      <c r="BE23" s="53">
        <f t="shared" si="6"/>
        <v>13265.240366463708</v>
      </c>
      <c r="BF23" s="53">
        <f t="shared" si="7"/>
        <v>71592.38232344079</v>
      </c>
      <c r="BG23" s="53"/>
      <c r="BH23" s="53">
        <f t="shared" si="89"/>
        <v>12</v>
      </c>
      <c r="BI23" s="53">
        <f t="shared" si="90"/>
        <v>9</v>
      </c>
      <c r="BJ23" s="53">
        <f t="shared" si="91"/>
        <v>4</v>
      </c>
      <c r="BK23" s="53">
        <f t="shared" si="92"/>
        <v>6</v>
      </c>
      <c r="BL23" s="53"/>
      <c r="BM23" s="53">
        <f t="shared" si="93"/>
        <v>5</v>
      </c>
      <c r="BN23" s="53">
        <f t="shared" si="94"/>
        <v>4</v>
      </c>
      <c r="BO23" s="53">
        <f t="shared" si="95"/>
        <v>2</v>
      </c>
      <c r="BP23" s="53">
        <f t="shared" si="96"/>
        <v>0</v>
      </c>
      <c r="BQ23" s="53"/>
      <c r="BR23" s="53">
        <f t="shared" si="97"/>
        <v>16.25</v>
      </c>
      <c r="BS23" s="53">
        <f t="shared" si="98"/>
        <v>68.4</v>
      </c>
      <c r="BT23" s="53">
        <f t="shared" si="99"/>
        <v>11</v>
      </c>
      <c r="BU23" s="53">
        <f t="shared" si="8"/>
        <v>45912</v>
      </c>
      <c r="BV23" s="53"/>
      <c r="BW23" s="53">
        <f t="shared" si="100"/>
        <v>28600</v>
      </c>
      <c r="BX23" s="53">
        <f t="shared" si="101"/>
        <v>-38982</v>
      </c>
      <c r="BY23" s="53">
        <f t="shared" si="9"/>
        <v>-34910.00342199737</v>
      </c>
      <c r="BZ23" s="240">
        <f t="shared" si="102"/>
        <v>10.386849999999999</v>
      </c>
      <c r="CC23" s="1">
        <f t="shared" si="10"/>
        <v>0</v>
      </c>
      <c r="CD23" s="195">
        <f t="shared" si="11"/>
        <v>8619.599999999999</v>
      </c>
      <c r="CE23" s="195">
        <f t="shared" si="12"/>
        <v>8619.599999999999</v>
      </c>
      <c r="CF23" s="239">
        <f t="shared" si="13"/>
        <v>4.35</v>
      </c>
      <c r="CG23" s="239">
        <f t="shared" si="13"/>
        <v>29.880000000000003</v>
      </c>
      <c r="CH23" s="1">
        <f t="shared" si="103"/>
        <v>14342.400000000001</v>
      </c>
      <c r="CK23" s="211">
        <f t="shared" si="14"/>
        <v>0</v>
      </c>
      <c r="CL23" s="211">
        <f t="shared" si="15"/>
        <v>0</v>
      </c>
      <c r="CM23" s="211">
        <f t="shared" si="16"/>
        <v>0</v>
      </c>
      <c r="CQ23" s="1">
        <f t="shared" si="104"/>
        <v>1</v>
      </c>
      <c r="CR23" s="195">
        <f t="shared" si="17"/>
        <v>10000</v>
      </c>
      <c r="CS23" s="195"/>
      <c r="CT23" s="195"/>
      <c r="CV23" s="199">
        <f t="shared" si="18"/>
        <v>163.57884098656504</v>
      </c>
      <c r="CW23" s="199">
        <f t="shared" si="19"/>
        <v>39.099161820733904</v>
      </c>
      <c r="CX23" s="199">
        <f t="shared" si="20"/>
        <v>35.435492279927814</v>
      </c>
      <c r="CY23" s="199">
        <f t="shared" si="21"/>
        <v>0</v>
      </c>
      <c r="CZ23" s="199">
        <f t="shared" si="22"/>
        <v>0</v>
      </c>
      <c r="DA23" s="199">
        <f t="shared" si="23"/>
        <v>0</v>
      </c>
      <c r="DB23" s="199">
        <f t="shared" si="24"/>
        <v>26.286328453980346</v>
      </c>
      <c r="DC23" s="199">
        <f t="shared" si="25"/>
        <v>0</v>
      </c>
      <c r="DD23" s="199">
        <f t="shared" si="26"/>
        <v>0</v>
      </c>
      <c r="DE23" s="199">
        <f t="shared" si="27"/>
        <v>11.082767194706236</v>
      </c>
      <c r="DF23" s="199">
        <f t="shared" si="28"/>
        <v>0</v>
      </c>
      <c r="DG23" s="199">
        <f t="shared" si="29"/>
        <v>104.5146821736515</v>
      </c>
      <c r="DH23" s="199">
        <f t="shared" si="30"/>
        <v>23.476013635452173</v>
      </c>
      <c r="DI23" s="199">
        <f t="shared" si="31"/>
        <v>0</v>
      </c>
      <c r="DJ23" s="199">
        <f t="shared" si="32"/>
        <v>9.468934108682575</v>
      </c>
      <c r="DK23" s="199">
        <f t="shared" si="33"/>
        <v>6.558569079606977</v>
      </c>
      <c r="DL23" s="199">
        <f t="shared" si="34"/>
        <v>4.4953525566472825</v>
      </c>
      <c r="DM23" s="199">
        <f t="shared" si="35"/>
        <v>7.27591257268899</v>
      </c>
      <c r="DN23" s="199">
        <f t="shared" si="36"/>
        <v>0</v>
      </c>
      <c r="DO23" s="199">
        <f t="shared" si="37"/>
        <v>0</v>
      </c>
      <c r="DP23" s="199">
        <f t="shared" si="38"/>
        <v>0</v>
      </c>
      <c r="DQ23" s="199">
        <f t="shared" si="39"/>
        <v>0</v>
      </c>
      <c r="DR23" s="199">
        <f t="shared" si="40"/>
        <v>3.273278524162823</v>
      </c>
      <c r="DS23" s="199">
        <f t="shared" si="41"/>
        <v>11.93695608582314</v>
      </c>
      <c r="DT23" s="199">
        <f t="shared" si="42"/>
        <v>157.82474433527167</v>
      </c>
      <c r="DU23" s="199">
        <f t="shared" si="43"/>
        <v>0</v>
      </c>
      <c r="DV23" s="199">
        <f t="shared" si="44"/>
        <v>0</v>
      </c>
      <c r="DW23" s="199">
        <f t="shared" si="45"/>
        <v>0</v>
      </c>
      <c r="DX23" s="199">
        <f t="shared" si="46"/>
        <v>0.42075476238219367</v>
      </c>
      <c r="DY23" s="199">
        <f t="shared" si="47"/>
        <v>2.358362141568077</v>
      </c>
      <c r="DZ23" s="199">
        <f t="shared" si="48"/>
        <v>0.032624676960096244</v>
      </c>
      <c r="EA23" s="199">
        <f t="shared" si="49"/>
        <v>124.29435192668639</v>
      </c>
      <c r="EB23" s="199">
        <f t="shared" si="50"/>
        <v>16.3123653392485</v>
      </c>
      <c r="EC23" s="202">
        <f t="shared" si="51"/>
        <v>747.7254926547456</v>
      </c>
      <c r="ED23" s="202">
        <f>SUM(CV23:DI23,DS23:DT23,DW23,DY23,EA23:EB23)</f>
        <v>716.2000663736147</v>
      </c>
      <c r="EE23" s="203">
        <f t="shared" si="52"/>
        <v>118.55465951309269</v>
      </c>
      <c r="EF23" s="199"/>
      <c r="EI23" s="1">
        <f t="shared" si="53"/>
        <v>0.5699766927982697</v>
      </c>
      <c r="EJ23" s="1">
        <f t="shared" si="54"/>
        <v>0.010606863429336002</v>
      </c>
      <c r="EK23" s="1">
        <f t="shared" si="55"/>
        <v>0.24682268761392</v>
      </c>
      <c r="EL23" s="1">
        <f t="shared" si="56"/>
        <v>0</v>
      </c>
      <c r="EM23" s="1">
        <f t="shared" si="57"/>
        <v>0</v>
      </c>
      <c r="EN23" s="1">
        <f t="shared" si="58"/>
        <v>0</v>
      </c>
      <c r="EO23" s="1">
        <f t="shared" si="59"/>
        <v>0.2644897670328</v>
      </c>
      <c r="EP23" s="1">
        <f t="shared" si="60"/>
        <v>0</v>
      </c>
      <c r="EQ23" s="1">
        <f t="shared" si="61"/>
        <v>0.21621849683808003</v>
      </c>
      <c r="ER23" s="1">
        <f t="shared" si="62"/>
        <v>0</v>
      </c>
      <c r="ES23" s="1">
        <f t="shared" si="63"/>
        <v>0</v>
      </c>
      <c r="ET23" s="1">
        <f t="shared" si="64"/>
        <v>0.14589546715944002</v>
      </c>
      <c r="EU23" s="1">
        <f t="shared" si="65"/>
        <v>0.14589546715944002</v>
      </c>
      <c r="EV23" s="1">
        <f t="shared" si="66"/>
        <v>0</v>
      </c>
      <c r="EW23" s="1">
        <f t="shared" si="67"/>
        <v>0.10099701098903999</v>
      </c>
      <c r="EX23" s="1">
        <f t="shared" si="68"/>
        <v>0.10099701098903999</v>
      </c>
      <c r="EY23" s="1">
        <f t="shared" si="69"/>
        <v>0.059350736407200004</v>
      </c>
      <c r="EZ23" s="1">
        <f t="shared" si="70"/>
        <v>0.10099701098903999</v>
      </c>
      <c r="FA23" s="1">
        <f t="shared" si="71"/>
        <v>0</v>
      </c>
      <c r="FB23" s="1">
        <f t="shared" si="72"/>
        <v>0</v>
      </c>
      <c r="FC23" s="1">
        <f t="shared" si="73"/>
        <v>0</v>
      </c>
      <c r="FD23" s="1">
        <f t="shared" si="74"/>
        <v>0</v>
      </c>
      <c r="FE23" s="1">
        <f t="shared" si="75"/>
        <v>0.059350736407200004</v>
      </c>
      <c r="FF23" s="1">
        <f t="shared" si="76"/>
        <v>0.059350736407200004</v>
      </c>
      <c r="FG23" s="1">
        <f t="shared" si="77"/>
        <v>0.10099701098903999</v>
      </c>
      <c r="FH23" s="1">
        <f t="shared" si="78"/>
        <v>0</v>
      </c>
      <c r="FI23" s="1">
        <f t="shared" si="79"/>
        <v>0</v>
      </c>
      <c r="FJ23" s="1">
        <f t="shared" si="80"/>
        <v>0</v>
      </c>
      <c r="FK23" s="1">
        <f t="shared" si="81"/>
        <v>0</v>
      </c>
      <c r="FL23" s="1">
        <f t="shared" si="82"/>
        <v>4.263919336981805</v>
      </c>
      <c r="FM23" s="1">
        <f t="shared" si="83"/>
        <v>0.0057571153094400015</v>
      </c>
      <c r="FN23" s="1">
        <f t="shared" si="84"/>
        <v>7.46760736344</v>
      </c>
      <c r="FO23" s="1">
        <f>IF(O23=0,0,SUM(EI23:FN23))</f>
        <v>13.91922951094029</v>
      </c>
    </row>
    <row r="24" spans="1:171" ht="12.75">
      <c r="A24" s="24">
        <v>47</v>
      </c>
      <c r="B24" s="25" t="s">
        <v>121</v>
      </c>
      <c r="C24" s="25" t="s">
        <v>122</v>
      </c>
      <c r="D24" s="26" t="s">
        <v>123</v>
      </c>
      <c r="E24" s="26">
        <v>2</v>
      </c>
      <c r="F24" s="26" t="s">
        <v>114</v>
      </c>
      <c r="G24" s="26" t="s">
        <v>74</v>
      </c>
      <c r="H24" s="26" t="s">
        <v>75</v>
      </c>
      <c r="I24" s="26">
        <v>3</v>
      </c>
      <c r="J24" s="26"/>
      <c r="K24" s="26">
        <f t="shared" si="85"/>
        <v>1</v>
      </c>
      <c r="L24" s="26">
        <f t="shared" si="86"/>
        <v>1</v>
      </c>
      <c r="M24" s="24">
        <v>414000</v>
      </c>
      <c r="N24" s="24">
        <v>872845</v>
      </c>
      <c r="O24" s="27">
        <f t="shared" si="87"/>
        <v>410000</v>
      </c>
      <c r="P24" s="28">
        <v>410000</v>
      </c>
      <c r="Q24" s="28">
        <v>420000</v>
      </c>
      <c r="R24" s="28">
        <v>247000</v>
      </c>
      <c r="S24" s="29">
        <v>36000</v>
      </c>
      <c r="T24" s="29">
        <v>0</v>
      </c>
      <c r="U24" s="29">
        <v>0</v>
      </c>
      <c r="V24" s="29">
        <v>0</v>
      </c>
      <c r="W24" s="28">
        <v>165000</v>
      </c>
      <c r="X24" s="29">
        <v>4000</v>
      </c>
      <c r="Y24" s="29">
        <v>0</v>
      </c>
      <c r="Z24" s="28">
        <v>0</v>
      </c>
      <c r="AA24" s="29">
        <v>0</v>
      </c>
      <c r="AB24" s="28">
        <v>0</v>
      </c>
      <c r="AC24" s="28">
        <v>90000</v>
      </c>
      <c r="AD24" s="28">
        <v>0</v>
      </c>
      <c r="AE24" s="28">
        <v>145000</v>
      </c>
      <c r="AF24" s="28">
        <v>0</v>
      </c>
      <c r="AG24" s="28">
        <v>2000</v>
      </c>
      <c r="AH24" s="28">
        <v>112000</v>
      </c>
      <c r="AI24" s="28">
        <v>6000</v>
      </c>
      <c r="AJ24" s="28">
        <v>0</v>
      </c>
      <c r="AK24" s="28">
        <v>100000</v>
      </c>
      <c r="AL24" s="28">
        <v>0</v>
      </c>
      <c r="AM24" s="30">
        <v>36000</v>
      </c>
      <c r="AN24" s="31">
        <v>17000</v>
      </c>
      <c r="AO24" s="30">
        <v>63000</v>
      </c>
      <c r="AP24" s="31">
        <v>0</v>
      </c>
      <c r="AQ24" s="31">
        <v>26000</v>
      </c>
      <c r="AR24" s="31">
        <v>0</v>
      </c>
      <c r="AS24" s="31">
        <v>13400</v>
      </c>
      <c r="AT24" s="31">
        <v>31</v>
      </c>
      <c r="AU24" s="30">
        <v>550</v>
      </c>
      <c r="AX24" s="2">
        <f t="shared" si="0"/>
        <v>287408</v>
      </c>
      <c r="AY24" s="32">
        <f t="shared" si="1"/>
        <v>280564.95238095237</v>
      </c>
      <c r="AZ24" s="186">
        <f t="shared" si="2"/>
        <v>0.510089429030039</v>
      </c>
      <c r="BA24" s="186">
        <f t="shared" si="3"/>
        <v>0.052360487507797614</v>
      </c>
      <c r="BB24" s="186">
        <f t="shared" si="4"/>
        <v>0.282589077675289</v>
      </c>
      <c r="BC24" s="53">
        <f t="shared" si="88"/>
        <v>410000</v>
      </c>
      <c r="BD24" s="53">
        <f t="shared" si="5"/>
        <v>169356.93778143657</v>
      </c>
      <c r="BE24" s="53">
        <f t="shared" si="6"/>
        <v>17384.42578966199</v>
      </c>
      <c r="BF24" s="53">
        <f t="shared" si="7"/>
        <v>93823.5888098538</v>
      </c>
      <c r="BG24" s="53"/>
      <c r="BH24" s="53">
        <f t="shared" si="89"/>
        <v>15</v>
      </c>
      <c r="BI24" s="53">
        <f t="shared" si="90"/>
        <v>11</v>
      </c>
      <c r="BJ24" s="53">
        <f t="shared" si="91"/>
        <v>4</v>
      </c>
      <c r="BK24" s="53">
        <f t="shared" si="92"/>
        <v>8</v>
      </c>
      <c r="BL24" s="53"/>
      <c r="BM24" s="53">
        <f t="shared" si="93"/>
        <v>6</v>
      </c>
      <c r="BN24" s="53">
        <f t="shared" si="94"/>
        <v>5</v>
      </c>
      <c r="BO24" s="53">
        <f t="shared" si="95"/>
        <v>2</v>
      </c>
      <c r="BP24" s="53">
        <f t="shared" si="96"/>
        <v>0</v>
      </c>
      <c r="BQ24" s="53"/>
      <c r="BR24" s="53">
        <f t="shared" si="97"/>
        <v>19.5</v>
      </c>
      <c r="BS24" s="53">
        <f t="shared" si="98"/>
        <v>85.5</v>
      </c>
      <c r="BT24" s="53">
        <f t="shared" si="99"/>
        <v>11</v>
      </c>
      <c r="BU24" s="53">
        <f t="shared" si="8"/>
        <v>55680</v>
      </c>
      <c r="BV24" s="53"/>
      <c r="BW24" s="53">
        <f t="shared" si="100"/>
        <v>33800</v>
      </c>
      <c r="BX24" s="53">
        <f t="shared" si="101"/>
        <v>-47490</v>
      </c>
      <c r="BY24" s="53">
        <f t="shared" si="9"/>
        <v>-42677.64040781507</v>
      </c>
      <c r="BZ24" s="240">
        <f t="shared" si="102"/>
        <v>12.54</v>
      </c>
      <c r="CC24" s="1">
        <f t="shared" si="10"/>
        <v>0</v>
      </c>
      <c r="CD24" s="195">
        <f t="shared" si="11"/>
        <v>8619.599999999999</v>
      </c>
      <c r="CE24" s="195">
        <f t="shared" si="12"/>
        <v>8619.599999999999</v>
      </c>
      <c r="CF24" s="239">
        <f t="shared" si="13"/>
        <v>4.35</v>
      </c>
      <c r="CG24" s="239">
        <f t="shared" si="13"/>
        <v>29.880000000000003</v>
      </c>
      <c r="CH24" s="1">
        <f t="shared" si="103"/>
        <v>14342.400000000001</v>
      </c>
      <c r="CK24" s="211">
        <f t="shared" si="14"/>
        <v>0</v>
      </c>
      <c r="CL24" s="211">
        <f t="shared" si="15"/>
        <v>0</v>
      </c>
      <c r="CM24" s="211">
        <f t="shared" si="16"/>
        <v>0</v>
      </c>
      <c r="CQ24" s="1">
        <f t="shared" si="104"/>
        <v>1</v>
      </c>
      <c r="CR24" s="195">
        <f t="shared" si="17"/>
        <v>10000</v>
      </c>
      <c r="CS24" s="195"/>
      <c r="CT24" s="195"/>
      <c r="CV24" s="199">
        <f t="shared" si="18"/>
        <v>213.36370563465007</v>
      </c>
      <c r="CW24" s="199">
        <f t="shared" si="19"/>
        <v>74.17429316222177</v>
      </c>
      <c r="CX24" s="199">
        <f t="shared" si="20"/>
        <v>70.87098455985563</v>
      </c>
      <c r="CY24" s="199">
        <f t="shared" si="21"/>
        <v>0</v>
      </c>
      <c r="CZ24" s="199">
        <f t="shared" si="22"/>
        <v>0</v>
      </c>
      <c r="DA24" s="199">
        <f t="shared" si="23"/>
        <v>0</v>
      </c>
      <c r="DB24" s="199">
        <f t="shared" si="24"/>
        <v>42.94301183075997</v>
      </c>
      <c r="DC24" s="199">
        <f t="shared" si="25"/>
        <v>1.0410427110487266</v>
      </c>
      <c r="DD24" s="199">
        <f t="shared" si="26"/>
        <v>0</v>
      </c>
      <c r="DE24" s="199">
        <f t="shared" si="27"/>
        <v>0</v>
      </c>
      <c r="DF24" s="199">
        <f t="shared" si="28"/>
        <v>0</v>
      </c>
      <c r="DG24" s="199">
        <f t="shared" si="29"/>
        <v>0</v>
      </c>
      <c r="DH24" s="199">
        <f t="shared" si="30"/>
        <v>119.3695608582314</v>
      </c>
      <c r="DI24" s="199">
        <f t="shared" si="31"/>
        <v>0</v>
      </c>
      <c r="DJ24" s="199">
        <f t="shared" si="32"/>
        <v>19.81234409464608</v>
      </c>
      <c r="DK24" s="199">
        <f t="shared" si="33"/>
        <v>0</v>
      </c>
      <c r="DL24" s="199">
        <f t="shared" si="34"/>
        <v>0.2732737116502907</v>
      </c>
      <c r="DM24" s="199">
        <f t="shared" si="35"/>
        <v>15.303327852416281</v>
      </c>
      <c r="DN24" s="199">
        <f t="shared" si="36"/>
        <v>0.8198211349508722</v>
      </c>
      <c r="DO24" s="199">
        <f t="shared" si="37"/>
        <v>0</v>
      </c>
      <c r="DP24" s="199">
        <f t="shared" si="38"/>
        <v>13.663685582514535</v>
      </c>
      <c r="DQ24" s="199">
        <f t="shared" si="39"/>
        <v>0</v>
      </c>
      <c r="DR24" s="199">
        <f t="shared" si="40"/>
        <v>5.405414076599158</v>
      </c>
      <c r="DS24" s="199">
        <f t="shared" si="41"/>
        <v>45.09516743533186</v>
      </c>
      <c r="DT24" s="199">
        <f t="shared" si="42"/>
        <v>180.7810707840385</v>
      </c>
      <c r="DU24" s="199">
        <f t="shared" si="43"/>
        <v>0</v>
      </c>
      <c r="DV24" s="199">
        <f t="shared" si="44"/>
        <v>0.007590936434730298</v>
      </c>
      <c r="DW24" s="199">
        <f t="shared" si="45"/>
        <v>0</v>
      </c>
      <c r="DX24" s="199">
        <f t="shared" si="46"/>
        <v>0.8674021255263685</v>
      </c>
      <c r="DY24" s="199">
        <f t="shared" si="47"/>
        <v>1.282618006817726</v>
      </c>
      <c r="DZ24" s="199">
        <f t="shared" si="48"/>
        <v>0.03560232604772408</v>
      </c>
      <c r="EA24" s="199">
        <f t="shared" si="49"/>
        <v>162.89082424818812</v>
      </c>
      <c r="EB24" s="199">
        <f t="shared" si="50"/>
        <v>21.659395947788056</v>
      </c>
      <c r="EC24" s="202">
        <f t="shared" si="51"/>
        <v>989.6601370197179</v>
      </c>
      <c r="ED24" s="202">
        <f>SUM(CV24:DI24,DS24:DT24,DW24,DY24,EA24:EB24)</f>
        <v>933.471675178932</v>
      </c>
      <c r="EE24" s="203">
        <f t="shared" si="52"/>
        <v>154.52025462145588</v>
      </c>
      <c r="EF24" s="199"/>
      <c r="EI24" s="1">
        <f t="shared" si="53"/>
        <v>0.5699766927982697</v>
      </c>
      <c r="EJ24" s="1">
        <f t="shared" si="54"/>
        <v>0.010606863429336002</v>
      </c>
      <c r="EK24" s="1">
        <f t="shared" si="55"/>
        <v>0.24682268761392</v>
      </c>
      <c r="EL24" s="1">
        <f t="shared" si="56"/>
        <v>0</v>
      </c>
      <c r="EM24" s="1">
        <f t="shared" si="57"/>
        <v>0</v>
      </c>
      <c r="EN24" s="1">
        <f t="shared" si="58"/>
        <v>0</v>
      </c>
      <c r="EO24" s="1">
        <f t="shared" si="59"/>
        <v>0.2644897670328</v>
      </c>
      <c r="EP24" s="1">
        <f t="shared" si="60"/>
        <v>0</v>
      </c>
      <c r="EQ24" s="1">
        <f t="shared" si="61"/>
        <v>0</v>
      </c>
      <c r="ER24" s="1">
        <f t="shared" si="62"/>
        <v>0</v>
      </c>
      <c r="ES24" s="1">
        <f t="shared" si="63"/>
        <v>0</v>
      </c>
      <c r="ET24" s="1">
        <f t="shared" si="64"/>
        <v>0</v>
      </c>
      <c r="EU24" s="1">
        <f t="shared" si="65"/>
        <v>0.14589546715944002</v>
      </c>
      <c r="EV24" s="1">
        <f t="shared" si="66"/>
        <v>0</v>
      </c>
      <c r="EW24" s="1">
        <f t="shared" si="67"/>
        <v>0.10099701098903999</v>
      </c>
      <c r="EX24" s="1">
        <f t="shared" si="68"/>
        <v>0</v>
      </c>
      <c r="EY24" s="1">
        <f t="shared" si="69"/>
        <v>0.059350736407200004</v>
      </c>
      <c r="EZ24" s="1">
        <f t="shared" si="70"/>
        <v>0.10099701098903999</v>
      </c>
      <c r="FA24" s="1">
        <f t="shared" si="71"/>
        <v>0.059350736407200004</v>
      </c>
      <c r="FB24" s="1">
        <f t="shared" si="72"/>
        <v>0</v>
      </c>
      <c r="FC24" s="1">
        <f t="shared" si="73"/>
        <v>0.10099701098903999</v>
      </c>
      <c r="FD24" s="1">
        <f t="shared" si="74"/>
        <v>0</v>
      </c>
      <c r="FE24" s="1">
        <f t="shared" si="75"/>
        <v>0.10099701098903999</v>
      </c>
      <c r="FF24" s="1">
        <f t="shared" si="76"/>
        <v>0.059350736407200004</v>
      </c>
      <c r="FG24" s="1">
        <f t="shared" si="77"/>
        <v>0.10099701098903999</v>
      </c>
      <c r="FH24" s="1">
        <f t="shared" si="78"/>
        <v>0</v>
      </c>
      <c r="FI24" s="1">
        <f t="shared" si="79"/>
        <v>0</v>
      </c>
      <c r="FJ24" s="1">
        <f t="shared" si="80"/>
        <v>0</v>
      </c>
      <c r="FK24" s="1">
        <f t="shared" si="81"/>
        <v>0</v>
      </c>
      <c r="FL24" s="1">
        <f t="shared" si="82"/>
        <v>4.263919336981805</v>
      </c>
      <c r="FM24" s="1">
        <f t="shared" si="83"/>
        <v>0.0057571153094400015</v>
      </c>
      <c r="FN24" s="1">
        <f t="shared" si="84"/>
        <v>7.46760736344</v>
      </c>
      <c r="FO24" s="1">
        <f>IF(O24=0,0,SUM(EI24:FN24))</f>
        <v>13.65811255793181</v>
      </c>
    </row>
    <row r="25" spans="1:171" ht="12.75">
      <c r="A25" s="24">
        <v>48</v>
      </c>
      <c r="B25" s="25" t="s">
        <v>124</v>
      </c>
      <c r="C25" s="25" t="s">
        <v>125</v>
      </c>
      <c r="D25" s="26" t="s">
        <v>123</v>
      </c>
      <c r="E25" s="26">
        <v>2</v>
      </c>
      <c r="F25" s="26" t="s">
        <v>114</v>
      </c>
      <c r="G25" s="26" t="s">
        <v>74</v>
      </c>
      <c r="H25" s="26" t="s">
        <v>75</v>
      </c>
      <c r="I25" s="26">
        <v>3</v>
      </c>
      <c r="J25" s="26"/>
      <c r="K25" s="26">
        <f t="shared" si="85"/>
        <v>1</v>
      </c>
      <c r="L25" s="26">
        <f t="shared" si="86"/>
        <v>1</v>
      </c>
      <c r="M25" s="24">
        <v>375628</v>
      </c>
      <c r="N25" s="24">
        <v>875436</v>
      </c>
      <c r="O25" s="27">
        <f t="shared" si="87"/>
        <v>23000</v>
      </c>
      <c r="P25" s="28">
        <v>23000</v>
      </c>
      <c r="Q25" s="28">
        <v>24000</v>
      </c>
      <c r="R25" s="28">
        <v>8000</v>
      </c>
      <c r="S25" s="29">
        <v>0</v>
      </c>
      <c r="T25" s="29">
        <v>0</v>
      </c>
      <c r="U25" s="29">
        <v>0</v>
      </c>
      <c r="V25" s="29">
        <v>0</v>
      </c>
      <c r="W25" s="28">
        <v>8200</v>
      </c>
      <c r="X25" s="29">
        <v>200</v>
      </c>
      <c r="Y25" s="29">
        <v>0</v>
      </c>
      <c r="Z25" s="28">
        <v>0</v>
      </c>
      <c r="AA25" s="29">
        <v>0</v>
      </c>
      <c r="AB25" s="28">
        <v>6500</v>
      </c>
      <c r="AC25" s="28">
        <v>0</v>
      </c>
      <c r="AD25" s="28">
        <v>0</v>
      </c>
      <c r="AE25" s="28">
        <v>10000</v>
      </c>
      <c r="AF25" s="28">
        <v>0</v>
      </c>
      <c r="AG25" s="28">
        <v>0</v>
      </c>
      <c r="AH25" s="28">
        <v>11000</v>
      </c>
      <c r="AI25" s="28">
        <v>0</v>
      </c>
      <c r="AJ25" s="28">
        <v>0</v>
      </c>
      <c r="AK25" s="28">
        <v>0</v>
      </c>
      <c r="AL25" s="28">
        <v>0</v>
      </c>
      <c r="AM25" s="30">
        <v>1700</v>
      </c>
      <c r="AN25" s="31">
        <v>0</v>
      </c>
      <c r="AO25" s="30">
        <v>2700</v>
      </c>
      <c r="AP25" s="31">
        <v>0</v>
      </c>
      <c r="AQ25" s="31">
        <v>2200</v>
      </c>
      <c r="AR25" s="31">
        <v>0</v>
      </c>
      <c r="AS25" s="31">
        <v>0</v>
      </c>
      <c r="AT25" s="31">
        <v>0</v>
      </c>
      <c r="AU25" s="30">
        <v>9</v>
      </c>
      <c r="AX25" s="2">
        <f t="shared" si="0"/>
        <v>18744</v>
      </c>
      <c r="AY25" s="32">
        <f t="shared" si="1"/>
        <v>17963</v>
      </c>
      <c r="AZ25" s="186">
        <f t="shared" si="2"/>
        <v>0.510089429030039</v>
      </c>
      <c r="BA25" s="186">
        <f t="shared" si="3"/>
        <v>0.052360487507797614</v>
      </c>
      <c r="BB25" s="186">
        <f t="shared" si="4"/>
        <v>0.282589077675289</v>
      </c>
      <c r="BC25" s="53">
        <f t="shared" si="88"/>
        <v>23000</v>
      </c>
      <c r="BD25" s="53">
        <f t="shared" si="5"/>
        <v>10842.974675031</v>
      </c>
      <c r="BE25" s="53">
        <f t="shared" si="6"/>
        <v>1113.0272609234812</v>
      </c>
      <c r="BF25" s="53">
        <f t="shared" si="7"/>
        <v>6006.998064045518</v>
      </c>
      <c r="BG25" s="53"/>
      <c r="BH25" s="53">
        <f t="shared" si="89"/>
        <v>2</v>
      </c>
      <c r="BI25" s="53">
        <f t="shared" si="90"/>
        <v>3</v>
      </c>
      <c r="BJ25" s="53">
        <f t="shared" si="91"/>
        <v>3</v>
      </c>
      <c r="BK25" s="53">
        <f t="shared" si="92"/>
        <v>2</v>
      </c>
      <c r="BL25" s="53"/>
      <c r="BM25" s="53">
        <f t="shared" si="93"/>
        <v>1</v>
      </c>
      <c r="BN25" s="53">
        <f t="shared" si="94"/>
        <v>2</v>
      </c>
      <c r="BO25" s="53">
        <f t="shared" si="95"/>
        <v>2</v>
      </c>
      <c r="BP25" s="53">
        <f t="shared" si="96"/>
        <v>0</v>
      </c>
      <c r="BQ25" s="53"/>
      <c r="BR25" s="53">
        <f t="shared" si="97"/>
        <v>3.25</v>
      </c>
      <c r="BS25" s="53">
        <f t="shared" si="98"/>
        <v>34.2</v>
      </c>
      <c r="BT25" s="53">
        <f t="shared" si="99"/>
        <v>11</v>
      </c>
      <c r="BU25" s="53">
        <f t="shared" si="8"/>
        <v>23256</v>
      </c>
      <c r="BV25" s="53"/>
      <c r="BW25" s="53">
        <f t="shared" si="100"/>
        <v>13000</v>
      </c>
      <c r="BX25" s="53">
        <f t="shared" si="101"/>
        <v>-20106</v>
      </c>
      <c r="BY25" s="53">
        <f t="shared" si="9"/>
        <v>-18255.092464544257</v>
      </c>
      <c r="BZ25" s="240">
        <f t="shared" si="102"/>
        <v>5.5020500000000006</v>
      </c>
      <c r="CC25" s="1">
        <f t="shared" si="10"/>
        <v>0</v>
      </c>
      <c r="CD25" s="195">
        <f t="shared" si="11"/>
        <v>2873.2</v>
      </c>
      <c r="CE25" s="195">
        <f t="shared" si="12"/>
        <v>2873.2</v>
      </c>
      <c r="CF25" s="239">
        <f t="shared" si="13"/>
        <v>1.45</v>
      </c>
      <c r="CG25" s="239">
        <f t="shared" si="13"/>
        <v>9.96</v>
      </c>
      <c r="CH25" s="1">
        <f t="shared" si="103"/>
        <v>4780.8</v>
      </c>
      <c r="CK25" s="211">
        <f t="shared" si="14"/>
        <v>0</v>
      </c>
      <c r="CL25" s="211">
        <f t="shared" si="15"/>
        <v>0</v>
      </c>
      <c r="CM25" s="211">
        <f t="shared" si="16"/>
        <v>0</v>
      </c>
      <c r="CQ25" s="1">
        <f t="shared" si="104"/>
        <v>0</v>
      </c>
      <c r="CR25" s="195">
        <f t="shared" si="17"/>
        <v>0</v>
      </c>
      <c r="CS25" s="195"/>
      <c r="CT25" s="195"/>
      <c r="CV25" s="199">
        <f t="shared" si="18"/>
        <v>12.192211750551433</v>
      </c>
      <c r="CW25" s="199">
        <f t="shared" si="19"/>
        <v>2.4024062562662922</v>
      </c>
      <c r="CX25" s="199">
        <f t="shared" si="20"/>
        <v>0</v>
      </c>
      <c r="CY25" s="199">
        <f t="shared" si="21"/>
        <v>0</v>
      </c>
      <c r="CZ25" s="199">
        <f t="shared" si="22"/>
        <v>0</v>
      </c>
      <c r="DA25" s="199">
        <f t="shared" si="23"/>
        <v>0</v>
      </c>
      <c r="DB25" s="199">
        <f t="shared" si="24"/>
        <v>2.1341375576498893</v>
      </c>
      <c r="DC25" s="199">
        <f t="shared" si="25"/>
        <v>0.05205213555243633</v>
      </c>
      <c r="DD25" s="199">
        <f t="shared" si="26"/>
        <v>0</v>
      </c>
      <c r="DE25" s="199">
        <f t="shared" si="27"/>
        <v>0</v>
      </c>
      <c r="DF25" s="199">
        <f t="shared" si="28"/>
        <v>0</v>
      </c>
      <c r="DG25" s="199">
        <f t="shared" si="29"/>
        <v>8.621134950872266</v>
      </c>
      <c r="DH25" s="199">
        <f t="shared" si="30"/>
        <v>0</v>
      </c>
      <c r="DI25" s="199">
        <f t="shared" si="31"/>
        <v>0</v>
      </c>
      <c r="DJ25" s="199">
        <f t="shared" si="32"/>
        <v>1.3663685582514535</v>
      </c>
      <c r="DK25" s="199">
        <f t="shared" si="33"/>
        <v>0</v>
      </c>
      <c r="DL25" s="199">
        <f t="shared" si="34"/>
        <v>0</v>
      </c>
      <c r="DM25" s="199">
        <f t="shared" si="35"/>
        <v>1.5030054140765992</v>
      </c>
      <c r="DN25" s="199">
        <f t="shared" si="36"/>
        <v>0</v>
      </c>
      <c r="DO25" s="199">
        <f t="shared" si="37"/>
        <v>0</v>
      </c>
      <c r="DP25" s="199">
        <f t="shared" si="38"/>
        <v>0</v>
      </c>
      <c r="DQ25" s="199">
        <f t="shared" si="39"/>
        <v>0</v>
      </c>
      <c r="DR25" s="199">
        <f t="shared" si="40"/>
        <v>0.25525566472829353</v>
      </c>
      <c r="DS25" s="199">
        <f t="shared" si="41"/>
        <v>0</v>
      </c>
      <c r="DT25" s="199">
        <f t="shared" si="42"/>
        <v>7.747760176458792</v>
      </c>
      <c r="DU25" s="199">
        <f t="shared" si="43"/>
        <v>0</v>
      </c>
      <c r="DV25" s="199">
        <f t="shared" si="44"/>
        <v>0.0006423100060156407</v>
      </c>
      <c r="DW25" s="199">
        <f t="shared" si="45"/>
        <v>0</v>
      </c>
      <c r="DX25" s="199">
        <f t="shared" si="46"/>
        <v>0</v>
      </c>
      <c r="DY25" s="199">
        <f t="shared" si="47"/>
        <v>0</v>
      </c>
      <c r="DZ25" s="199">
        <f t="shared" si="48"/>
        <v>0.0005825835171445759</v>
      </c>
      <c r="EA25" s="199">
        <f t="shared" si="49"/>
        <v>10.428985698816922</v>
      </c>
      <c r="EB25" s="199">
        <f t="shared" si="50"/>
        <v>1.2847941864848604</v>
      </c>
      <c r="EC25" s="202">
        <f t="shared" si="51"/>
        <v>47.98933724323239</v>
      </c>
      <c r="ED25" s="202">
        <f>SUM(CV25:DI25,DS25:DT25,DW25,DY25,EA25:EB25)</f>
        <v>44.86348271265289</v>
      </c>
      <c r="EE25" s="203">
        <f t="shared" si="52"/>
        <v>7.4263814921171445</v>
      </c>
      <c r="EF25" s="199"/>
      <c r="EI25" s="1">
        <f t="shared" si="53"/>
        <v>0.18495710758393283</v>
      </c>
      <c r="EJ25" s="1">
        <f t="shared" si="54"/>
        <v>0.002442336444552</v>
      </c>
      <c r="EK25" s="1">
        <f t="shared" si="55"/>
        <v>0</v>
      </c>
      <c r="EL25" s="1">
        <f t="shared" si="56"/>
        <v>0</v>
      </c>
      <c r="EM25" s="1">
        <f t="shared" si="57"/>
        <v>0</v>
      </c>
      <c r="EN25" s="1">
        <f t="shared" si="58"/>
        <v>0</v>
      </c>
      <c r="EO25" s="1">
        <f t="shared" si="59"/>
        <v>0.20522871634656004</v>
      </c>
      <c r="EP25" s="1">
        <f t="shared" si="60"/>
        <v>0</v>
      </c>
      <c r="EQ25" s="1">
        <f t="shared" si="61"/>
        <v>0</v>
      </c>
      <c r="ER25" s="1">
        <f t="shared" si="62"/>
        <v>0</v>
      </c>
      <c r="ES25" s="1">
        <f t="shared" si="63"/>
        <v>0</v>
      </c>
      <c r="ET25" s="1">
        <f t="shared" si="64"/>
        <v>0.07346601658824001</v>
      </c>
      <c r="EU25" s="1">
        <f t="shared" si="65"/>
        <v>0</v>
      </c>
      <c r="EV25" s="1">
        <f t="shared" si="66"/>
        <v>0</v>
      </c>
      <c r="EW25" s="1">
        <f t="shared" si="67"/>
        <v>0.059350736407200004</v>
      </c>
      <c r="EX25" s="1">
        <f t="shared" si="68"/>
        <v>0</v>
      </c>
      <c r="EY25" s="1">
        <f t="shared" si="69"/>
        <v>0</v>
      </c>
      <c r="EZ25" s="1">
        <f t="shared" si="70"/>
        <v>0.059350736407200004</v>
      </c>
      <c r="FA25" s="1">
        <f t="shared" si="71"/>
        <v>0</v>
      </c>
      <c r="FB25" s="1">
        <f t="shared" si="72"/>
        <v>0</v>
      </c>
      <c r="FC25" s="1">
        <f t="shared" si="73"/>
        <v>0</v>
      </c>
      <c r="FD25" s="1">
        <f t="shared" si="74"/>
        <v>0</v>
      </c>
      <c r="FE25" s="1">
        <f t="shared" si="75"/>
        <v>0.059350736407200004</v>
      </c>
      <c r="FF25" s="1">
        <f t="shared" si="76"/>
        <v>0</v>
      </c>
      <c r="FG25" s="1">
        <f t="shared" si="77"/>
        <v>0.059350736407200004</v>
      </c>
      <c r="FH25" s="1">
        <f t="shared" si="78"/>
        <v>0</v>
      </c>
      <c r="FI25" s="1">
        <f t="shared" si="79"/>
        <v>0</v>
      </c>
      <c r="FJ25" s="1">
        <f t="shared" si="80"/>
        <v>0</v>
      </c>
      <c r="FK25" s="1">
        <f t="shared" si="81"/>
        <v>0</v>
      </c>
      <c r="FL25" s="1">
        <f t="shared" si="82"/>
        <v>0</v>
      </c>
      <c r="FM25" s="1">
        <f t="shared" si="83"/>
        <v>0.0034234991863440005</v>
      </c>
      <c r="FN25" s="1">
        <f t="shared" si="84"/>
        <v>4.472293968912</v>
      </c>
      <c r="FO25" s="1">
        <f>IF(O25=0,0,SUM(EI25:FN25))</f>
        <v>5.179214590690429</v>
      </c>
    </row>
    <row r="26" spans="1:171" ht="12.75">
      <c r="A26" s="24">
        <v>53</v>
      </c>
      <c r="B26" s="25" t="s">
        <v>117</v>
      </c>
      <c r="C26" s="25" t="s">
        <v>126</v>
      </c>
      <c r="D26" s="26" t="s">
        <v>127</v>
      </c>
      <c r="E26" s="26">
        <v>2</v>
      </c>
      <c r="F26" s="26" t="s">
        <v>114</v>
      </c>
      <c r="G26" s="26" t="s">
        <v>74</v>
      </c>
      <c r="H26" s="26" t="s">
        <v>75</v>
      </c>
      <c r="I26" s="26">
        <v>3</v>
      </c>
      <c r="J26" s="26"/>
      <c r="K26" s="26">
        <f t="shared" si="85"/>
        <v>1</v>
      </c>
      <c r="L26" s="26">
        <f t="shared" si="86"/>
        <v>1</v>
      </c>
      <c r="M26" s="24">
        <v>382239</v>
      </c>
      <c r="N26" s="24">
        <v>823533</v>
      </c>
      <c r="O26" s="27">
        <f t="shared" si="87"/>
        <v>222000</v>
      </c>
      <c r="P26" s="28">
        <v>222000</v>
      </c>
      <c r="Q26" s="28">
        <v>235000</v>
      </c>
      <c r="R26" s="28">
        <v>120500</v>
      </c>
      <c r="S26" s="29">
        <v>0</v>
      </c>
      <c r="T26" s="29">
        <v>0</v>
      </c>
      <c r="U26" s="29">
        <v>0</v>
      </c>
      <c r="V26" s="29">
        <v>0</v>
      </c>
      <c r="W26" s="28">
        <v>99000</v>
      </c>
      <c r="X26" s="29">
        <v>0</v>
      </c>
      <c r="Y26" s="29">
        <v>0</v>
      </c>
      <c r="Z26" s="28">
        <v>0</v>
      </c>
      <c r="AA26" s="29">
        <v>0</v>
      </c>
      <c r="AB26" s="28">
        <v>19000</v>
      </c>
      <c r="AC26" s="28">
        <v>31000</v>
      </c>
      <c r="AD26" s="28">
        <v>12500</v>
      </c>
      <c r="AE26" s="28">
        <v>52000</v>
      </c>
      <c r="AF26" s="28">
        <v>0</v>
      </c>
      <c r="AG26" s="28">
        <v>0</v>
      </c>
      <c r="AH26" s="28">
        <v>78000</v>
      </c>
      <c r="AI26" s="28">
        <v>0</v>
      </c>
      <c r="AJ26" s="28">
        <v>0</v>
      </c>
      <c r="AK26" s="28">
        <v>102000</v>
      </c>
      <c r="AL26" s="28">
        <v>22400</v>
      </c>
      <c r="AM26" s="30">
        <v>20000</v>
      </c>
      <c r="AN26" s="31">
        <v>7000</v>
      </c>
      <c r="AO26" s="30">
        <v>23000</v>
      </c>
      <c r="AP26" s="31">
        <v>0</v>
      </c>
      <c r="AQ26" s="31">
        <v>15000</v>
      </c>
      <c r="AR26" s="31">
        <v>8800</v>
      </c>
      <c r="AS26" s="31">
        <v>0</v>
      </c>
      <c r="AT26" s="31">
        <v>0</v>
      </c>
      <c r="AU26" s="30">
        <v>448</v>
      </c>
      <c r="AX26" s="2">
        <f t="shared" si="0"/>
        <v>172656</v>
      </c>
      <c r="AY26" s="32">
        <f t="shared" si="1"/>
        <v>163104.8170212766</v>
      </c>
      <c r="AZ26" s="186">
        <f t="shared" si="2"/>
        <v>0.510089429030039</v>
      </c>
      <c r="BA26" s="186">
        <f t="shared" si="3"/>
        <v>0.052360487507797614</v>
      </c>
      <c r="BB26" s="186">
        <f t="shared" si="4"/>
        <v>0.282589077675289</v>
      </c>
      <c r="BC26" s="53">
        <f t="shared" si="88"/>
        <v>222000</v>
      </c>
      <c r="BD26" s="53">
        <f t="shared" si="5"/>
        <v>98454.67908129308</v>
      </c>
      <c r="BE26" s="53">
        <f t="shared" si="6"/>
        <v>10106.3356751443</v>
      </c>
      <c r="BF26" s="53">
        <f t="shared" si="7"/>
        <v>54543.80226483922</v>
      </c>
      <c r="BG26" s="53"/>
      <c r="BH26" s="53">
        <f t="shared" si="89"/>
        <v>9</v>
      </c>
      <c r="BI26" s="53">
        <f t="shared" si="90"/>
        <v>7</v>
      </c>
      <c r="BJ26" s="53">
        <f t="shared" si="91"/>
        <v>4</v>
      </c>
      <c r="BK26" s="53">
        <f t="shared" si="92"/>
        <v>5</v>
      </c>
      <c r="BL26" s="53"/>
      <c r="BM26" s="53">
        <f t="shared" si="93"/>
        <v>4</v>
      </c>
      <c r="BN26" s="53">
        <f t="shared" si="94"/>
        <v>3</v>
      </c>
      <c r="BO26" s="53">
        <f t="shared" si="95"/>
        <v>2</v>
      </c>
      <c r="BP26" s="53">
        <f t="shared" si="96"/>
        <v>0</v>
      </c>
      <c r="BQ26" s="53"/>
      <c r="BR26" s="53">
        <f t="shared" si="97"/>
        <v>13</v>
      </c>
      <c r="BS26" s="53">
        <f t="shared" si="98"/>
        <v>51.300000000000004</v>
      </c>
      <c r="BT26" s="53">
        <f t="shared" si="99"/>
        <v>11</v>
      </c>
      <c r="BU26" s="53">
        <f t="shared" si="8"/>
        <v>36144.00000000001</v>
      </c>
      <c r="BV26" s="53"/>
      <c r="BW26" s="53">
        <f t="shared" si="100"/>
        <v>23400</v>
      </c>
      <c r="BX26" s="53">
        <f t="shared" si="101"/>
        <v>-30474.000000000007</v>
      </c>
      <c r="BY26" s="53">
        <f t="shared" si="9"/>
        <v>-27142.366436179673</v>
      </c>
      <c r="BZ26" s="240">
        <f t="shared" si="102"/>
        <v>8.2337</v>
      </c>
      <c r="CC26" s="1">
        <f t="shared" si="10"/>
        <v>0</v>
      </c>
      <c r="CD26" s="195">
        <f t="shared" si="11"/>
        <v>8619.599999999999</v>
      </c>
      <c r="CE26" s="195">
        <f t="shared" si="12"/>
        <v>8619.599999999999</v>
      </c>
      <c r="CF26" s="239">
        <f t="shared" si="13"/>
        <v>4.35</v>
      </c>
      <c r="CG26" s="239">
        <f t="shared" si="13"/>
        <v>29.880000000000003</v>
      </c>
      <c r="CH26" s="1">
        <f t="shared" si="103"/>
        <v>14342.400000000001</v>
      </c>
      <c r="CK26" s="211">
        <f t="shared" si="14"/>
        <v>0</v>
      </c>
      <c r="CL26" s="211">
        <f t="shared" si="15"/>
        <v>0</v>
      </c>
      <c r="CM26" s="211">
        <f t="shared" si="16"/>
        <v>0</v>
      </c>
      <c r="CQ26" s="1">
        <f t="shared" si="104"/>
        <v>1</v>
      </c>
      <c r="CR26" s="195">
        <f t="shared" si="17"/>
        <v>10000</v>
      </c>
      <c r="CS26" s="195"/>
      <c r="CT26" s="195"/>
      <c r="CV26" s="199">
        <f t="shared" si="18"/>
        <v>119.3820733908161</v>
      </c>
      <c r="CW26" s="199">
        <f t="shared" si="19"/>
        <v>36.186244235011024</v>
      </c>
      <c r="CX26" s="199">
        <f t="shared" si="20"/>
        <v>0</v>
      </c>
      <c r="CY26" s="199">
        <f t="shared" si="21"/>
        <v>0</v>
      </c>
      <c r="CZ26" s="199">
        <f t="shared" si="22"/>
        <v>0</v>
      </c>
      <c r="DA26" s="199">
        <f t="shared" si="23"/>
        <v>0</v>
      </c>
      <c r="DB26" s="199">
        <f t="shared" si="24"/>
        <v>25.765807098455983</v>
      </c>
      <c r="DC26" s="199">
        <f t="shared" si="25"/>
        <v>0</v>
      </c>
      <c r="DD26" s="199">
        <f t="shared" si="26"/>
        <v>0</v>
      </c>
      <c r="DE26" s="199">
        <f t="shared" si="27"/>
        <v>0</v>
      </c>
      <c r="DF26" s="199">
        <f t="shared" si="28"/>
        <v>0</v>
      </c>
      <c r="DG26" s="199">
        <f t="shared" si="29"/>
        <v>25.200240625626627</v>
      </c>
      <c r="DH26" s="199">
        <f t="shared" si="30"/>
        <v>41.11618207339081</v>
      </c>
      <c r="DI26" s="199">
        <f t="shared" si="31"/>
        <v>35.86926007619811</v>
      </c>
      <c r="DJ26" s="199">
        <f t="shared" si="32"/>
        <v>7.105116502907559</v>
      </c>
      <c r="DK26" s="199">
        <f t="shared" si="33"/>
        <v>0</v>
      </c>
      <c r="DL26" s="199">
        <f t="shared" si="34"/>
        <v>0</v>
      </c>
      <c r="DM26" s="199">
        <f t="shared" si="35"/>
        <v>10.65767475436134</v>
      </c>
      <c r="DN26" s="199">
        <f t="shared" si="36"/>
        <v>0</v>
      </c>
      <c r="DO26" s="199">
        <f t="shared" si="37"/>
        <v>0</v>
      </c>
      <c r="DP26" s="199">
        <f t="shared" si="38"/>
        <v>13.936959294164827</v>
      </c>
      <c r="DQ26" s="199">
        <f t="shared" si="39"/>
        <v>3.060665570483256</v>
      </c>
      <c r="DR26" s="199">
        <f t="shared" si="40"/>
        <v>3.0030078203328654</v>
      </c>
      <c r="DS26" s="199">
        <f t="shared" si="41"/>
        <v>18.568598355724884</v>
      </c>
      <c r="DT26" s="199">
        <f t="shared" si="42"/>
        <v>65.99943854020452</v>
      </c>
      <c r="DU26" s="199">
        <f t="shared" si="43"/>
        <v>0</v>
      </c>
      <c r="DV26" s="199">
        <f t="shared" si="44"/>
        <v>0.004379386404652095</v>
      </c>
      <c r="DW26" s="199">
        <f t="shared" si="45"/>
        <v>7.340685783035893</v>
      </c>
      <c r="DX26" s="199">
        <f t="shared" si="46"/>
        <v>0</v>
      </c>
      <c r="DY26" s="199">
        <f t="shared" si="47"/>
        <v>0</v>
      </c>
      <c r="DZ26" s="199">
        <f t="shared" si="48"/>
        <v>0.02899971285341888</v>
      </c>
      <c r="EA26" s="199">
        <f t="shared" si="49"/>
        <v>94.69564126944523</v>
      </c>
      <c r="EB26" s="199">
        <f t="shared" si="50"/>
        <v>12.078715672588729</v>
      </c>
      <c r="EC26" s="202">
        <f t="shared" si="51"/>
        <v>519.9996901620058</v>
      </c>
      <c r="ED26" s="202">
        <f>SUM(CV26:DI26,DS26:DT26,DW26,DY26,EA26:EB26)</f>
        <v>482.2028871204979</v>
      </c>
      <c r="EE26" s="203">
        <f t="shared" si="52"/>
        <v>79.82043256189648</v>
      </c>
      <c r="EF26" s="199"/>
      <c r="EI26" s="1">
        <f t="shared" si="53"/>
        <v>0.5699766927982697</v>
      </c>
      <c r="EJ26" s="1">
        <f t="shared" si="54"/>
        <v>0.010606863429336002</v>
      </c>
      <c r="EK26" s="1">
        <f t="shared" si="55"/>
        <v>0</v>
      </c>
      <c r="EL26" s="1">
        <f t="shared" si="56"/>
        <v>0</v>
      </c>
      <c r="EM26" s="1">
        <f t="shared" si="57"/>
        <v>0</v>
      </c>
      <c r="EN26" s="1">
        <f t="shared" si="58"/>
        <v>0</v>
      </c>
      <c r="EO26" s="1">
        <f t="shared" si="59"/>
        <v>0.2644897670328</v>
      </c>
      <c r="EP26" s="1">
        <f t="shared" si="60"/>
        <v>0</v>
      </c>
      <c r="EQ26" s="1">
        <f t="shared" si="61"/>
        <v>0</v>
      </c>
      <c r="ER26" s="1">
        <f t="shared" si="62"/>
        <v>0</v>
      </c>
      <c r="ES26" s="1">
        <f t="shared" si="63"/>
        <v>0</v>
      </c>
      <c r="ET26" s="1">
        <f t="shared" si="64"/>
        <v>0.14589546715944002</v>
      </c>
      <c r="EU26" s="1">
        <f t="shared" si="65"/>
        <v>0.14589546715944002</v>
      </c>
      <c r="EV26" s="1">
        <f t="shared" si="66"/>
        <v>0</v>
      </c>
      <c r="EW26" s="1">
        <f t="shared" si="67"/>
        <v>0.10099701098903999</v>
      </c>
      <c r="EX26" s="1">
        <f t="shared" si="68"/>
        <v>0</v>
      </c>
      <c r="EY26" s="1">
        <f t="shared" si="69"/>
        <v>0</v>
      </c>
      <c r="EZ26" s="1">
        <f t="shared" si="70"/>
        <v>0.10099701098903999</v>
      </c>
      <c r="FA26" s="1">
        <f t="shared" si="71"/>
        <v>0</v>
      </c>
      <c r="FB26" s="1">
        <f t="shared" si="72"/>
        <v>0</v>
      </c>
      <c r="FC26" s="1">
        <f t="shared" si="73"/>
        <v>0.10099701098903999</v>
      </c>
      <c r="FD26" s="1">
        <f t="shared" si="74"/>
        <v>0.059350736407200004</v>
      </c>
      <c r="FE26" s="1">
        <f t="shared" si="75"/>
        <v>0.059350736407200004</v>
      </c>
      <c r="FF26" s="1">
        <f t="shared" si="76"/>
        <v>0.059350736407200004</v>
      </c>
      <c r="FG26" s="1">
        <f t="shared" si="77"/>
        <v>0.059350736407200004</v>
      </c>
      <c r="FH26" s="1">
        <f t="shared" si="78"/>
        <v>0</v>
      </c>
      <c r="FI26" s="1">
        <f t="shared" si="79"/>
        <v>0</v>
      </c>
      <c r="FJ26" s="1">
        <f t="shared" si="80"/>
        <v>0</v>
      </c>
      <c r="FK26" s="1">
        <f t="shared" si="81"/>
        <v>0</v>
      </c>
      <c r="FL26" s="1">
        <f t="shared" si="82"/>
        <v>0</v>
      </c>
      <c r="FM26" s="1">
        <f t="shared" si="83"/>
        <v>0.0057571153094400015</v>
      </c>
      <c r="FN26" s="1">
        <f t="shared" si="84"/>
        <v>7.46760736344</v>
      </c>
      <c r="FO26" s="1">
        <f>IF(O26=0,0,SUM(EI26:FN26))</f>
        <v>9.150622714924644</v>
      </c>
    </row>
    <row r="27" spans="1:171" ht="12.75">
      <c r="A27" s="24">
        <v>54</v>
      </c>
      <c r="B27" s="25" t="s">
        <v>128</v>
      </c>
      <c r="C27" s="25" t="s">
        <v>129</v>
      </c>
      <c r="D27" s="26" t="s">
        <v>127</v>
      </c>
      <c r="E27" s="26">
        <v>2</v>
      </c>
      <c r="F27" s="26" t="s">
        <v>114</v>
      </c>
      <c r="G27" s="26" t="s">
        <v>74</v>
      </c>
      <c r="H27" s="26" t="s">
        <v>75</v>
      </c>
      <c r="I27" s="26">
        <v>3</v>
      </c>
      <c r="J27" s="26"/>
      <c r="K27" s="26">
        <f t="shared" si="85"/>
        <v>0</v>
      </c>
      <c r="L27" s="26">
        <f t="shared" si="86"/>
        <v>1</v>
      </c>
      <c r="M27" s="24">
        <v>370412</v>
      </c>
      <c r="N27" s="24">
        <v>843820</v>
      </c>
      <c r="O27" s="27">
        <f t="shared" si="87"/>
        <v>5500</v>
      </c>
      <c r="P27" s="28">
        <v>5500</v>
      </c>
      <c r="Q27" s="28">
        <v>6300</v>
      </c>
      <c r="R27" s="28">
        <v>0</v>
      </c>
      <c r="S27" s="29">
        <v>0</v>
      </c>
      <c r="T27" s="29">
        <v>0</v>
      </c>
      <c r="U27" s="29">
        <v>0</v>
      </c>
      <c r="V27" s="29">
        <v>0</v>
      </c>
      <c r="W27" s="28">
        <v>0</v>
      </c>
      <c r="X27" s="29">
        <v>0</v>
      </c>
      <c r="Y27" s="29">
        <v>0</v>
      </c>
      <c r="Z27" s="28">
        <v>0</v>
      </c>
      <c r="AA27" s="29">
        <v>0</v>
      </c>
      <c r="AB27" s="28">
        <v>0</v>
      </c>
      <c r="AC27" s="28">
        <v>1000</v>
      </c>
      <c r="AD27" s="28">
        <v>0</v>
      </c>
      <c r="AE27" s="28">
        <v>1300</v>
      </c>
      <c r="AF27" s="28">
        <v>0</v>
      </c>
      <c r="AG27" s="28">
        <v>0</v>
      </c>
      <c r="AH27" s="28">
        <v>0</v>
      </c>
      <c r="AI27" s="28">
        <v>0</v>
      </c>
      <c r="AJ27" s="28">
        <v>0</v>
      </c>
      <c r="AK27" s="28">
        <v>0</v>
      </c>
      <c r="AL27" s="28">
        <v>0</v>
      </c>
      <c r="AM27" s="30">
        <v>0</v>
      </c>
      <c r="AN27" s="31">
        <v>0</v>
      </c>
      <c r="AO27" s="30">
        <v>0</v>
      </c>
      <c r="AP27" s="31">
        <v>0</v>
      </c>
      <c r="AQ27" s="31">
        <v>250</v>
      </c>
      <c r="AR27" s="31">
        <v>0</v>
      </c>
      <c r="AS27" s="31">
        <v>0</v>
      </c>
      <c r="AT27" s="31">
        <v>0</v>
      </c>
      <c r="AU27" s="30">
        <v>0</v>
      </c>
      <c r="AX27" s="2">
        <f t="shared" si="0"/>
        <v>5544</v>
      </c>
      <c r="AY27" s="32">
        <f t="shared" si="1"/>
        <v>4840</v>
      </c>
      <c r="AZ27" s="186">
        <f t="shared" si="2"/>
        <v>0.510089429030039</v>
      </c>
      <c r="BA27" s="186">
        <f t="shared" si="3"/>
        <v>0.052360487507797614</v>
      </c>
      <c r="BB27" s="186">
        <f t="shared" si="4"/>
        <v>0.282589077675289</v>
      </c>
      <c r="BC27" s="53">
        <f t="shared" si="88"/>
        <v>5500</v>
      </c>
      <c r="BD27" s="53">
        <f t="shared" si="5"/>
        <v>2921.560843241666</v>
      </c>
      <c r="BE27" s="53">
        <f t="shared" si="6"/>
        <v>299.8971186811584</v>
      </c>
      <c r="BF27" s="53">
        <f t="shared" si="7"/>
        <v>1618.5420380771754</v>
      </c>
      <c r="BG27" s="53"/>
      <c r="BH27" s="53">
        <f t="shared" si="89"/>
        <v>2</v>
      </c>
      <c r="BI27" s="53">
        <f t="shared" si="90"/>
        <v>3</v>
      </c>
      <c r="BJ27" s="53">
        <f t="shared" si="91"/>
        <v>3</v>
      </c>
      <c r="BK27" s="53">
        <f t="shared" si="92"/>
        <v>2</v>
      </c>
      <c r="BL27" s="53"/>
      <c r="BM27" s="53">
        <f t="shared" si="93"/>
        <v>1</v>
      </c>
      <c r="BN27" s="53">
        <f t="shared" si="94"/>
        <v>2</v>
      </c>
      <c r="BO27" s="53">
        <f t="shared" si="95"/>
        <v>2</v>
      </c>
      <c r="BP27" s="53">
        <f t="shared" si="96"/>
        <v>0</v>
      </c>
      <c r="BQ27" s="53"/>
      <c r="BR27" s="53">
        <f t="shared" si="97"/>
        <v>3.25</v>
      </c>
      <c r="BS27" s="53">
        <f t="shared" si="98"/>
        <v>34.2</v>
      </c>
      <c r="BT27" s="53">
        <f t="shared" si="99"/>
        <v>11</v>
      </c>
      <c r="BU27" s="53">
        <f t="shared" si="8"/>
        <v>23256</v>
      </c>
      <c r="BV27" s="53"/>
      <c r="BW27" s="53">
        <f t="shared" si="100"/>
        <v>13000</v>
      </c>
      <c r="BX27" s="53">
        <f t="shared" si="101"/>
        <v>-20106</v>
      </c>
      <c r="BY27" s="53">
        <f t="shared" si="9"/>
        <v>-18255.092464544257</v>
      </c>
      <c r="BZ27" s="240">
        <f t="shared" si="102"/>
        <v>5.5020500000000006</v>
      </c>
      <c r="CC27" s="1">
        <f t="shared" si="10"/>
        <v>0</v>
      </c>
      <c r="CD27" s="195">
        <f t="shared" si="11"/>
        <v>2873.2</v>
      </c>
      <c r="CE27" s="195">
        <f t="shared" si="12"/>
        <v>2873.2</v>
      </c>
      <c r="CF27" s="239">
        <f t="shared" si="13"/>
        <v>1.45</v>
      </c>
      <c r="CG27" s="239">
        <f t="shared" si="13"/>
        <v>9.96</v>
      </c>
      <c r="CH27" s="1">
        <f t="shared" si="103"/>
        <v>4780.8</v>
      </c>
      <c r="CK27" s="211">
        <f t="shared" si="14"/>
        <v>0</v>
      </c>
      <c r="CL27" s="211">
        <f t="shared" si="15"/>
        <v>0</v>
      </c>
      <c r="CM27" s="211">
        <f t="shared" si="16"/>
        <v>0</v>
      </c>
      <c r="CQ27" s="1">
        <f t="shared" si="104"/>
        <v>0</v>
      </c>
      <c r="CR27" s="195">
        <f t="shared" si="17"/>
        <v>0</v>
      </c>
      <c r="CS27" s="195"/>
      <c r="CT27" s="195"/>
      <c r="CV27" s="199">
        <f t="shared" si="18"/>
        <v>3.200455584519751</v>
      </c>
      <c r="CW27" s="199">
        <f t="shared" si="19"/>
        <v>0</v>
      </c>
      <c r="CX27" s="199">
        <f t="shared" si="20"/>
        <v>0</v>
      </c>
      <c r="CY27" s="199">
        <f t="shared" si="21"/>
        <v>0</v>
      </c>
      <c r="CZ27" s="199">
        <f t="shared" si="22"/>
        <v>0</v>
      </c>
      <c r="DA27" s="199">
        <f t="shared" si="23"/>
        <v>0</v>
      </c>
      <c r="DB27" s="199">
        <f t="shared" si="24"/>
        <v>0</v>
      </c>
      <c r="DC27" s="199">
        <f t="shared" si="25"/>
        <v>0</v>
      </c>
      <c r="DD27" s="199">
        <f t="shared" si="26"/>
        <v>0</v>
      </c>
      <c r="DE27" s="199">
        <f t="shared" si="27"/>
        <v>0</v>
      </c>
      <c r="DF27" s="199">
        <f t="shared" si="28"/>
        <v>0</v>
      </c>
      <c r="DG27" s="199">
        <f t="shared" si="29"/>
        <v>0</v>
      </c>
      <c r="DH27" s="199">
        <f t="shared" si="30"/>
        <v>1.3263284539803488</v>
      </c>
      <c r="DI27" s="199">
        <f t="shared" si="31"/>
        <v>0</v>
      </c>
      <c r="DJ27" s="199">
        <f t="shared" si="32"/>
        <v>0.17762791257268898</v>
      </c>
      <c r="DK27" s="199">
        <f t="shared" si="33"/>
        <v>0</v>
      </c>
      <c r="DL27" s="199">
        <f t="shared" si="34"/>
        <v>0</v>
      </c>
      <c r="DM27" s="199">
        <f t="shared" si="35"/>
        <v>0</v>
      </c>
      <c r="DN27" s="199">
        <f t="shared" si="36"/>
        <v>0</v>
      </c>
      <c r="DO27" s="199">
        <f t="shared" si="37"/>
        <v>0</v>
      </c>
      <c r="DP27" s="199">
        <f t="shared" si="38"/>
        <v>0</v>
      </c>
      <c r="DQ27" s="199">
        <f t="shared" si="39"/>
        <v>0</v>
      </c>
      <c r="DR27" s="199">
        <f t="shared" si="40"/>
        <v>0</v>
      </c>
      <c r="DS27" s="199">
        <f t="shared" si="41"/>
        <v>0</v>
      </c>
      <c r="DT27" s="199">
        <f t="shared" si="42"/>
        <v>0</v>
      </c>
      <c r="DU27" s="199">
        <f t="shared" si="43"/>
        <v>0</v>
      </c>
      <c r="DV27" s="199">
        <f t="shared" si="44"/>
        <v>7.298977341086826E-05</v>
      </c>
      <c r="DW27" s="199">
        <f t="shared" si="45"/>
        <v>0</v>
      </c>
      <c r="DX27" s="199">
        <f t="shared" si="46"/>
        <v>0</v>
      </c>
      <c r="DY27" s="199">
        <f t="shared" si="47"/>
        <v>0</v>
      </c>
      <c r="DZ27" s="199">
        <f t="shared" si="48"/>
        <v>0</v>
      </c>
      <c r="EA27" s="199">
        <f t="shared" si="49"/>
        <v>2.81001451774614</v>
      </c>
      <c r="EB27" s="199">
        <f t="shared" si="50"/>
        <v>0.32431149789452574</v>
      </c>
      <c r="EC27" s="202">
        <f t="shared" si="51"/>
        <v>7.838810956486865</v>
      </c>
      <c r="ED27" s="202">
        <f>SUM(CV27:DI27,DS27:DT27,DW27,DY27,EA27:EB27)</f>
        <v>7.6611100541407655</v>
      </c>
      <c r="EE27" s="203">
        <f t="shared" si="52"/>
        <v>1.2681656098691063</v>
      </c>
      <c r="EF27" s="199"/>
      <c r="EI27" s="1">
        <f t="shared" si="53"/>
        <v>0.18495710758393283</v>
      </c>
      <c r="EJ27" s="1">
        <f t="shared" si="54"/>
        <v>0</v>
      </c>
      <c r="EK27" s="1">
        <f t="shared" si="55"/>
        <v>0</v>
      </c>
      <c r="EL27" s="1">
        <f t="shared" si="56"/>
        <v>0</v>
      </c>
      <c r="EM27" s="1">
        <f t="shared" si="57"/>
        <v>0</v>
      </c>
      <c r="EN27" s="1">
        <f t="shared" si="58"/>
        <v>0</v>
      </c>
      <c r="EO27" s="1">
        <f t="shared" si="59"/>
        <v>0</v>
      </c>
      <c r="EP27" s="1">
        <f t="shared" si="60"/>
        <v>0</v>
      </c>
      <c r="EQ27" s="1">
        <f t="shared" si="61"/>
        <v>0</v>
      </c>
      <c r="ER27" s="1">
        <f t="shared" si="62"/>
        <v>0</v>
      </c>
      <c r="ES27" s="1">
        <f t="shared" si="63"/>
        <v>0</v>
      </c>
      <c r="ET27" s="1">
        <f t="shared" si="64"/>
        <v>0</v>
      </c>
      <c r="EU27" s="1">
        <f t="shared" si="65"/>
        <v>0.07346601658824001</v>
      </c>
      <c r="EV27" s="1">
        <f t="shared" si="66"/>
        <v>0</v>
      </c>
      <c r="EW27" s="1">
        <f t="shared" si="67"/>
        <v>0.059350736407200004</v>
      </c>
      <c r="EX27" s="1">
        <f t="shared" si="68"/>
        <v>0</v>
      </c>
      <c r="EY27" s="1">
        <f t="shared" si="69"/>
        <v>0</v>
      </c>
      <c r="EZ27" s="1">
        <f t="shared" si="70"/>
        <v>0</v>
      </c>
      <c r="FA27" s="1">
        <f t="shared" si="71"/>
        <v>0</v>
      </c>
      <c r="FB27" s="1">
        <f t="shared" si="72"/>
        <v>0</v>
      </c>
      <c r="FC27" s="1">
        <f t="shared" si="73"/>
        <v>0</v>
      </c>
      <c r="FD27" s="1">
        <f t="shared" si="74"/>
        <v>0</v>
      </c>
      <c r="FE27" s="1">
        <f t="shared" si="75"/>
        <v>0</v>
      </c>
      <c r="FF27" s="1">
        <f t="shared" si="76"/>
        <v>0</v>
      </c>
      <c r="FG27" s="1">
        <f t="shared" si="77"/>
        <v>0</v>
      </c>
      <c r="FH27" s="1">
        <f t="shared" si="78"/>
        <v>0</v>
      </c>
      <c r="FI27" s="1">
        <f t="shared" si="79"/>
        <v>0</v>
      </c>
      <c r="FJ27" s="1">
        <f t="shared" si="80"/>
        <v>0</v>
      </c>
      <c r="FK27" s="1">
        <f t="shared" si="81"/>
        <v>0</v>
      </c>
      <c r="FL27" s="1">
        <f t="shared" si="82"/>
        <v>0</v>
      </c>
      <c r="FM27" s="1">
        <f t="shared" si="83"/>
        <v>0</v>
      </c>
      <c r="FN27" s="1">
        <f t="shared" si="84"/>
        <v>4.472293968912</v>
      </c>
      <c r="FO27" s="1">
        <f>IF(O27=0,0,SUM(EI27:FN27))</f>
        <v>4.790067829491373</v>
      </c>
    </row>
    <row r="28" spans="1:171" ht="12.75">
      <c r="A28" s="24">
        <v>75</v>
      </c>
      <c r="B28" s="25" t="s">
        <v>117</v>
      </c>
      <c r="C28" s="25" t="s">
        <v>130</v>
      </c>
      <c r="D28" s="26" t="s">
        <v>131</v>
      </c>
      <c r="E28" s="26">
        <v>2</v>
      </c>
      <c r="F28" s="26" t="s">
        <v>114</v>
      </c>
      <c r="G28" s="26" t="s">
        <v>74</v>
      </c>
      <c r="H28" s="26" t="s">
        <v>75</v>
      </c>
      <c r="I28" s="26">
        <v>3</v>
      </c>
      <c r="J28" s="26"/>
      <c r="K28" s="26">
        <f t="shared" si="85"/>
        <v>1</v>
      </c>
      <c r="L28" s="26">
        <f t="shared" si="86"/>
        <v>1</v>
      </c>
      <c r="M28" s="24">
        <v>421655</v>
      </c>
      <c r="N28" s="24">
        <v>830931</v>
      </c>
      <c r="O28" s="27">
        <f t="shared" si="87"/>
        <v>100000</v>
      </c>
      <c r="P28" s="28">
        <v>100000</v>
      </c>
      <c r="Q28" s="28">
        <v>105000</v>
      </c>
      <c r="R28" s="28">
        <v>51000</v>
      </c>
      <c r="S28" s="29">
        <v>0</v>
      </c>
      <c r="T28" s="29">
        <v>0</v>
      </c>
      <c r="U28" s="29">
        <v>0</v>
      </c>
      <c r="V28" s="29">
        <v>0</v>
      </c>
      <c r="W28" s="28">
        <v>30000</v>
      </c>
      <c r="X28" s="29">
        <v>0</v>
      </c>
      <c r="Y28" s="29">
        <v>0</v>
      </c>
      <c r="Z28" s="28">
        <v>0</v>
      </c>
      <c r="AA28" s="29">
        <v>0</v>
      </c>
      <c r="AB28" s="28">
        <v>20000</v>
      </c>
      <c r="AC28" s="28">
        <v>0</v>
      </c>
      <c r="AD28" s="28">
        <v>0</v>
      </c>
      <c r="AE28" s="28">
        <v>26000</v>
      </c>
      <c r="AF28" s="28">
        <v>0</v>
      </c>
      <c r="AG28" s="28">
        <v>7000</v>
      </c>
      <c r="AH28" s="28">
        <v>26000</v>
      </c>
      <c r="AI28" s="28">
        <v>0</v>
      </c>
      <c r="AJ28" s="28">
        <v>0</v>
      </c>
      <c r="AK28" s="28">
        <v>33000</v>
      </c>
      <c r="AL28" s="28">
        <v>0</v>
      </c>
      <c r="AM28" s="30">
        <v>5100</v>
      </c>
      <c r="AN28" s="31">
        <v>0</v>
      </c>
      <c r="AO28" s="30">
        <v>23000</v>
      </c>
      <c r="AP28" s="31">
        <v>0</v>
      </c>
      <c r="AQ28" s="31">
        <v>0</v>
      </c>
      <c r="AR28" s="31">
        <v>0</v>
      </c>
      <c r="AS28" s="31">
        <v>0</v>
      </c>
      <c r="AT28" s="31">
        <v>0</v>
      </c>
      <c r="AU28" s="30">
        <v>147</v>
      </c>
      <c r="AX28" s="2">
        <f t="shared" si="0"/>
        <v>72160</v>
      </c>
      <c r="AY28" s="32">
        <f t="shared" si="1"/>
        <v>68723.80952380953</v>
      </c>
      <c r="AZ28" s="186">
        <f t="shared" si="2"/>
        <v>0.510089429030039</v>
      </c>
      <c r="BA28" s="186">
        <f t="shared" si="3"/>
        <v>0.052360487507797614</v>
      </c>
      <c r="BB28" s="186">
        <f t="shared" si="4"/>
        <v>0.282589077675289</v>
      </c>
      <c r="BC28" s="53">
        <f t="shared" si="88"/>
        <v>100000</v>
      </c>
      <c r="BD28" s="53">
        <f t="shared" si="5"/>
        <v>41483.634484124086</v>
      </c>
      <c r="BE28" s="53">
        <f t="shared" si="6"/>
        <v>4258.279434087444</v>
      </c>
      <c r="BF28" s="53">
        <f t="shared" si="7"/>
        <v>22981.89560559799</v>
      </c>
      <c r="BG28" s="53"/>
      <c r="BH28" s="53">
        <f t="shared" si="89"/>
        <v>5</v>
      </c>
      <c r="BI28" s="53">
        <f t="shared" si="90"/>
        <v>5</v>
      </c>
      <c r="BJ28" s="53">
        <f t="shared" si="91"/>
        <v>3</v>
      </c>
      <c r="BK28" s="53">
        <f t="shared" si="92"/>
        <v>3</v>
      </c>
      <c r="BL28" s="53"/>
      <c r="BM28" s="53">
        <f t="shared" si="93"/>
        <v>2</v>
      </c>
      <c r="BN28" s="53">
        <f t="shared" si="94"/>
        <v>2</v>
      </c>
      <c r="BO28" s="53">
        <f t="shared" si="95"/>
        <v>2</v>
      </c>
      <c r="BP28" s="53">
        <f t="shared" si="96"/>
        <v>0</v>
      </c>
      <c r="BQ28" s="53"/>
      <c r="BR28" s="53">
        <f t="shared" si="97"/>
        <v>6.5</v>
      </c>
      <c r="BS28" s="53">
        <f t="shared" si="98"/>
        <v>34.2</v>
      </c>
      <c r="BT28" s="53">
        <f t="shared" si="99"/>
        <v>11</v>
      </c>
      <c r="BU28" s="53">
        <f t="shared" si="8"/>
        <v>24816</v>
      </c>
      <c r="BV28" s="53"/>
      <c r="BW28" s="53">
        <f t="shared" si="100"/>
        <v>15600</v>
      </c>
      <c r="BX28" s="53">
        <f t="shared" si="101"/>
        <v>-21036</v>
      </c>
      <c r="BY28" s="53">
        <f t="shared" si="9"/>
        <v>-18814.91095745311</v>
      </c>
      <c r="BZ28" s="240">
        <f t="shared" si="102"/>
        <v>5.791300000000001</v>
      </c>
      <c r="CC28" s="1">
        <f t="shared" si="10"/>
        <v>0</v>
      </c>
      <c r="CD28" s="195">
        <f t="shared" si="11"/>
        <v>5746.4</v>
      </c>
      <c r="CE28" s="195">
        <f t="shared" si="12"/>
        <v>5746.4</v>
      </c>
      <c r="CF28" s="239">
        <f t="shared" si="13"/>
        <v>2.9</v>
      </c>
      <c r="CG28" s="239">
        <f t="shared" si="13"/>
        <v>19.92</v>
      </c>
      <c r="CH28" s="1">
        <f t="shared" si="103"/>
        <v>9561.6</v>
      </c>
      <c r="CK28" s="211">
        <f t="shared" si="14"/>
        <v>0</v>
      </c>
      <c r="CL28" s="211">
        <f t="shared" si="15"/>
        <v>0</v>
      </c>
      <c r="CM28" s="211">
        <f t="shared" si="16"/>
        <v>0</v>
      </c>
      <c r="CQ28" s="1">
        <f t="shared" si="104"/>
        <v>1</v>
      </c>
      <c r="CR28" s="195">
        <f t="shared" si="17"/>
        <v>10000</v>
      </c>
      <c r="CS28" s="195"/>
      <c r="CT28" s="195"/>
      <c r="CV28" s="199">
        <f t="shared" si="18"/>
        <v>53.34092640866252</v>
      </c>
      <c r="CW28" s="199">
        <f t="shared" si="19"/>
        <v>15.315339883697613</v>
      </c>
      <c r="CX28" s="199">
        <f t="shared" si="20"/>
        <v>0</v>
      </c>
      <c r="CY28" s="199">
        <f t="shared" si="21"/>
        <v>0</v>
      </c>
      <c r="CZ28" s="199">
        <f t="shared" si="22"/>
        <v>0</v>
      </c>
      <c r="DA28" s="199">
        <f t="shared" si="23"/>
        <v>0</v>
      </c>
      <c r="DB28" s="199">
        <f t="shared" si="24"/>
        <v>7.807820332865449</v>
      </c>
      <c r="DC28" s="199">
        <f t="shared" si="25"/>
        <v>0</v>
      </c>
      <c r="DD28" s="199">
        <f t="shared" si="26"/>
        <v>0</v>
      </c>
      <c r="DE28" s="199">
        <f t="shared" si="27"/>
        <v>0</v>
      </c>
      <c r="DF28" s="199">
        <f t="shared" si="28"/>
        <v>0</v>
      </c>
      <c r="DG28" s="199">
        <f t="shared" si="29"/>
        <v>26.526569079606976</v>
      </c>
      <c r="DH28" s="199">
        <f t="shared" si="30"/>
        <v>0</v>
      </c>
      <c r="DI28" s="199">
        <f t="shared" si="31"/>
        <v>0</v>
      </c>
      <c r="DJ28" s="199">
        <f t="shared" si="32"/>
        <v>3.5525582514537795</v>
      </c>
      <c r="DK28" s="199">
        <f t="shared" si="33"/>
        <v>0</v>
      </c>
      <c r="DL28" s="199">
        <f t="shared" si="34"/>
        <v>0.9564579907760176</v>
      </c>
      <c r="DM28" s="199">
        <f t="shared" si="35"/>
        <v>3.5525582514537795</v>
      </c>
      <c r="DN28" s="199">
        <f t="shared" si="36"/>
        <v>0</v>
      </c>
      <c r="DO28" s="199">
        <f t="shared" si="37"/>
        <v>0</v>
      </c>
      <c r="DP28" s="199">
        <f t="shared" si="38"/>
        <v>4.509016242229797</v>
      </c>
      <c r="DQ28" s="199">
        <f t="shared" si="39"/>
        <v>0</v>
      </c>
      <c r="DR28" s="199">
        <f t="shared" si="40"/>
        <v>0.7657669941848806</v>
      </c>
      <c r="DS28" s="199">
        <f t="shared" si="41"/>
        <v>0</v>
      </c>
      <c r="DT28" s="199">
        <f t="shared" si="42"/>
        <v>65.99943854020452</v>
      </c>
      <c r="DU28" s="199">
        <f t="shared" si="43"/>
        <v>0</v>
      </c>
      <c r="DV28" s="199">
        <f t="shared" si="44"/>
        <v>0</v>
      </c>
      <c r="DW28" s="199">
        <f t="shared" si="45"/>
        <v>0</v>
      </c>
      <c r="DX28" s="199">
        <f t="shared" si="46"/>
        <v>0</v>
      </c>
      <c r="DY28" s="199">
        <f t="shared" si="47"/>
        <v>0</v>
      </c>
      <c r="DZ28" s="199">
        <f t="shared" si="48"/>
        <v>0.009515530780028071</v>
      </c>
      <c r="EA28" s="199">
        <f t="shared" si="49"/>
        <v>39.89977323899281</v>
      </c>
      <c r="EB28" s="199">
        <f t="shared" si="50"/>
        <v>5.291979825641908</v>
      </c>
      <c r="EC28" s="202">
        <f t="shared" si="51"/>
        <v>227.52772057055003</v>
      </c>
      <c r="ED28" s="202">
        <f>SUM(CV28:DI28,DS28:DT28,DW28,DY28,EA28:EB28)</f>
        <v>214.18184730967178</v>
      </c>
      <c r="EE28" s="203">
        <f t="shared" si="52"/>
        <v>35.45413799003637</v>
      </c>
      <c r="EF28" s="199"/>
      <c r="EI28" s="1">
        <f t="shared" si="53"/>
        <v>0.5699766927982697</v>
      </c>
      <c r="EJ28" s="1">
        <f t="shared" si="54"/>
        <v>0.010606863429336002</v>
      </c>
      <c r="EK28" s="1">
        <f t="shared" si="55"/>
        <v>0</v>
      </c>
      <c r="EL28" s="1">
        <f t="shared" si="56"/>
        <v>0</v>
      </c>
      <c r="EM28" s="1">
        <f t="shared" si="57"/>
        <v>0</v>
      </c>
      <c r="EN28" s="1">
        <f t="shared" si="58"/>
        <v>0</v>
      </c>
      <c r="EO28" s="1">
        <f t="shared" si="59"/>
        <v>0.2644897670328</v>
      </c>
      <c r="EP28" s="1">
        <f t="shared" si="60"/>
        <v>0</v>
      </c>
      <c r="EQ28" s="1">
        <f t="shared" si="61"/>
        <v>0</v>
      </c>
      <c r="ER28" s="1">
        <f t="shared" si="62"/>
        <v>0</v>
      </c>
      <c r="ES28" s="1">
        <f t="shared" si="63"/>
        <v>0</v>
      </c>
      <c r="ET28" s="1">
        <f t="shared" si="64"/>
        <v>0.14589546715944002</v>
      </c>
      <c r="EU28" s="1">
        <f t="shared" si="65"/>
        <v>0</v>
      </c>
      <c r="EV28" s="1">
        <f t="shared" si="66"/>
        <v>0</v>
      </c>
      <c r="EW28" s="1">
        <f t="shared" si="67"/>
        <v>0.059350736407200004</v>
      </c>
      <c r="EX28" s="1">
        <f t="shared" si="68"/>
        <v>0</v>
      </c>
      <c r="EY28" s="1">
        <f t="shared" si="69"/>
        <v>0.059350736407200004</v>
      </c>
      <c r="EZ28" s="1">
        <f t="shared" si="70"/>
        <v>0.059350736407200004</v>
      </c>
      <c r="FA28" s="1">
        <f t="shared" si="71"/>
        <v>0</v>
      </c>
      <c r="FB28" s="1">
        <f t="shared" si="72"/>
        <v>0</v>
      </c>
      <c r="FC28" s="1">
        <f t="shared" si="73"/>
        <v>0.059350736407200004</v>
      </c>
      <c r="FD28" s="1">
        <f t="shared" si="74"/>
        <v>0</v>
      </c>
      <c r="FE28" s="1">
        <f t="shared" si="75"/>
        <v>0.059350736407200004</v>
      </c>
      <c r="FF28" s="1">
        <f t="shared" si="76"/>
        <v>0</v>
      </c>
      <c r="FG28" s="1">
        <f t="shared" si="77"/>
        <v>0.059350736407200004</v>
      </c>
      <c r="FH28" s="1">
        <f t="shared" si="78"/>
        <v>0</v>
      </c>
      <c r="FI28" s="1">
        <f t="shared" si="79"/>
        <v>0</v>
      </c>
      <c r="FJ28" s="1">
        <f t="shared" si="80"/>
        <v>0</v>
      </c>
      <c r="FK28" s="1">
        <f t="shared" si="81"/>
        <v>0</v>
      </c>
      <c r="FL28" s="1">
        <f t="shared" si="82"/>
        <v>0</v>
      </c>
      <c r="FM28" s="1">
        <f t="shared" si="83"/>
        <v>0.0057571153094400015</v>
      </c>
      <c r="FN28" s="1">
        <f t="shared" si="84"/>
        <v>7.46760736344</v>
      </c>
      <c r="FO28" s="1">
        <f>IF(O28=0,0,SUM(EI28:FN28))</f>
        <v>8.820437687612486</v>
      </c>
    </row>
    <row r="29" spans="1:171" ht="12.75">
      <c r="A29" s="33">
        <v>95</v>
      </c>
      <c r="B29" s="34" t="s">
        <v>132</v>
      </c>
      <c r="C29" s="34" t="s">
        <v>133</v>
      </c>
      <c r="D29" s="35" t="s">
        <v>134</v>
      </c>
      <c r="E29" s="35">
        <v>2</v>
      </c>
      <c r="F29" s="35" t="s">
        <v>114</v>
      </c>
      <c r="G29" s="35" t="s">
        <v>74</v>
      </c>
      <c r="H29" s="35" t="s">
        <v>75</v>
      </c>
      <c r="I29" s="35">
        <v>3</v>
      </c>
      <c r="J29" s="35"/>
      <c r="K29" s="26">
        <f t="shared" si="85"/>
        <v>1</v>
      </c>
      <c r="L29" s="26">
        <f t="shared" si="86"/>
        <v>1</v>
      </c>
      <c r="M29" s="33">
        <v>414045</v>
      </c>
      <c r="N29" s="33">
        <v>832645</v>
      </c>
      <c r="O29" s="27">
        <f t="shared" si="87"/>
        <v>131000</v>
      </c>
      <c r="P29" s="30">
        <v>131000</v>
      </c>
      <c r="Q29" s="30">
        <v>160000</v>
      </c>
      <c r="R29" s="30">
        <v>71500</v>
      </c>
      <c r="S29" s="31">
        <v>34000</v>
      </c>
      <c r="T29" s="31">
        <v>0</v>
      </c>
      <c r="U29" s="31">
        <v>0</v>
      </c>
      <c r="V29" s="31">
        <v>0</v>
      </c>
      <c r="W29" s="30">
        <v>55000</v>
      </c>
      <c r="X29" s="31">
        <v>0</v>
      </c>
      <c r="Y29" s="31">
        <v>0</v>
      </c>
      <c r="Z29" s="30">
        <v>31000</v>
      </c>
      <c r="AA29" s="31">
        <v>0</v>
      </c>
      <c r="AB29" s="30">
        <v>0</v>
      </c>
      <c r="AC29" s="30">
        <v>43000</v>
      </c>
      <c r="AD29" s="30">
        <v>0</v>
      </c>
      <c r="AE29" s="30">
        <v>40000</v>
      </c>
      <c r="AF29" s="31">
        <v>0</v>
      </c>
      <c r="AG29" s="31">
        <v>0</v>
      </c>
      <c r="AH29" s="31">
        <v>15500</v>
      </c>
      <c r="AI29" s="31">
        <v>0</v>
      </c>
      <c r="AJ29" s="31">
        <v>0</v>
      </c>
      <c r="AK29" s="31">
        <v>47000</v>
      </c>
      <c r="AL29" s="30">
        <v>0</v>
      </c>
      <c r="AM29" s="30">
        <v>11500</v>
      </c>
      <c r="AN29" s="31">
        <v>0</v>
      </c>
      <c r="AO29" s="30">
        <v>12000</v>
      </c>
      <c r="AP29" s="31">
        <v>0</v>
      </c>
      <c r="AQ29" s="31">
        <v>0</v>
      </c>
      <c r="AR29" s="31">
        <v>0</v>
      </c>
      <c r="AS29" s="31">
        <v>9500</v>
      </c>
      <c r="AT29" s="31">
        <v>33</v>
      </c>
      <c r="AU29" s="30">
        <v>340</v>
      </c>
      <c r="AX29" s="2">
        <f t="shared" si="0"/>
        <v>121880</v>
      </c>
      <c r="AY29" s="32">
        <f t="shared" si="1"/>
        <v>99789.25</v>
      </c>
      <c r="AZ29" s="186">
        <f t="shared" si="2"/>
        <v>0.510089429030039</v>
      </c>
      <c r="BA29" s="186">
        <f t="shared" si="3"/>
        <v>0.052360487507797614</v>
      </c>
      <c r="BB29" s="186">
        <f t="shared" si="4"/>
        <v>0.282589077675289</v>
      </c>
      <c r="BC29" s="53">
        <f t="shared" si="88"/>
        <v>131000</v>
      </c>
      <c r="BD29" s="53">
        <f t="shared" si="5"/>
        <v>60235.61268108542</v>
      </c>
      <c r="BE29" s="53">
        <f t="shared" si="6"/>
        <v>6183.162923626816</v>
      </c>
      <c r="BF29" s="53">
        <f t="shared" si="7"/>
        <v>33370.47439528777</v>
      </c>
      <c r="BG29" s="53"/>
      <c r="BH29" s="53">
        <f t="shared" si="89"/>
        <v>6</v>
      </c>
      <c r="BI29" s="53">
        <f t="shared" si="90"/>
        <v>6</v>
      </c>
      <c r="BJ29" s="53">
        <f t="shared" si="91"/>
        <v>3</v>
      </c>
      <c r="BK29" s="53">
        <f t="shared" si="92"/>
        <v>4</v>
      </c>
      <c r="BL29" s="53"/>
      <c r="BM29" s="53">
        <f t="shared" si="93"/>
        <v>3</v>
      </c>
      <c r="BN29" s="53">
        <f t="shared" si="94"/>
        <v>3</v>
      </c>
      <c r="BO29" s="53">
        <f t="shared" si="95"/>
        <v>2</v>
      </c>
      <c r="BP29" s="53">
        <f t="shared" si="96"/>
        <v>0</v>
      </c>
      <c r="BQ29" s="53"/>
      <c r="BR29" s="53">
        <f t="shared" si="97"/>
        <v>9.75</v>
      </c>
      <c r="BS29" s="53">
        <f t="shared" si="98"/>
        <v>51.300000000000004</v>
      </c>
      <c r="BT29" s="53">
        <f t="shared" si="99"/>
        <v>11</v>
      </c>
      <c r="BU29" s="53">
        <f t="shared" si="8"/>
        <v>34584.00000000001</v>
      </c>
      <c r="BV29" s="53"/>
      <c r="BW29" s="53">
        <f t="shared" si="100"/>
        <v>20800</v>
      </c>
      <c r="BX29" s="53">
        <f t="shared" si="101"/>
        <v>-29544.000000000007</v>
      </c>
      <c r="BY29" s="53">
        <f t="shared" si="9"/>
        <v>-26582.54794327082</v>
      </c>
      <c r="BZ29" s="240">
        <f t="shared" si="102"/>
        <v>7.944450000000001</v>
      </c>
      <c r="CC29" s="1">
        <f t="shared" si="10"/>
        <v>0</v>
      </c>
      <c r="CD29" s="195">
        <f t="shared" si="11"/>
        <v>5746.4</v>
      </c>
      <c r="CE29" s="195">
        <f t="shared" si="12"/>
        <v>5746.4</v>
      </c>
      <c r="CF29" s="239">
        <f t="shared" si="13"/>
        <v>2.9</v>
      </c>
      <c r="CG29" s="239">
        <f t="shared" si="13"/>
        <v>19.92</v>
      </c>
      <c r="CH29" s="1">
        <f t="shared" si="103"/>
        <v>9561.6</v>
      </c>
      <c r="CK29" s="211">
        <f t="shared" si="14"/>
        <v>0</v>
      </c>
      <c r="CL29" s="211">
        <f t="shared" si="15"/>
        <v>0</v>
      </c>
      <c r="CM29" s="211">
        <f t="shared" si="16"/>
        <v>0</v>
      </c>
      <c r="CQ29" s="1">
        <f t="shared" si="104"/>
        <v>1</v>
      </c>
      <c r="CR29" s="195">
        <f t="shared" si="17"/>
        <v>10000</v>
      </c>
      <c r="CS29" s="195"/>
      <c r="CT29" s="195"/>
      <c r="CV29" s="199">
        <f t="shared" si="18"/>
        <v>81.28141167034288</v>
      </c>
      <c r="CW29" s="199">
        <f t="shared" si="19"/>
        <v>21.471505915379986</v>
      </c>
      <c r="CX29" s="199">
        <f t="shared" si="20"/>
        <v>66.93370763986364</v>
      </c>
      <c r="CY29" s="199">
        <f t="shared" si="21"/>
        <v>0</v>
      </c>
      <c r="CZ29" s="199">
        <f t="shared" si="22"/>
        <v>0</v>
      </c>
      <c r="DA29" s="199">
        <f t="shared" si="23"/>
        <v>0</v>
      </c>
      <c r="DB29" s="199">
        <f t="shared" si="24"/>
        <v>14.314337276919991</v>
      </c>
      <c r="DC29" s="199">
        <f t="shared" si="25"/>
        <v>0</v>
      </c>
      <c r="DD29" s="199">
        <f t="shared" si="26"/>
        <v>0</v>
      </c>
      <c r="DE29" s="199">
        <f t="shared" si="27"/>
        <v>9.412761179065571</v>
      </c>
      <c r="DF29" s="199">
        <f t="shared" si="28"/>
        <v>0</v>
      </c>
      <c r="DG29" s="199">
        <f t="shared" si="29"/>
        <v>0</v>
      </c>
      <c r="DH29" s="199">
        <f t="shared" si="30"/>
        <v>57.032123521155</v>
      </c>
      <c r="DI29" s="199">
        <f t="shared" si="31"/>
        <v>0</v>
      </c>
      <c r="DJ29" s="199">
        <f t="shared" si="32"/>
        <v>5.465474233005814</v>
      </c>
      <c r="DK29" s="199">
        <f t="shared" si="33"/>
        <v>0</v>
      </c>
      <c r="DL29" s="199">
        <f t="shared" si="34"/>
        <v>0</v>
      </c>
      <c r="DM29" s="199">
        <f t="shared" si="35"/>
        <v>2.1178712652897533</v>
      </c>
      <c r="DN29" s="199">
        <f t="shared" si="36"/>
        <v>0</v>
      </c>
      <c r="DO29" s="199">
        <f t="shared" si="37"/>
        <v>0</v>
      </c>
      <c r="DP29" s="199">
        <f t="shared" si="38"/>
        <v>6.421932223781832</v>
      </c>
      <c r="DQ29" s="199">
        <f t="shared" si="39"/>
        <v>0</v>
      </c>
      <c r="DR29" s="199">
        <f t="shared" si="40"/>
        <v>1.7267294966913973</v>
      </c>
      <c r="DS29" s="199">
        <f t="shared" si="41"/>
        <v>0</v>
      </c>
      <c r="DT29" s="199">
        <f t="shared" si="42"/>
        <v>34.43448967315019</v>
      </c>
      <c r="DU29" s="199">
        <f t="shared" si="43"/>
        <v>0</v>
      </c>
      <c r="DV29" s="199">
        <f t="shared" si="44"/>
        <v>0</v>
      </c>
      <c r="DW29" s="199">
        <f t="shared" si="45"/>
        <v>0</v>
      </c>
      <c r="DX29" s="199">
        <f t="shared" si="46"/>
        <v>0.6149492680970522</v>
      </c>
      <c r="DY29" s="199">
        <f t="shared" si="47"/>
        <v>1.365367555644676</v>
      </c>
      <c r="DZ29" s="199">
        <f t="shared" si="48"/>
        <v>0.022008710647683973</v>
      </c>
      <c r="EA29" s="199">
        <f t="shared" si="49"/>
        <v>57.9357936394626</v>
      </c>
      <c r="EB29" s="199">
        <f t="shared" si="50"/>
        <v>7.23864674714257</v>
      </c>
      <c r="EC29" s="202">
        <f t="shared" si="51"/>
        <v>367.7891100156407</v>
      </c>
      <c r="ED29" s="202">
        <f>SUM(CV29:DI29,DS29:DT29,DW29,DY29,EA29:EB29)</f>
        <v>351.42014481812714</v>
      </c>
      <c r="EE29" s="203">
        <f t="shared" si="52"/>
        <v>58.17158859801197</v>
      </c>
      <c r="EF29" s="199"/>
      <c r="EI29" s="1">
        <f t="shared" si="53"/>
        <v>0.5699766927982697</v>
      </c>
      <c r="EJ29" s="1">
        <f t="shared" si="54"/>
        <v>0.010606863429336002</v>
      </c>
      <c r="EK29" s="1">
        <f t="shared" si="55"/>
        <v>0.24682268761392</v>
      </c>
      <c r="EL29" s="1">
        <f t="shared" si="56"/>
        <v>0</v>
      </c>
      <c r="EM29" s="1">
        <f t="shared" si="57"/>
        <v>0</v>
      </c>
      <c r="EN29" s="1">
        <f t="shared" si="58"/>
        <v>0</v>
      </c>
      <c r="EO29" s="1">
        <f t="shared" si="59"/>
        <v>0.2644897670328</v>
      </c>
      <c r="EP29" s="1">
        <f t="shared" si="60"/>
        <v>0</v>
      </c>
      <c r="EQ29" s="1">
        <f t="shared" si="61"/>
        <v>0.21621849683808003</v>
      </c>
      <c r="ER29" s="1">
        <f t="shared" si="62"/>
        <v>0</v>
      </c>
      <c r="ES29" s="1">
        <f t="shared" si="63"/>
        <v>0</v>
      </c>
      <c r="ET29" s="1">
        <f t="shared" si="64"/>
        <v>0</v>
      </c>
      <c r="EU29" s="1">
        <f t="shared" si="65"/>
        <v>0.14589546715944002</v>
      </c>
      <c r="EV29" s="1">
        <f t="shared" si="66"/>
        <v>0</v>
      </c>
      <c r="EW29" s="1">
        <f t="shared" si="67"/>
        <v>0.10099701098903999</v>
      </c>
      <c r="EX29" s="1">
        <f t="shared" si="68"/>
        <v>0</v>
      </c>
      <c r="EY29" s="1">
        <f t="shared" si="69"/>
        <v>0</v>
      </c>
      <c r="EZ29" s="1">
        <f t="shared" si="70"/>
        <v>0.059350736407200004</v>
      </c>
      <c r="FA29" s="1">
        <f t="shared" si="71"/>
        <v>0</v>
      </c>
      <c r="FB29" s="1">
        <f t="shared" si="72"/>
        <v>0</v>
      </c>
      <c r="FC29" s="1">
        <f t="shared" si="73"/>
        <v>0.10099701098903999</v>
      </c>
      <c r="FD29" s="1">
        <f t="shared" si="74"/>
        <v>0</v>
      </c>
      <c r="FE29" s="1">
        <f t="shared" si="75"/>
        <v>0.059350736407200004</v>
      </c>
      <c r="FF29" s="1">
        <f t="shared" si="76"/>
        <v>0</v>
      </c>
      <c r="FG29" s="1">
        <f t="shared" si="77"/>
        <v>0.059350736407200004</v>
      </c>
      <c r="FH29" s="1">
        <f t="shared" si="78"/>
        <v>0</v>
      </c>
      <c r="FI29" s="1">
        <f t="shared" si="79"/>
        <v>0</v>
      </c>
      <c r="FJ29" s="1">
        <f t="shared" si="80"/>
        <v>0</v>
      </c>
      <c r="FK29" s="1">
        <f t="shared" si="81"/>
        <v>0</v>
      </c>
      <c r="FL29" s="1">
        <f t="shared" si="82"/>
        <v>4.263919336981805</v>
      </c>
      <c r="FM29" s="1">
        <f t="shared" si="83"/>
        <v>0.0057571153094400015</v>
      </c>
      <c r="FN29" s="1">
        <f t="shared" si="84"/>
        <v>7.46760736344</v>
      </c>
      <c r="FO29" s="1">
        <f>IF(O29=0,0,SUM(EI29:FN29))</f>
        <v>13.57134002180277</v>
      </c>
    </row>
    <row r="30" spans="1:171" ht="12.75">
      <c r="A30" s="33">
        <v>96</v>
      </c>
      <c r="B30" s="34" t="s">
        <v>117</v>
      </c>
      <c r="C30" s="34" t="s">
        <v>135</v>
      </c>
      <c r="D30" s="35" t="s">
        <v>134</v>
      </c>
      <c r="E30" s="35">
        <v>2</v>
      </c>
      <c r="F30" s="35" t="s">
        <v>114</v>
      </c>
      <c r="G30" s="35" t="s">
        <v>74</v>
      </c>
      <c r="H30" s="35" t="s">
        <v>75</v>
      </c>
      <c r="I30" s="35">
        <v>2</v>
      </c>
      <c r="J30" s="35"/>
      <c r="K30" s="26">
        <f t="shared" si="85"/>
        <v>1</v>
      </c>
      <c r="L30" s="26">
        <f t="shared" si="86"/>
        <v>1</v>
      </c>
      <c r="M30" s="33">
        <v>404615</v>
      </c>
      <c r="N30" s="33">
        <v>812500</v>
      </c>
      <c r="O30" s="27">
        <f t="shared" si="87"/>
        <v>73000</v>
      </c>
      <c r="P30" s="30">
        <v>73000</v>
      </c>
      <c r="Q30" s="30">
        <v>82000</v>
      </c>
      <c r="R30" s="30">
        <v>30000</v>
      </c>
      <c r="S30" s="31">
        <v>0</v>
      </c>
      <c r="T30" s="31">
        <v>0</v>
      </c>
      <c r="U30" s="31">
        <v>0</v>
      </c>
      <c r="V30" s="31">
        <v>0</v>
      </c>
      <c r="W30" s="30">
        <v>25000</v>
      </c>
      <c r="X30" s="31">
        <v>0</v>
      </c>
      <c r="Y30" s="31">
        <v>0</v>
      </c>
      <c r="Z30" s="30">
        <v>0</v>
      </c>
      <c r="AA30" s="31">
        <v>0</v>
      </c>
      <c r="AB30" s="30">
        <v>19000</v>
      </c>
      <c r="AC30" s="30">
        <v>0</v>
      </c>
      <c r="AD30" s="30">
        <v>0</v>
      </c>
      <c r="AE30" s="30">
        <v>25000</v>
      </c>
      <c r="AF30" s="31">
        <v>0</v>
      </c>
      <c r="AG30" s="31">
        <v>0</v>
      </c>
      <c r="AH30" s="31">
        <v>10000</v>
      </c>
      <c r="AI30" s="31">
        <v>0</v>
      </c>
      <c r="AJ30" s="31">
        <v>0</v>
      </c>
      <c r="AK30" s="31">
        <v>27000</v>
      </c>
      <c r="AL30" s="30">
        <v>0</v>
      </c>
      <c r="AM30" s="30">
        <v>7000</v>
      </c>
      <c r="AN30" s="31">
        <v>0</v>
      </c>
      <c r="AO30" s="30">
        <v>13500</v>
      </c>
      <c r="AP30" s="31">
        <v>0</v>
      </c>
      <c r="AQ30" s="31">
        <v>0</v>
      </c>
      <c r="AR30" s="31">
        <v>0</v>
      </c>
      <c r="AS30" s="31">
        <v>0</v>
      </c>
      <c r="AT30" s="31">
        <v>0</v>
      </c>
      <c r="AU30" s="30">
        <v>110</v>
      </c>
      <c r="AX30" s="2">
        <f t="shared" si="0"/>
        <v>60280</v>
      </c>
      <c r="AY30" s="32">
        <f t="shared" si="1"/>
        <v>53663.902439024394</v>
      </c>
      <c r="AZ30" s="186">
        <f t="shared" si="2"/>
        <v>0.510089429030039</v>
      </c>
      <c r="BA30" s="186">
        <f t="shared" si="3"/>
        <v>0.052360487507797614</v>
      </c>
      <c r="BB30" s="186">
        <f t="shared" si="4"/>
        <v>0.282589077675289</v>
      </c>
      <c r="BC30" s="53">
        <f t="shared" si="88"/>
        <v>73000</v>
      </c>
      <c r="BD30" s="53">
        <f t="shared" si="5"/>
        <v>32393.048773015416</v>
      </c>
      <c r="BE30" s="53">
        <f t="shared" si="6"/>
        <v>3325.1342393905384</v>
      </c>
      <c r="BF30" s="53">
        <f t="shared" si="7"/>
        <v>17945.71942661844</v>
      </c>
      <c r="BG30" s="53"/>
      <c r="BH30" s="53">
        <f t="shared" si="89"/>
        <v>4</v>
      </c>
      <c r="BI30" s="53">
        <f t="shared" si="90"/>
        <v>4</v>
      </c>
      <c r="BJ30" s="53">
        <f t="shared" si="91"/>
        <v>3</v>
      </c>
      <c r="BK30" s="53">
        <f t="shared" si="92"/>
        <v>3</v>
      </c>
      <c r="BL30" s="53"/>
      <c r="BM30" s="53">
        <f t="shared" si="93"/>
        <v>2</v>
      </c>
      <c r="BN30" s="53">
        <f t="shared" si="94"/>
        <v>2</v>
      </c>
      <c r="BO30" s="53">
        <f t="shared" si="95"/>
        <v>2</v>
      </c>
      <c r="BP30" s="53">
        <f t="shared" si="96"/>
        <v>0</v>
      </c>
      <c r="BQ30" s="53"/>
      <c r="BR30" s="53">
        <f t="shared" si="97"/>
        <v>6.5</v>
      </c>
      <c r="BS30" s="53">
        <f t="shared" si="98"/>
        <v>34.2</v>
      </c>
      <c r="BT30" s="53">
        <f t="shared" si="99"/>
        <v>11</v>
      </c>
      <c r="BU30" s="53">
        <f t="shared" si="8"/>
        <v>24816</v>
      </c>
      <c r="BV30" s="53"/>
      <c r="BW30" s="53">
        <f t="shared" si="100"/>
        <v>15600</v>
      </c>
      <c r="BX30" s="53">
        <f t="shared" si="101"/>
        <v>-21036</v>
      </c>
      <c r="BY30" s="53">
        <f t="shared" si="9"/>
        <v>-18814.91095745311</v>
      </c>
      <c r="BZ30" s="240">
        <f t="shared" si="102"/>
        <v>5.791300000000001</v>
      </c>
      <c r="CC30" s="1">
        <f t="shared" si="10"/>
        <v>0</v>
      </c>
      <c r="CD30" s="195">
        <f t="shared" si="11"/>
        <v>2873.2</v>
      </c>
      <c r="CE30" s="195">
        <f t="shared" si="12"/>
        <v>2873.2</v>
      </c>
      <c r="CF30" s="239">
        <f t="shared" si="13"/>
        <v>1.45</v>
      </c>
      <c r="CG30" s="239">
        <f t="shared" si="13"/>
        <v>9.96</v>
      </c>
      <c r="CH30" s="1">
        <f t="shared" si="103"/>
        <v>4780.8</v>
      </c>
      <c r="CK30" s="211">
        <f t="shared" si="14"/>
        <v>0</v>
      </c>
      <c r="CL30" s="211">
        <f t="shared" si="15"/>
        <v>0</v>
      </c>
      <c r="CM30" s="211">
        <f t="shared" si="16"/>
        <v>0</v>
      </c>
      <c r="CQ30" s="1">
        <f t="shared" si="104"/>
        <v>1</v>
      </c>
      <c r="CR30" s="195">
        <f t="shared" si="17"/>
        <v>10000</v>
      </c>
      <c r="CS30" s="195"/>
      <c r="CT30" s="195"/>
      <c r="CV30" s="199">
        <f t="shared" si="18"/>
        <v>41.65672348105073</v>
      </c>
      <c r="CW30" s="199">
        <f t="shared" si="19"/>
        <v>9.009023460998595</v>
      </c>
      <c r="CX30" s="199">
        <f t="shared" si="20"/>
        <v>0</v>
      </c>
      <c r="CY30" s="199">
        <f t="shared" si="21"/>
        <v>0</v>
      </c>
      <c r="CZ30" s="199">
        <f t="shared" si="22"/>
        <v>0</v>
      </c>
      <c r="DA30" s="199">
        <f t="shared" si="23"/>
        <v>0</v>
      </c>
      <c r="DB30" s="199">
        <f t="shared" si="24"/>
        <v>6.506516944054542</v>
      </c>
      <c r="DC30" s="199">
        <f t="shared" si="25"/>
        <v>0</v>
      </c>
      <c r="DD30" s="199">
        <f t="shared" si="26"/>
        <v>0</v>
      </c>
      <c r="DE30" s="199">
        <f t="shared" si="27"/>
        <v>0</v>
      </c>
      <c r="DF30" s="199">
        <f t="shared" si="28"/>
        <v>0</v>
      </c>
      <c r="DG30" s="199">
        <f t="shared" si="29"/>
        <v>25.200240625626627</v>
      </c>
      <c r="DH30" s="199">
        <f t="shared" si="30"/>
        <v>0</v>
      </c>
      <c r="DI30" s="199">
        <f t="shared" si="31"/>
        <v>0</v>
      </c>
      <c r="DJ30" s="199">
        <f t="shared" si="32"/>
        <v>3.415921395628634</v>
      </c>
      <c r="DK30" s="199">
        <f t="shared" si="33"/>
        <v>0</v>
      </c>
      <c r="DL30" s="199">
        <f t="shared" si="34"/>
        <v>0</v>
      </c>
      <c r="DM30" s="199">
        <f t="shared" si="35"/>
        <v>1.3663685582514535</v>
      </c>
      <c r="DN30" s="199">
        <f t="shared" si="36"/>
        <v>0</v>
      </c>
      <c r="DO30" s="199">
        <f t="shared" si="37"/>
        <v>0</v>
      </c>
      <c r="DP30" s="199">
        <f t="shared" si="38"/>
        <v>3.689195107278925</v>
      </c>
      <c r="DQ30" s="199">
        <f t="shared" si="39"/>
        <v>0</v>
      </c>
      <c r="DR30" s="199">
        <f t="shared" si="40"/>
        <v>1.0510527371165028</v>
      </c>
      <c r="DS30" s="199">
        <f t="shared" si="41"/>
        <v>0</v>
      </c>
      <c r="DT30" s="199">
        <f t="shared" si="42"/>
        <v>38.738800882293965</v>
      </c>
      <c r="DU30" s="199">
        <f t="shared" si="43"/>
        <v>0</v>
      </c>
      <c r="DV30" s="199">
        <f t="shared" si="44"/>
        <v>0</v>
      </c>
      <c r="DW30" s="199">
        <f t="shared" si="45"/>
        <v>0</v>
      </c>
      <c r="DX30" s="199">
        <f t="shared" si="46"/>
        <v>0</v>
      </c>
      <c r="DY30" s="199">
        <f t="shared" si="47"/>
        <v>0</v>
      </c>
      <c r="DZ30" s="199">
        <f t="shared" si="48"/>
        <v>0.007120465209544817</v>
      </c>
      <c r="EA30" s="199">
        <f t="shared" si="49"/>
        <v>31.156269614167563</v>
      </c>
      <c r="EB30" s="199">
        <f t="shared" si="50"/>
        <v>3.9727814244841464</v>
      </c>
      <c r="EC30" s="202">
        <f t="shared" si="51"/>
        <v>165.7700146961612</v>
      </c>
      <c r="ED30" s="202">
        <f>SUM(CV30:DI30,DS30:DT30,DW30,DY30,EA30:EB30)</f>
        <v>156.24035643267615</v>
      </c>
      <c r="EE30" s="203">
        <f t="shared" si="52"/>
        <v>25.86291614418449</v>
      </c>
      <c r="EF30" s="199"/>
      <c r="EI30" s="1">
        <f t="shared" si="53"/>
        <v>0.5699766927982697</v>
      </c>
      <c r="EJ30" s="1">
        <f t="shared" si="54"/>
        <v>0.010606863429336002</v>
      </c>
      <c r="EK30" s="1">
        <f t="shared" si="55"/>
        <v>0</v>
      </c>
      <c r="EL30" s="1">
        <f t="shared" si="56"/>
        <v>0</v>
      </c>
      <c r="EM30" s="1">
        <f t="shared" si="57"/>
        <v>0</v>
      </c>
      <c r="EN30" s="1">
        <f t="shared" si="58"/>
        <v>0</v>
      </c>
      <c r="EO30" s="1">
        <f t="shared" si="59"/>
        <v>0.2644897670328</v>
      </c>
      <c r="EP30" s="1">
        <f t="shared" si="60"/>
        <v>0</v>
      </c>
      <c r="EQ30" s="1">
        <f t="shared" si="61"/>
        <v>0</v>
      </c>
      <c r="ER30" s="1">
        <f t="shared" si="62"/>
        <v>0</v>
      </c>
      <c r="ES30" s="1">
        <f t="shared" si="63"/>
        <v>0</v>
      </c>
      <c r="ET30" s="1">
        <f t="shared" si="64"/>
        <v>0.14589546715944002</v>
      </c>
      <c r="EU30" s="1">
        <f t="shared" si="65"/>
        <v>0</v>
      </c>
      <c r="EV30" s="1">
        <f t="shared" si="66"/>
        <v>0</v>
      </c>
      <c r="EW30" s="1">
        <f t="shared" si="67"/>
        <v>0.059350736407200004</v>
      </c>
      <c r="EX30" s="1">
        <f t="shared" si="68"/>
        <v>0</v>
      </c>
      <c r="EY30" s="1">
        <f t="shared" si="69"/>
        <v>0</v>
      </c>
      <c r="EZ30" s="1">
        <f t="shared" si="70"/>
        <v>0.059350736407200004</v>
      </c>
      <c r="FA30" s="1">
        <f t="shared" si="71"/>
        <v>0</v>
      </c>
      <c r="FB30" s="1">
        <f t="shared" si="72"/>
        <v>0</v>
      </c>
      <c r="FC30" s="1">
        <f t="shared" si="73"/>
        <v>0.059350736407200004</v>
      </c>
      <c r="FD30" s="1">
        <f t="shared" si="74"/>
        <v>0</v>
      </c>
      <c r="FE30" s="1">
        <f t="shared" si="75"/>
        <v>0.059350736407200004</v>
      </c>
      <c r="FF30" s="1">
        <f t="shared" si="76"/>
        <v>0</v>
      </c>
      <c r="FG30" s="1">
        <f t="shared" si="77"/>
        <v>0.059350736407200004</v>
      </c>
      <c r="FH30" s="1">
        <f t="shared" si="78"/>
        <v>0</v>
      </c>
      <c r="FI30" s="1">
        <f t="shared" si="79"/>
        <v>0</v>
      </c>
      <c r="FJ30" s="1">
        <f t="shared" si="80"/>
        <v>0</v>
      </c>
      <c r="FK30" s="1">
        <f t="shared" si="81"/>
        <v>0</v>
      </c>
      <c r="FL30" s="1">
        <f t="shared" si="82"/>
        <v>0</v>
      </c>
      <c r="FM30" s="1">
        <f t="shared" si="83"/>
        <v>0.0057571153094400015</v>
      </c>
      <c r="FN30" s="1">
        <f t="shared" si="84"/>
        <v>7.46760736344</v>
      </c>
      <c r="FO30" s="1">
        <f>IF(O30=0,0,SUM(EI30:FN30))</f>
        <v>8.761086951205286</v>
      </c>
    </row>
    <row r="31" spans="1:171" ht="12.75">
      <c r="A31" s="33">
        <v>97</v>
      </c>
      <c r="B31" s="34" t="s">
        <v>136</v>
      </c>
      <c r="C31" s="34" t="s">
        <v>137</v>
      </c>
      <c r="D31" s="35" t="s">
        <v>134</v>
      </c>
      <c r="E31" s="35">
        <v>2</v>
      </c>
      <c r="F31" s="35" t="s">
        <v>114</v>
      </c>
      <c r="G31" s="35" t="s">
        <v>74</v>
      </c>
      <c r="H31" s="35" t="s">
        <v>75</v>
      </c>
      <c r="I31" s="35">
        <v>3</v>
      </c>
      <c r="J31" s="35"/>
      <c r="K31" s="26">
        <f t="shared" si="85"/>
        <v>1</v>
      </c>
      <c r="L31" s="26">
        <f t="shared" si="86"/>
        <v>1</v>
      </c>
      <c r="M31" s="33">
        <v>404325</v>
      </c>
      <c r="N31" s="33">
        <v>840754</v>
      </c>
      <c r="O31" s="27">
        <f t="shared" si="87"/>
        <v>146900</v>
      </c>
      <c r="P31" s="30">
        <v>146900</v>
      </c>
      <c r="Q31" s="30">
        <v>170000</v>
      </c>
      <c r="R31" s="30">
        <v>52000</v>
      </c>
      <c r="S31" s="31">
        <v>23000</v>
      </c>
      <c r="T31" s="31">
        <v>0</v>
      </c>
      <c r="U31" s="31">
        <v>0</v>
      </c>
      <c r="V31" s="31">
        <v>0</v>
      </c>
      <c r="W31" s="30">
        <v>40000</v>
      </c>
      <c r="X31" s="31">
        <v>0</v>
      </c>
      <c r="Y31" s="31">
        <v>0</v>
      </c>
      <c r="Z31" s="30">
        <v>26000</v>
      </c>
      <c r="AA31" s="31">
        <v>0</v>
      </c>
      <c r="AB31" s="30">
        <v>0</v>
      </c>
      <c r="AC31" s="30">
        <v>55000</v>
      </c>
      <c r="AD31" s="30">
        <v>0</v>
      </c>
      <c r="AE31" s="30">
        <v>63000</v>
      </c>
      <c r="AF31" s="31">
        <v>35000</v>
      </c>
      <c r="AG31" s="31">
        <v>0</v>
      </c>
      <c r="AH31" s="31">
        <v>0</v>
      </c>
      <c r="AI31" s="31">
        <v>0</v>
      </c>
      <c r="AJ31" s="31">
        <v>0</v>
      </c>
      <c r="AK31" s="31">
        <v>0</v>
      </c>
      <c r="AL31" s="30">
        <v>0</v>
      </c>
      <c r="AM31" s="30">
        <v>0</v>
      </c>
      <c r="AN31" s="31">
        <v>9200</v>
      </c>
      <c r="AO31" s="30">
        <v>0</v>
      </c>
      <c r="AP31" s="31">
        <v>4500</v>
      </c>
      <c r="AQ31" s="31">
        <v>18700</v>
      </c>
      <c r="AR31" s="31">
        <v>0</v>
      </c>
      <c r="AS31" s="31">
        <v>4000</v>
      </c>
      <c r="AT31" s="31">
        <v>58</v>
      </c>
      <c r="AU31" s="30">
        <v>110</v>
      </c>
      <c r="AX31" s="2">
        <f t="shared" si="0"/>
        <v>137984</v>
      </c>
      <c r="AY31" s="32">
        <f t="shared" si="1"/>
        <v>119234.4094117647</v>
      </c>
      <c r="AZ31" s="186">
        <f t="shared" si="2"/>
        <v>0.510089429030039</v>
      </c>
      <c r="BA31" s="186">
        <f t="shared" si="3"/>
        <v>0.052360487507797614</v>
      </c>
      <c r="BB31" s="186">
        <f t="shared" si="4"/>
        <v>0.282589077675289</v>
      </c>
      <c r="BC31" s="53">
        <f t="shared" si="88"/>
        <v>146900</v>
      </c>
      <c r="BD31" s="53">
        <f t="shared" si="5"/>
        <v>71973.26068273911</v>
      </c>
      <c r="BE31" s="53">
        <f t="shared" si="6"/>
        <v>7388.028064098725</v>
      </c>
      <c r="BF31" s="53">
        <f t="shared" si="7"/>
        <v>39873.12066492686</v>
      </c>
      <c r="BG31" s="53"/>
      <c r="BH31" s="53">
        <f t="shared" si="89"/>
        <v>6</v>
      </c>
      <c r="BI31" s="53">
        <f t="shared" si="90"/>
        <v>6</v>
      </c>
      <c r="BJ31" s="53">
        <f t="shared" si="91"/>
        <v>3</v>
      </c>
      <c r="BK31" s="53">
        <f t="shared" si="92"/>
        <v>4</v>
      </c>
      <c r="BL31" s="53"/>
      <c r="BM31" s="53">
        <f t="shared" si="93"/>
        <v>3</v>
      </c>
      <c r="BN31" s="53">
        <f t="shared" si="94"/>
        <v>3</v>
      </c>
      <c r="BO31" s="53">
        <f t="shared" si="95"/>
        <v>2</v>
      </c>
      <c r="BP31" s="53">
        <f t="shared" si="96"/>
        <v>0</v>
      </c>
      <c r="BQ31" s="53"/>
      <c r="BR31" s="53">
        <f t="shared" si="97"/>
        <v>9.75</v>
      </c>
      <c r="BS31" s="53">
        <f t="shared" si="98"/>
        <v>51.300000000000004</v>
      </c>
      <c r="BT31" s="53">
        <f t="shared" si="99"/>
        <v>11</v>
      </c>
      <c r="BU31" s="53">
        <f t="shared" si="8"/>
        <v>34584.00000000001</v>
      </c>
      <c r="BV31" s="53"/>
      <c r="BW31" s="53">
        <f t="shared" si="100"/>
        <v>20800</v>
      </c>
      <c r="BX31" s="53">
        <f t="shared" si="101"/>
        <v>-29544.000000000007</v>
      </c>
      <c r="BY31" s="53">
        <f t="shared" si="9"/>
        <v>-26582.54794327082</v>
      </c>
      <c r="BZ31" s="240">
        <f t="shared" si="102"/>
        <v>7.944450000000001</v>
      </c>
      <c r="CC31" s="1">
        <f t="shared" si="10"/>
        <v>0</v>
      </c>
      <c r="CD31" s="195">
        <f t="shared" si="11"/>
        <v>5746.4</v>
      </c>
      <c r="CE31" s="195">
        <f t="shared" si="12"/>
        <v>5746.4</v>
      </c>
      <c r="CF31" s="239">
        <f t="shared" si="13"/>
        <v>2.9</v>
      </c>
      <c r="CG31" s="239">
        <f t="shared" si="13"/>
        <v>19.92</v>
      </c>
      <c r="CH31" s="1">
        <f t="shared" si="103"/>
        <v>9561.6</v>
      </c>
      <c r="CK31" s="211">
        <f t="shared" si="14"/>
        <v>0</v>
      </c>
      <c r="CL31" s="211">
        <f t="shared" si="15"/>
        <v>0</v>
      </c>
      <c r="CM31" s="211">
        <f t="shared" si="16"/>
        <v>0</v>
      </c>
      <c r="CQ31" s="1">
        <f t="shared" si="104"/>
        <v>1</v>
      </c>
      <c r="CR31" s="195">
        <f t="shared" si="17"/>
        <v>10000</v>
      </c>
      <c r="CS31" s="195"/>
      <c r="CT31" s="195"/>
      <c r="CV31" s="199">
        <f t="shared" si="18"/>
        <v>86.36149989973931</v>
      </c>
      <c r="CW31" s="199">
        <f t="shared" si="19"/>
        <v>15.615640665730899</v>
      </c>
      <c r="CX31" s="199">
        <f t="shared" si="20"/>
        <v>45.278684579907754</v>
      </c>
      <c r="CY31" s="199">
        <f t="shared" si="21"/>
        <v>0</v>
      </c>
      <c r="CZ31" s="199">
        <f t="shared" si="22"/>
        <v>0</v>
      </c>
      <c r="DA31" s="199">
        <f t="shared" si="23"/>
        <v>0</v>
      </c>
      <c r="DB31" s="199">
        <f t="shared" si="24"/>
        <v>10.410427110487266</v>
      </c>
      <c r="DC31" s="199">
        <f t="shared" si="25"/>
        <v>0</v>
      </c>
      <c r="DD31" s="199">
        <f t="shared" si="26"/>
        <v>0</v>
      </c>
      <c r="DE31" s="199">
        <f t="shared" si="27"/>
        <v>7.89457389211951</v>
      </c>
      <c r="DF31" s="199">
        <f t="shared" si="28"/>
        <v>0</v>
      </c>
      <c r="DG31" s="199">
        <f t="shared" si="29"/>
        <v>0</v>
      </c>
      <c r="DH31" s="199">
        <f t="shared" si="30"/>
        <v>72.94806496891918</v>
      </c>
      <c r="DI31" s="199">
        <f t="shared" si="31"/>
        <v>0</v>
      </c>
      <c r="DJ31" s="199">
        <f t="shared" si="32"/>
        <v>8.608121916984159</v>
      </c>
      <c r="DK31" s="199">
        <f t="shared" si="33"/>
        <v>4.782289953880087</v>
      </c>
      <c r="DL31" s="199">
        <f t="shared" si="34"/>
        <v>0</v>
      </c>
      <c r="DM31" s="199">
        <f t="shared" si="35"/>
        <v>0</v>
      </c>
      <c r="DN31" s="199">
        <f t="shared" si="36"/>
        <v>0</v>
      </c>
      <c r="DO31" s="199">
        <f t="shared" si="37"/>
        <v>0</v>
      </c>
      <c r="DP31" s="199">
        <f t="shared" si="38"/>
        <v>0</v>
      </c>
      <c r="DQ31" s="199">
        <f t="shared" si="39"/>
        <v>0</v>
      </c>
      <c r="DR31" s="199">
        <f t="shared" si="40"/>
        <v>0</v>
      </c>
      <c r="DS31" s="199">
        <f t="shared" si="41"/>
        <v>24.40444355323842</v>
      </c>
      <c r="DT31" s="199">
        <f t="shared" si="42"/>
        <v>0</v>
      </c>
      <c r="DU31" s="199">
        <f t="shared" si="43"/>
        <v>0.0013138159213956285</v>
      </c>
      <c r="DV31" s="199">
        <f t="shared" si="44"/>
        <v>0.005459635051132946</v>
      </c>
      <c r="DW31" s="199">
        <f t="shared" si="45"/>
        <v>0</v>
      </c>
      <c r="DX31" s="199">
        <f t="shared" si="46"/>
        <v>0.2589260076198115</v>
      </c>
      <c r="DY31" s="199">
        <f t="shared" si="47"/>
        <v>2.399736915981552</v>
      </c>
      <c r="DZ31" s="199">
        <f t="shared" si="48"/>
        <v>0.007120465209544817</v>
      </c>
      <c r="EA31" s="199">
        <f t="shared" si="49"/>
        <v>69.22529369048466</v>
      </c>
      <c r="EB31" s="199">
        <f t="shared" si="50"/>
        <v>8.34723877733118</v>
      </c>
      <c r="EC31" s="202">
        <f t="shared" si="51"/>
        <v>356.5488358486059</v>
      </c>
      <c r="ED31" s="202">
        <f>SUM(CV31:DI31,DS31:DT31,DW31,DY31,EA31:EB31)</f>
        <v>342.8856040539398</v>
      </c>
      <c r="EE31" s="203">
        <f t="shared" si="52"/>
        <v>56.75884148738686</v>
      </c>
      <c r="EF31" s="199"/>
      <c r="EI31" s="1">
        <f t="shared" si="53"/>
        <v>0.5699766927982697</v>
      </c>
      <c r="EJ31" s="1">
        <f t="shared" si="54"/>
        <v>0.010606863429336002</v>
      </c>
      <c r="EK31" s="1">
        <f t="shared" si="55"/>
        <v>0.24682268761392</v>
      </c>
      <c r="EL31" s="1">
        <f t="shared" si="56"/>
        <v>0</v>
      </c>
      <c r="EM31" s="1">
        <f t="shared" si="57"/>
        <v>0</v>
      </c>
      <c r="EN31" s="1">
        <f t="shared" si="58"/>
        <v>0</v>
      </c>
      <c r="EO31" s="1">
        <f t="shared" si="59"/>
        <v>0.2644897670328</v>
      </c>
      <c r="EP31" s="1">
        <f t="shared" si="60"/>
        <v>0</v>
      </c>
      <c r="EQ31" s="1">
        <f t="shared" si="61"/>
        <v>0.21621849683808003</v>
      </c>
      <c r="ER31" s="1">
        <f t="shared" si="62"/>
        <v>0</v>
      </c>
      <c r="ES31" s="1">
        <f t="shared" si="63"/>
        <v>0</v>
      </c>
      <c r="ET31" s="1">
        <f t="shared" si="64"/>
        <v>0</v>
      </c>
      <c r="EU31" s="1">
        <f t="shared" si="65"/>
        <v>0.14589546715944002</v>
      </c>
      <c r="EV31" s="1">
        <f t="shared" si="66"/>
        <v>0</v>
      </c>
      <c r="EW31" s="1">
        <f t="shared" si="67"/>
        <v>0.10099701098903999</v>
      </c>
      <c r="EX31" s="1">
        <f t="shared" si="68"/>
        <v>0.059350736407200004</v>
      </c>
      <c r="EY31" s="1">
        <f t="shared" si="69"/>
        <v>0</v>
      </c>
      <c r="EZ31" s="1">
        <f t="shared" si="70"/>
        <v>0</v>
      </c>
      <c r="FA31" s="1">
        <f t="shared" si="71"/>
        <v>0</v>
      </c>
      <c r="FB31" s="1">
        <f t="shared" si="72"/>
        <v>0</v>
      </c>
      <c r="FC31" s="1">
        <f t="shared" si="73"/>
        <v>0</v>
      </c>
      <c r="FD31" s="1">
        <f t="shared" si="74"/>
        <v>0</v>
      </c>
      <c r="FE31" s="1">
        <f t="shared" si="75"/>
        <v>0</v>
      </c>
      <c r="FF31" s="1">
        <f t="shared" si="76"/>
        <v>0.059350736407200004</v>
      </c>
      <c r="FG31" s="1">
        <f t="shared" si="77"/>
        <v>0</v>
      </c>
      <c r="FH31" s="1">
        <f t="shared" si="78"/>
        <v>0</v>
      </c>
      <c r="FI31" s="1">
        <f t="shared" si="79"/>
        <v>0</v>
      </c>
      <c r="FJ31" s="1">
        <f t="shared" si="80"/>
        <v>0</v>
      </c>
      <c r="FK31" s="1">
        <f t="shared" si="81"/>
        <v>0</v>
      </c>
      <c r="FL31" s="1">
        <f t="shared" si="82"/>
        <v>4.263919336981805</v>
      </c>
      <c r="FM31" s="1">
        <f t="shared" si="83"/>
        <v>0.0057571153094400015</v>
      </c>
      <c r="FN31" s="1">
        <f t="shared" si="84"/>
        <v>7.46760736344</v>
      </c>
      <c r="FO31" s="1">
        <f>IF(O31=0,0,SUM(EI31:FN31))</f>
        <v>13.41099227440653</v>
      </c>
    </row>
    <row r="32" spans="1:171" ht="12.75">
      <c r="A32" s="33">
        <v>98</v>
      </c>
      <c r="B32" s="34" t="s">
        <v>93</v>
      </c>
      <c r="C32" s="34" t="s">
        <v>133</v>
      </c>
      <c r="D32" s="35" t="s">
        <v>134</v>
      </c>
      <c r="E32" s="35">
        <v>2</v>
      </c>
      <c r="F32" s="35" t="s">
        <v>114</v>
      </c>
      <c r="G32" s="35" t="s">
        <v>74</v>
      </c>
      <c r="H32" s="35" t="s">
        <v>75</v>
      </c>
      <c r="I32" s="35">
        <v>3</v>
      </c>
      <c r="J32" s="35"/>
      <c r="K32" s="26">
        <f t="shared" si="85"/>
        <v>1</v>
      </c>
      <c r="L32" s="26">
        <f t="shared" si="86"/>
        <v>1</v>
      </c>
      <c r="M32" s="33">
        <v>413800</v>
      </c>
      <c r="N32" s="33">
        <v>832900</v>
      </c>
      <c r="O32" s="27">
        <f t="shared" si="87"/>
        <v>160000</v>
      </c>
      <c r="P32" s="30">
        <v>160000</v>
      </c>
      <c r="Q32" s="30">
        <v>165000</v>
      </c>
      <c r="R32" s="30">
        <v>0</v>
      </c>
      <c r="S32" s="31">
        <v>0</v>
      </c>
      <c r="T32" s="31">
        <v>0</v>
      </c>
      <c r="U32" s="31">
        <v>0</v>
      </c>
      <c r="V32" s="31">
        <v>0</v>
      </c>
      <c r="W32" s="30">
        <v>79000</v>
      </c>
      <c r="X32" s="31">
        <v>0</v>
      </c>
      <c r="Y32" s="31">
        <v>0</v>
      </c>
      <c r="Z32" s="30">
        <v>42000</v>
      </c>
      <c r="AA32" s="31">
        <v>0</v>
      </c>
      <c r="AB32" s="30">
        <v>0</v>
      </c>
      <c r="AC32" s="30">
        <v>48000</v>
      </c>
      <c r="AD32" s="30">
        <v>0</v>
      </c>
      <c r="AE32" s="30">
        <v>48200</v>
      </c>
      <c r="AF32" s="31">
        <v>65000</v>
      </c>
      <c r="AG32" s="31">
        <v>0</v>
      </c>
      <c r="AH32" s="31">
        <v>0</v>
      </c>
      <c r="AI32" s="31">
        <v>0</v>
      </c>
      <c r="AJ32" s="31">
        <v>0</v>
      </c>
      <c r="AK32" s="31">
        <v>0</v>
      </c>
      <c r="AL32" s="30">
        <v>0</v>
      </c>
      <c r="AM32" s="30">
        <v>9500</v>
      </c>
      <c r="AN32" s="31">
        <v>9000</v>
      </c>
      <c r="AO32" s="30">
        <v>0</v>
      </c>
      <c r="AP32" s="31">
        <v>700</v>
      </c>
      <c r="AQ32" s="31">
        <v>0</v>
      </c>
      <c r="AR32" s="31">
        <v>0</v>
      </c>
      <c r="AS32" s="31">
        <v>0</v>
      </c>
      <c r="AT32" s="31">
        <v>45</v>
      </c>
      <c r="AU32" s="30">
        <v>62</v>
      </c>
      <c r="AX32" s="2">
        <f t="shared" si="0"/>
        <v>137280</v>
      </c>
      <c r="AY32" s="32">
        <f t="shared" si="1"/>
        <v>133120</v>
      </c>
      <c r="AZ32" s="186">
        <f t="shared" si="2"/>
        <v>0.510089429030039</v>
      </c>
      <c r="BA32" s="186">
        <f t="shared" si="3"/>
        <v>0.052360487507797614</v>
      </c>
      <c r="BB32" s="186">
        <f t="shared" si="4"/>
        <v>0.282589077675289</v>
      </c>
      <c r="BC32" s="53">
        <f t="shared" si="88"/>
        <v>160000</v>
      </c>
      <c r="BD32" s="53">
        <f t="shared" si="5"/>
        <v>80354.99575461376</v>
      </c>
      <c r="BE32" s="53">
        <f t="shared" si="6"/>
        <v>8248.410008023926</v>
      </c>
      <c r="BF32" s="53">
        <f t="shared" si="7"/>
        <v>44516.59423736232</v>
      </c>
      <c r="BG32" s="53"/>
      <c r="BH32" s="53">
        <f t="shared" si="89"/>
        <v>7</v>
      </c>
      <c r="BI32" s="53">
        <f t="shared" si="90"/>
        <v>7</v>
      </c>
      <c r="BJ32" s="53">
        <f t="shared" si="91"/>
        <v>3</v>
      </c>
      <c r="BK32" s="53">
        <f t="shared" si="92"/>
        <v>4</v>
      </c>
      <c r="BL32" s="53"/>
      <c r="BM32" s="53">
        <f t="shared" si="93"/>
        <v>3</v>
      </c>
      <c r="BN32" s="53">
        <f t="shared" si="94"/>
        <v>3</v>
      </c>
      <c r="BO32" s="53">
        <f t="shared" si="95"/>
        <v>2</v>
      </c>
      <c r="BP32" s="53">
        <f t="shared" si="96"/>
        <v>0</v>
      </c>
      <c r="BQ32" s="53"/>
      <c r="BR32" s="53">
        <f t="shared" si="97"/>
        <v>9.75</v>
      </c>
      <c r="BS32" s="53">
        <f t="shared" si="98"/>
        <v>51.300000000000004</v>
      </c>
      <c r="BT32" s="53">
        <f t="shared" si="99"/>
        <v>11</v>
      </c>
      <c r="BU32" s="53">
        <f t="shared" si="8"/>
        <v>34584.00000000001</v>
      </c>
      <c r="BV32" s="53"/>
      <c r="BW32" s="53">
        <f t="shared" si="100"/>
        <v>20800</v>
      </c>
      <c r="BX32" s="53">
        <f t="shared" si="101"/>
        <v>-29544.000000000007</v>
      </c>
      <c r="BY32" s="53">
        <f t="shared" si="9"/>
        <v>-26582.54794327082</v>
      </c>
      <c r="BZ32" s="240">
        <f t="shared" si="102"/>
        <v>7.944450000000001</v>
      </c>
      <c r="CC32" s="1">
        <f t="shared" si="10"/>
        <v>0</v>
      </c>
      <c r="CD32" s="195">
        <f t="shared" si="11"/>
        <v>5746.4</v>
      </c>
      <c r="CE32" s="195">
        <f t="shared" si="12"/>
        <v>5746.4</v>
      </c>
      <c r="CF32" s="239">
        <f t="shared" si="13"/>
        <v>2.9</v>
      </c>
      <c r="CG32" s="239">
        <f t="shared" si="13"/>
        <v>19.92</v>
      </c>
      <c r="CH32" s="1">
        <f t="shared" si="103"/>
        <v>9561.6</v>
      </c>
      <c r="CK32" s="211">
        <f t="shared" si="14"/>
        <v>0</v>
      </c>
      <c r="CL32" s="211">
        <f t="shared" si="15"/>
        <v>0</v>
      </c>
      <c r="CM32" s="211">
        <f t="shared" si="16"/>
        <v>0</v>
      </c>
      <c r="CQ32" s="1">
        <f t="shared" si="104"/>
        <v>1</v>
      </c>
      <c r="CR32" s="195">
        <f t="shared" si="17"/>
        <v>10000</v>
      </c>
      <c r="CS32" s="195"/>
      <c r="CT32" s="195"/>
      <c r="CV32" s="199">
        <f t="shared" si="18"/>
        <v>83.8214557850411</v>
      </c>
      <c r="CW32" s="199">
        <f t="shared" si="19"/>
        <v>0</v>
      </c>
      <c r="CX32" s="199">
        <f t="shared" si="20"/>
        <v>0</v>
      </c>
      <c r="CY32" s="199">
        <f t="shared" si="21"/>
        <v>0</v>
      </c>
      <c r="CZ32" s="199">
        <f t="shared" si="22"/>
        <v>0</v>
      </c>
      <c r="DA32" s="199">
        <f t="shared" si="23"/>
        <v>0</v>
      </c>
      <c r="DB32" s="199">
        <f t="shared" si="24"/>
        <v>20.56059354321235</v>
      </c>
      <c r="DC32" s="199">
        <f t="shared" si="25"/>
        <v>0</v>
      </c>
      <c r="DD32" s="199">
        <f t="shared" si="26"/>
        <v>0</v>
      </c>
      <c r="DE32" s="199">
        <f t="shared" si="27"/>
        <v>12.7527732103469</v>
      </c>
      <c r="DF32" s="199">
        <f t="shared" si="28"/>
        <v>0</v>
      </c>
      <c r="DG32" s="199">
        <f t="shared" si="29"/>
        <v>0</v>
      </c>
      <c r="DH32" s="199">
        <f t="shared" si="30"/>
        <v>63.66376579105675</v>
      </c>
      <c r="DI32" s="199">
        <f t="shared" si="31"/>
        <v>0</v>
      </c>
      <c r="DJ32" s="199">
        <f t="shared" si="32"/>
        <v>6.585896450772007</v>
      </c>
      <c r="DK32" s="199">
        <f t="shared" si="33"/>
        <v>8.881395628634449</v>
      </c>
      <c r="DL32" s="199">
        <f t="shared" si="34"/>
        <v>0</v>
      </c>
      <c r="DM32" s="199">
        <f t="shared" si="35"/>
        <v>0</v>
      </c>
      <c r="DN32" s="199">
        <f t="shared" si="36"/>
        <v>0</v>
      </c>
      <c r="DO32" s="199">
        <f t="shared" si="37"/>
        <v>0</v>
      </c>
      <c r="DP32" s="199">
        <f t="shared" si="38"/>
        <v>0</v>
      </c>
      <c r="DQ32" s="199">
        <f t="shared" si="39"/>
        <v>0</v>
      </c>
      <c r="DR32" s="199">
        <f t="shared" si="40"/>
        <v>1.426428714658111</v>
      </c>
      <c r="DS32" s="199">
        <f t="shared" si="41"/>
        <v>23.87391217164628</v>
      </c>
      <c r="DT32" s="199">
        <f t="shared" si="42"/>
        <v>0</v>
      </c>
      <c r="DU32" s="199">
        <f t="shared" si="43"/>
        <v>0.0002043713655504311</v>
      </c>
      <c r="DV32" s="199">
        <f t="shared" si="44"/>
        <v>0</v>
      </c>
      <c r="DW32" s="199">
        <f t="shared" si="45"/>
        <v>0</v>
      </c>
      <c r="DX32" s="199">
        <f t="shared" si="46"/>
        <v>0</v>
      </c>
      <c r="DY32" s="199">
        <f t="shared" si="47"/>
        <v>1.8618648486063765</v>
      </c>
      <c r="DZ32" s="199">
        <f t="shared" si="48"/>
        <v>0.004013353118107078</v>
      </c>
      <c r="EA32" s="199">
        <f t="shared" si="49"/>
        <v>77.28701086825747</v>
      </c>
      <c r="EB32" s="199">
        <f t="shared" si="50"/>
        <v>9.193635035091239</v>
      </c>
      <c r="EC32" s="202">
        <f t="shared" si="51"/>
        <v>309.91294977180667</v>
      </c>
      <c r="ED32" s="202">
        <f>SUM(CV32:DI32,DS32:DT32,DW32,DY32,EA32:EB32)</f>
        <v>293.0150112532585</v>
      </c>
      <c r="EE32" s="203">
        <f t="shared" si="52"/>
        <v>48.503618642829636</v>
      </c>
      <c r="EF32" s="199"/>
      <c r="EI32" s="1">
        <f t="shared" si="53"/>
        <v>0.5699766927982697</v>
      </c>
      <c r="EJ32" s="1">
        <f t="shared" si="54"/>
        <v>0</v>
      </c>
      <c r="EK32" s="1">
        <f t="shared" si="55"/>
        <v>0</v>
      </c>
      <c r="EL32" s="1">
        <f t="shared" si="56"/>
        <v>0</v>
      </c>
      <c r="EM32" s="1">
        <f t="shared" si="57"/>
        <v>0</v>
      </c>
      <c r="EN32" s="1">
        <f t="shared" si="58"/>
        <v>0</v>
      </c>
      <c r="EO32" s="1">
        <f t="shared" si="59"/>
        <v>0.2644897670328</v>
      </c>
      <c r="EP32" s="1">
        <f t="shared" si="60"/>
        <v>0</v>
      </c>
      <c r="EQ32" s="1">
        <f t="shared" si="61"/>
        <v>0.21621849683808003</v>
      </c>
      <c r="ER32" s="1">
        <f t="shared" si="62"/>
        <v>0</v>
      </c>
      <c r="ES32" s="1">
        <f t="shared" si="63"/>
        <v>0</v>
      </c>
      <c r="ET32" s="1">
        <f t="shared" si="64"/>
        <v>0</v>
      </c>
      <c r="EU32" s="1">
        <f t="shared" si="65"/>
        <v>0.14589546715944002</v>
      </c>
      <c r="EV32" s="1">
        <f t="shared" si="66"/>
        <v>0</v>
      </c>
      <c r="EW32" s="1">
        <f t="shared" si="67"/>
        <v>0.10099701098903999</v>
      </c>
      <c r="EX32" s="1">
        <f t="shared" si="68"/>
        <v>0.10099701098903999</v>
      </c>
      <c r="EY32" s="1">
        <f t="shared" si="69"/>
        <v>0</v>
      </c>
      <c r="EZ32" s="1">
        <f t="shared" si="70"/>
        <v>0</v>
      </c>
      <c r="FA32" s="1">
        <f t="shared" si="71"/>
        <v>0</v>
      </c>
      <c r="FB32" s="1">
        <f t="shared" si="72"/>
        <v>0</v>
      </c>
      <c r="FC32" s="1">
        <f t="shared" si="73"/>
        <v>0</v>
      </c>
      <c r="FD32" s="1">
        <f t="shared" si="74"/>
        <v>0</v>
      </c>
      <c r="FE32" s="1">
        <f t="shared" si="75"/>
        <v>0.059350736407200004</v>
      </c>
      <c r="FF32" s="1">
        <f t="shared" si="76"/>
        <v>0.059350736407200004</v>
      </c>
      <c r="FG32" s="1">
        <f t="shared" si="77"/>
        <v>0</v>
      </c>
      <c r="FH32" s="1">
        <f t="shared" si="78"/>
        <v>0</v>
      </c>
      <c r="FI32" s="1">
        <f t="shared" si="79"/>
        <v>0</v>
      </c>
      <c r="FJ32" s="1">
        <f t="shared" si="80"/>
        <v>0</v>
      </c>
      <c r="FK32" s="1">
        <f t="shared" si="81"/>
        <v>0</v>
      </c>
      <c r="FL32" s="1">
        <f t="shared" si="82"/>
        <v>4.263919336981805</v>
      </c>
      <c r="FM32" s="1">
        <f t="shared" si="83"/>
        <v>0.0034234991863440005</v>
      </c>
      <c r="FN32" s="1">
        <f t="shared" si="84"/>
        <v>7.46760736344</v>
      </c>
      <c r="FO32" s="1">
        <f>IF(O32=0,0,SUM(EI32:FN32))</f>
        <v>13.252226118229219</v>
      </c>
    </row>
    <row r="33" spans="1:171" ht="12.75">
      <c r="A33" s="24">
        <v>109</v>
      </c>
      <c r="B33" s="25" t="s">
        <v>138</v>
      </c>
      <c r="C33" s="25" t="s">
        <v>139</v>
      </c>
      <c r="D33" s="26" t="s">
        <v>140</v>
      </c>
      <c r="E33" s="26">
        <v>2</v>
      </c>
      <c r="F33" s="26" t="s">
        <v>114</v>
      </c>
      <c r="G33" s="26" t="s">
        <v>74</v>
      </c>
      <c r="H33" s="26" t="s">
        <v>75</v>
      </c>
      <c r="I33" s="26">
        <v>3</v>
      </c>
      <c r="J33" s="26"/>
      <c r="K33" s="26">
        <f t="shared" si="85"/>
        <v>1</v>
      </c>
      <c r="L33" s="26">
        <f t="shared" si="86"/>
        <v>1</v>
      </c>
      <c r="M33" s="24">
        <v>350512</v>
      </c>
      <c r="N33" s="24">
        <v>900500</v>
      </c>
      <c r="O33" s="27">
        <f t="shared" si="87"/>
        <v>180000</v>
      </c>
      <c r="P33" s="28">
        <v>180000</v>
      </c>
      <c r="Q33" s="28">
        <v>182000</v>
      </c>
      <c r="R33" s="28">
        <v>0</v>
      </c>
      <c r="S33" s="29">
        <v>0</v>
      </c>
      <c r="T33" s="29">
        <v>0</v>
      </c>
      <c r="U33" s="29">
        <v>0</v>
      </c>
      <c r="V33" s="29">
        <v>0</v>
      </c>
      <c r="W33" s="28">
        <v>70000</v>
      </c>
      <c r="X33" s="29">
        <v>0</v>
      </c>
      <c r="Y33" s="29">
        <v>0</v>
      </c>
      <c r="Z33" s="28">
        <v>0</v>
      </c>
      <c r="AA33" s="29">
        <v>0</v>
      </c>
      <c r="AB33" s="28">
        <v>36000</v>
      </c>
      <c r="AC33" s="28">
        <v>0</v>
      </c>
      <c r="AD33" s="28">
        <v>0</v>
      </c>
      <c r="AE33" s="28">
        <v>52000</v>
      </c>
      <c r="AF33" s="28">
        <v>39000</v>
      </c>
      <c r="AG33" s="28">
        <v>0</v>
      </c>
      <c r="AH33" s="28">
        <v>58000</v>
      </c>
      <c r="AI33" s="28">
        <v>0</v>
      </c>
      <c r="AJ33" s="28">
        <v>0</v>
      </c>
      <c r="AK33" s="28">
        <v>0</v>
      </c>
      <c r="AL33" s="28">
        <v>0</v>
      </c>
      <c r="AM33" s="30">
        <v>12000</v>
      </c>
      <c r="AN33" s="30">
        <v>0</v>
      </c>
      <c r="AO33" s="30">
        <v>0</v>
      </c>
      <c r="AP33" s="30">
        <v>0</v>
      </c>
      <c r="AQ33" s="30">
        <v>4000</v>
      </c>
      <c r="AR33" s="30">
        <v>0</v>
      </c>
      <c r="AS33" s="30">
        <v>0</v>
      </c>
      <c r="AT33" s="30">
        <v>0</v>
      </c>
      <c r="AU33" s="30">
        <v>116</v>
      </c>
      <c r="AX33" s="2">
        <f t="shared" si="0"/>
        <v>160160</v>
      </c>
      <c r="AY33" s="32">
        <f t="shared" si="1"/>
        <v>158400</v>
      </c>
      <c r="AZ33" s="186">
        <f t="shared" si="2"/>
        <v>0.510089429030039</v>
      </c>
      <c r="BA33" s="186">
        <f t="shared" si="3"/>
        <v>0.052360487507797614</v>
      </c>
      <c r="BB33" s="186">
        <f t="shared" si="4"/>
        <v>0.282589077675289</v>
      </c>
      <c r="BC33" s="53">
        <f t="shared" si="88"/>
        <v>180000</v>
      </c>
      <c r="BD33" s="53">
        <f t="shared" si="5"/>
        <v>95614.7185060909</v>
      </c>
      <c r="BE33" s="53">
        <f t="shared" si="6"/>
        <v>9814.814793201549</v>
      </c>
      <c r="BF33" s="53">
        <f t="shared" si="7"/>
        <v>52970.46670070756</v>
      </c>
      <c r="BG33" s="53"/>
      <c r="BH33" s="53">
        <f t="shared" si="89"/>
        <v>7</v>
      </c>
      <c r="BI33" s="53">
        <f t="shared" si="90"/>
        <v>7</v>
      </c>
      <c r="BJ33" s="53">
        <f t="shared" si="91"/>
        <v>3</v>
      </c>
      <c r="BK33" s="53">
        <f t="shared" si="92"/>
        <v>5</v>
      </c>
      <c r="BL33" s="53"/>
      <c r="BM33" s="53">
        <f t="shared" si="93"/>
        <v>3</v>
      </c>
      <c r="BN33" s="53">
        <f t="shared" si="94"/>
        <v>3</v>
      </c>
      <c r="BO33" s="53">
        <f t="shared" si="95"/>
        <v>2</v>
      </c>
      <c r="BP33" s="53">
        <f t="shared" si="96"/>
        <v>0</v>
      </c>
      <c r="BQ33" s="53"/>
      <c r="BR33" s="53">
        <f t="shared" si="97"/>
        <v>9.75</v>
      </c>
      <c r="BS33" s="53">
        <f t="shared" si="98"/>
        <v>51.300000000000004</v>
      </c>
      <c r="BT33" s="53">
        <f t="shared" si="99"/>
        <v>11</v>
      </c>
      <c r="BU33" s="53">
        <f t="shared" si="8"/>
        <v>34584.00000000001</v>
      </c>
      <c r="BV33" s="53"/>
      <c r="BW33" s="53">
        <f t="shared" si="100"/>
        <v>20800</v>
      </c>
      <c r="BX33" s="53">
        <f t="shared" si="101"/>
        <v>-29544.000000000007</v>
      </c>
      <c r="BY33" s="53">
        <f t="shared" si="9"/>
        <v>-26582.54794327082</v>
      </c>
      <c r="BZ33" s="240">
        <f t="shared" si="102"/>
        <v>7.944450000000001</v>
      </c>
      <c r="CC33" s="1">
        <f t="shared" si="10"/>
        <v>0</v>
      </c>
      <c r="CD33" s="195">
        <f t="shared" si="11"/>
        <v>5746.4</v>
      </c>
      <c r="CE33" s="195">
        <f t="shared" si="12"/>
        <v>5746.4</v>
      </c>
      <c r="CF33" s="239">
        <f t="shared" si="13"/>
        <v>2.9</v>
      </c>
      <c r="CG33" s="239">
        <f t="shared" si="13"/>
        <v>19.92</v>
      </c>
      <c r="CH33" s="1">
        <f t="shared" si="103"/>
        <v>9561.6</v>
      </c>
      <c r="CK33" s="211">
        <f t="shared" si="14"/>
        <v>0</v>
      </c>
      <c r="CL33" s="211">
        <f t="shared" si="15"/>
        <v>0</v>
      </c>
      <c r="CM33" s="211">
        <f t="shared" si="16"/>
        <v>0</v>
      </c>
      <c r="CQ33" s="1">
        <f t="shared" si="104"/>
        <v>1</v>
      </c>
      <c r="CR33" s="195">
        <f t="shared" si="17"/>
        <v>10000</v>
      </c>
      <c r="CS33" s="195"/>
      <c r="CT33" s="195"/>
      <c r="CV33" s="199">
        <f t="shared" si="18"/>
        <v>92.45760577501503</v>
      </c>
      <c r="CW33" s="199">
        <f t="shared" si="19"/>
        <v>0</v>
      </c>
      <c r="CX33" s="199">
        <f t="shared" si="20"/>
        <v>0</v>
      </c>
      <c r="CY33" s="199">
        <f t="shared" si="21"/>
        <v>0</v>
      </c>
      <c r="CZ33" s="199">
        <f t="shared" si="22"/>
        <v>0</v>
      </c>
      <c r="DA33" s="199">
        <f t="shared" si="23"/>
        <v>0</v>
      </c>
      <c r="DB33" s="199">
        <f t="shared" si="24"/>
        <v>18.218247443352713</v>
      </c>
      <c r="DC33" s="199">
        <f t="shared" si="25"/>
        <v>0</v>
      </c>
      <c r="DD33" s="199">
        <f t="shared" si="26"/>
        <v>0</v>
      </c>
      <c r="DE33" s="199">
        <f t="shared" si="27"/>
        <v>0</v>
      </c>
      <c r="DF33" s="199">
        <f t="shared" si="28"/>
        <v>0</v>
      </c>
      <c r="DG33" s="199">
        <f t="shared" si="29"/>
        <v>47.74782434329256</v>
      </c>
      <c r="DH33" s="199">
        <f t="shared" si="30"/>
        <v>0</v>
      </c>
      <c r="DI33" s="199">
        <f t="shared" si="31"/>
        <v>0</v>
      </c>
      <c r="DJ33" s="199">
        <f t="shared" si="32"/>
        <v>7.105116502907559</v>
      </c>
      <c r="DK33" s="199">
        <f t="shared" si="33"/>
        <v>5.32883737718067</v>
      </c>
      <c r="DL33" s="199">
        <f t="shared" si="34"/>
        <v>0</v>
      </c>
      <c r="DM33" s="199">
        <f t="shared" si="35"/>
        <v>7.924937637858431</v>
      </c>
      <c r="DN33" s="199">
        <f t="shared" si="36"/>
        <v>0</v>
      </c>
      <c r="DO33" s="199">
        <f t="shared" si="37"/>
        <v>0</v>
      </c>
      <c r="DP33" s="199">
        <f t="shared" si="38"/>
        <v>0</v>
      </c>
      <c r="DQ33" s="199">
        <f t="shared" si="39"/>
        <v>0</v>
      </c>
      <c r="DR33" s="199">
        <f t="shared" si="40"/>
        <v>1.801804692199719</v>
      </c>
      <c r="DS33" s="199">
        <f t="shared" si="41"/>
        <v>0</v>
      </c>
      <c r="DT33" s="199">
        <f t="shared" si="42"/>
        <v>0</v>
      </c>
      <c r="DU33" s="199">
        <f t="shared" si="43"/>
        <v>0</v>
      </c>
      <c r="DV33" s="199">
        <f t="shared" si="44"/>
        <v>0.001167836374573892</v>
      </c>
      <c r="DW33" s="199">
        <f t="shared" si="45"/>
        <v>0</v>
      </c>
      <c r="DX33" s="199">
        <f t="shared" si="46"/>
        <v>0</v>
      </c>
      <c r="DY33" s="199">
        <f t="shared" si="47"/>
        <v>0</v>
      </c>
      <c r="DZ33" s="199">
        <f t="shared" si="48"/>
        <v>0.007508854220974532</v>
      </c>
      <c r="EA33" s="199">
        <f t="shared" si="49"/>
        <v>91.96411148987366</v>
      </c>
      <c r="EB33" s="199">
        <f t="shared" si="50"/>
        <v>10.613830840184479</v>
      </c>
      <c r="EC33" s="202">
        <f t="shared" si="51"/>
        <v>283.17099279246037</v>
      </c>
      <c r="ED33" s="202">
        <f>SUM(CV33:DI33,DS33:DT33,DW33,DY33,EA33:EB33)</f>
        <v>261.00161989171846</v>
      </c>
      <c r="EE33" s="203">
        <f t="shared" si="52"/>
        <v>43.20434977799422</v>
      </c>
      <c r="EF33" s="199"/>
      <c r="EI33" s="1">
        <f t="shared" si="53"/>
        <v>0.5699766927982697</v>
      </c>
      <c r="EJ33" s="1">
        <f t="shared" si="54"/>
        <v>0</v>
      </c>
      <c r="EK33" s="1">
        <f t="shared" si="55"/>
        <v>0</v>
      </c>
      <c r="EL33" s="1">
        <f t="shared" si="56"/>
        <v>0</v>
      </c>
      <c r="EM33" s="1">
        <f t="shared" si="57"/>
        <v>0</v>
      </c>
      <c r="EN33" s="1">
        <f t="shared" si="58"/>
        <v>0</v>
      </c>
      <c r="EO33" s="1">
        <f t="shared" si="59"/>
        <v>0.2644897670328</v>
      </c>
      <c r="EP33" s="1">
        <f t="shared" si="60"/>
        <v>0</v>
      </c>
      <c r="EQ33" s="1">
        <f t="shared" si="61"/>
        <v>0</v>
      </c>
      <c r="ER33" s="1">
        <f t="shared" si="62"/>
        <v>0</v>
      </c>
      <c r="ES33" s="1">
        <f t="shared" si="63"/>
        <v>0</v>
      </c>
      <c r="ET33" s="1">
        <f t="shared" si="64"/>
        <v>0.14589546715944002</v>
      </c>
      <c r="EU33" s="1">
        <f t="shared" si="65"/>
        <v>0</v>
      </c>
      <c r="EV33" s="1">
        <f t="shared" si="66"/>
        <v>0</v>
      </c>
      <c r="EW33" s="1">
        <f t="shared" si="67"/>
        <v>0.10099701098903999</v>
      </c>
      <c r="EX33" s="1">
        <f t="shared" si="68"/>
        <v>0.10099701098903999</v>
      </c>
      <c r="EY33" s="1">
        <f t="shared" si="69"/>
        <v>0</v>
      </c>
      <c r="EZ33" s="1">
        <f t="shared" si="70"/>
        <v>0.10099701098903999</v>
      </c>
      <c r="FA33" s="1">
        <f t="shared" si="71"/>
        <v>0</v>
      </c>
      <c r="FB33" s="1">
        <f t="shared" si="72"/>
        <v>0</v>
      </c>
      <c r="FC33" s="1">
        <f t="shared" si="73"/>
        <v>0</v>
      </c>
      <c r="FD33" s="1">
        <f t="shared" si="74"/>
        <v>0</v>
      </c>
      <c r="FE33" s="1">
        <f t="shared" si="75"/>
        <v>0.059350736407200004</v>
      </c>
      <c r="FF33" s="1">
        <f t="shared" si="76"/>
        <v>0</v>
      </c>
      <c r="FG33" s="1">
        <f t="shared" si="77"/>
        <v>0</v>
      </c>
      <c r="FH33" s="1">
        <f t="shared" si="78"/>
        <v>0</v>
      </c>
      <c r="FI33" s="1">
        <f t="shared" si="79"/>
        <v>0</v>
      </c>
      <c r="FJ33" s="1">
        <f t="shared" si="80"/>
        <v>0</v>
      </c>
      <c r="FK33" s="1">
        <f t="shared" si="81"/>
        <v>0</v>
      </c>
      <c r="FL33" s="1">
        <f t="shared" si="82"/>
        <v>0</v>
      </c>
      <c r="FM33" s="1">
        <f t="shared" si="83"/>
        <v>0.0057571153094400015</v>
      </c>
      <c r="FN33" s="1">
        <f t="shared" si="84"/>
        <v>7.46760736344</v>
      </c>
      <c r="FO33" s="1">
        <f>IF(O33=0,0,SUM(EI33:FN33))</f>
        <v>8.81606817511427</v>
      </c>
    </row>
    <row r="34" spans="1:171" ht="12.75">
      <c r="A34" s="24">
        <v>76</v>
      </c>
      <c r="B34" s="25" t="s">
        <v>141</v>
      </c>
      <c r="C34" s="25" t="s">
        <v>142</v>
      </c>
      <c r="D34" s="26" t="s">
        <v>143</v>
      </c>
      <c r="E34" s="26">
        <v>2</v>
      </c>
      <c r="F34" s="26" t="s">
        <v>144</v>
      </c>
      <c r="G34" s="26" t="s">
        <v>74</v>
      </c>
      <c r="H34" s="26" t="s">
        <v>75</v>
      </c>
      <c r="I34" s="26">
        <v>3</v>
      </c>
      <c r="J34" s="26"/>
      <c r="K34" s="26">
        <f t="shared" si="85"/>
        <v>1</v>
      </c>
      <c r="L34" s="26">
        <f t="shared" si="86"/>
        <v>1</v>
      </c>
      <c r="M34" s="24">
        <v>444600</v>
      </c>
      <c r="N34" s="24">
        <v>930230</v>
      </c>
      <c r="O34" s="27">
        <f t="shared" si="87"/>
        <v>279300</v>
      </c>
      <c r="P34" s="28">
        <v>279300</v>
      </c>
      <c r="Q34" s="28">
        <v>294000</v>
      </c>
      <c r="R34" s="28">
        <v>279000</v>
      </c>
      <c r="S34" s="29">
        <v>70800</v>
      </c>
      <c r="T34" s="29">
        <v>0</v>
      </c>
      <c r="U34" s="29">
        <v>0</v>
      </c>
      <c r="V34" s="29">
        <v>0</v>
      </c>
      <c r="W34" s="28">
        <v>86500</v>
      </c>
      <c r="X34" s="29">
        <v>0</v>
      </c>
      <c r="Y34" s="29">
        <v>0</v>
      </c>
      <c r="Z34" s="28">
        <v>0</v>
      </c>
      <c r="AA34" s="29">
        <v>0</v>
      </c>
      <c r="AB34" s="28">
        <v>37500</v>
      </c>
      <c r="AC34" s="28">
        <v>13800</v>
      </c>
      <c r="AD34" s="28">
        <v>0</v>
      </c>
      <c r="AE34" s="28">
        <v>105000</v>
      </c>
      <c r="AF34" s="28">
        <v>0</v>
      </c>
      <c r="AG34" s="28">
        <v>34000</v>
      </c>
      <c r="AH34" s="28">
        <v>70100</v>
      </c>
      <c r="AI34" s="28">
        <v>0</v>
      </c>
      <c r="AJ34" s="28">
        <v>0</v>
      </c>
      <c r="AK34" s="28">
        <v>101500</v>
      </c>
      <c r="AL34" s="28">
        <v>0</v>
      </c>
      <c r="AM34" s="30">
        <v>12500</v>
      </c>
      <c r="AN34" s="31">
        <v>0</v>
      </c>
      <c r="AO34" s="30">
        <v>50000</v>
      </c>
      <c r="AP34" s="31">
        <v>6700</v>
      </c>
      <c r="AQ34" s="31">
        <v>21000</v>
      </c>
      <c r="AR34" s="31">
        <v>0</v>
      </c>
      <c r="AS34" s="31">
        <v>22000</v>
      </c>
      <c r="AT34" s="31">
        <v>115</v>
      </c>
      <c r="AU34" s="30">
        <v>999</v>
      </c>
      <c r="AX34" s="2">
        <f t="shared" si="0"/>
        <v>195360</v>
      </c>
      <c r="AY34" s="32">
        <f t="shared" si="1"/>
        <v>185592</v>
      </c>
      <c r="AZ34" s="186">
        <f t="shared" si="2"/>
        <v>0.4917445624618104</v>
      </c>
      <c r="BA34" s="186">
        <f t="shared" si="3"/>
        <v>0.04279176796370208</v>
      </c>
      <c r="BB34" s="186">
        <f t="shared" si="4"/>
        <v>0.30849985049207607</v>
      </c>
      <c r="BC34" s="53">
        <f t="shared" si="88"/>
        <v>279300</v>
      </c>
      <c r="BD34" s="53">
        <f t="shared" si="5"/>
        <v>108256.15661842379</v>
      </c>
      <c r="BE34" s="53">
        <f t="shared" si="6"/>
        <v>9420.48512232923</v>
      </c>
      <c r="BF34" s="53">
        <f t="shared" si="7"/>
        <v>67915.35825924698</v>
      </c>
      <c r="BG34" s="53"/>
      <c r="BH34" s="53">
        <f t="shared" si="89"/>
        <v>11</v>
      </c>
      <c r="BI34" s="53">
        <f t="shared" si="90"/>
        <v>8</v>
      </c>
      <c r="BJ34" s="53">
        <f t="shared" si="91"/>
        <v>3</v>
      </c>
      <c r="BK34" s="53">
        <f t="shared" si="92"/>
        <v>6</v>
      </c>
      <c r="BL34" s="53"/>
      <c r="BM34" s="53">
        <f t="shared" si="93"/>
        <v>5</v>
      </c>
      <c r="BN34" s="53">
        <f t="shared" si="94"/>
        <v>4</v>
      </c>
      <c r="BO34" s="53">
        <f t="shared" si="95"/>
        <v>2</v>
      </c>
      <c r="BP34" s="53">
        <f t="shared" si="96"/>
        <v>0</v>
      </c>
      <c r="BQ34" s="53"/>
      <c r="BR34" s="53">
        <f t="shared" si="97"/>
        <v>16.25</v>
      </c>
      <c r="BS34" s="53">
        <f t="shared" si="98"/>
        <v>68.4</v>
      </c>
      <c r="BT34" s="53">
        <f t="shared" si="99"/>
        <v>11</v>
      </c>
      <c r="BU34" s="53">
        <f t="shared" si="8"/>
        <v>45912</v>
      </c>
      <c r="BV34" s="53"/>
      <c r="BW34" s="53">
        <f t="shared" si="100"/>
        <v>28600</v>
      </c>
      <c r="BX34" s="53">
        <f t="shared" si="101"/>
        <v>-38982</v>
      </c>
      <c r="BY34" s="53">
        <f t="shared" si="9"/>
        <v>-34910.00342199737</v>
      </c>
      <c r="BZ34" s="240">
        <f t="shared" si="102"/>
        <v>10.386849999999999</v>
      </c>
      <c r="CC34" s="1">
        <f t="shared" si="10"/>
        <v>0</v>
      </c>
      <c r="CD34" s="195">
        <f t="shared" si="11"/>
        <v>8619.599999999999</v>
      </c>
      <c r="CE34" s="195">
        <f t="shared" si="12"/>
        <v>8619.599999999999</v>
      </c>
      <c r="CF34" s="239">
        <f t="shared" si="13"/>
        <v>4.35</v>
      </c>
      <c r="CG34" s="239">
        <f t="shared" si="13"/>
        <v>29.880000000000003</v>
      </c>
      <c r="CH34" s="1">
        <f t="shared" si="103"/>
        <v>14342.400000000001</v>
      </c>
      <c r="CK34" s="211">
        <f t="shared" si="14"/>
        <v>0</v>
      </c>
      <c r="CL34" s="211">
        <f t="shared" si="15"/>
        <v>0</v>
      </c>
      <c r="CM34" s="211">
        <f t="shared" si="16"/>
        <v>0</v>
      </c>
      <c r="CQ34" s="1">
        <f t="shared" si="104"/>
        <v>1</v>
      </c>
      <c r="CR34" s="195">
        <f t="shared" si="17"/>
        <v>10000</v>
      </c>
      <c r="CS34" s="195"/>
      <c r="CT34" s="195"/>
      <c r="CV34" s="199">
        <f t="shared" si="18"/>
        <v>149.35459394425504</v>
      </c>
      <c r="CW34" s="199">
        <f t="shared" si="19"/>
        <v>83.78391818728694</v>
      </c>
      <c r="CX34" s="199">
        <f t="shared" si="20"/>
        <v>139.37960296771604</v>
      </c>
      <c r="CY34" s="199">
        <f t="shared" si="21"/>
        <v>0</v>
      </c>
      <c r="CZ34" s="199">
        <f t="shared" si="22"/>
        <v>0</v>
      </c>
      <c r="DA34" s="199">
        <f t="shared" si="23"/>
        <v>0</v>
      </c>
      <c r="DB34" s="199">
        <f t="shared" si="24"/>
        <v>22.51254862642871</v>
      </c>
      <c r="DC34" s="199">
        <f t="shared" si="25"/>
        <v>0</v>
      </c>
      <c r="DD34" s="199">
        <f t="shared" si="26"/>
        <v>0</v>
      </c>
      <c r="DE34" s="199">
        <f t="shared" si="27"/>
        <v>0</v>
      </c>
      <c r="DF34" s="199">
        <f t="shared" si="28"/>
        <v>0</v>
      </c>
      <c r="DG34" s="199">
        <f t="shared" si="29"/>
        <v>49.73731702426308</v>
      </c>
      <c r="DH34" s="199">
        <f t="shared" si="30"/>
        <v>18.303332664928814</v>
      </c>
      <c r="DI34" s="199">
        <f t="shared" si="31"/>
        <v>0</v>
      </c>
      <c r="DJ34" s="199">
        <f t="shared" si="32"/>
        <v>14.346869861640263</v>
      </c>
      <c r="DK34" s="199">
        <f t="shared" si="33"/>
        <v>0</v>
      </c>
      <c r="DL34" s="199">
        <f t="shared" si="34"/>
        <v>4.645653098054943</v>
      </c>
      <c r="DM34" s="199">
        <f t="shared" si="35"/>
        <v>9.57824359334269</v>
      </c>
      <c r="DN34" s="199">
        <f t="shared" si="36"/>
        <v>0</v>
      </c>
      <c r="DO34" s="199">
        <f t="shared" si="37"/>
        <v>0</v>
      </c>
      <c r="DP34" s="199">
        <f t="shared" si="38"/>
        <v>13.868640866252255</v>
      </c>
      <c r="DQ34" s="199">
        <f t="shared" si="39"/>
        <v>0</v>
      </c>
      <c r="DR34" s="199">
        <f t="shared" si="40"/>
        <v>1.8768798877080406</v>
      </c>
      <c r="DS34" s="199">
        <f t="shared" si="41"/>
        <v>0</v>
      </c>
      <c r="DT34" s="199">
        <f t="shared" si="42"/>
        <v>143.47704030479244</v>
      </c>
      <c r="DU34" s="199">
        <f t="shared" si="43"/>
        <v>0.001956125927411269</v>
      </c>
      <c r="DV34" s="199">
        <f t="shared" si="44"/>
        <v>0.006131140966512933</v>
      </c>
      <c r="DW34" s="199">
        <f t="shared" si="45"/>
        <v>0</v>
      </c>
      <c r="DX34" s="199">
        <f t="shared" si="46"/>
        <v>1.424093041908963</v>
      </c>
      <c r="DY34" s="199">
        <f t="shared" si="47"/>
        <v>4.758099057549629</v>
      </c>
      <c r="DZ34" s="199">
        <f t="shared" si="48"/>
        <v>0.06466677040304791</v>
      </c>
      <c r="EA34" s="199">
        <f t="shared" si="49"/>
        <v>107.75128396230197</v>
      </c>
      <c r="EB34" s="199">
        <f t="shared" si="50"/>
        <v>14.581220587928613</v>
      </c>
      <c r="EC34" s="202">
        <f t="shared" si="51"/>
        <v>779.4520917136554</v>
      </c>
      <c r="ED34" s="202">
        <f>SUM(CV34:DI34,DS34:DT34,DW34,DY34,EA34:EB34)</f>
        <v>733.6389573274512</v>
      </c>
      <c r="EE34" s="203">
        <f t="shared" si="52"/>
        <v>121.44136935352367</v>
      </c>
      <c r="EF34" s="199"/>
      <c r="EI34" s="1">
        <f t="shared" si="53"/>
        <v>0.5699766927982697</v>
      </c>
      <c r="EJ34" s="1">
        <f t="shared" si="54"/>
        <v>0.010606863429336002</v>
      </c>
      <c r="EK34" s="1">
        <f t="shared" si="55"/>
        <v>0.24682268761392</v>
      </c>
      <c r="EL34" s="1">
        <f t="shared" si="56"/>
        <v>0</v>
      </c>
      <c r="EM34" s="1">
        <f t="shared" si="57"/>
        <v>0</v>
      </c>
      <c r="EN34" s="1">
        <f t="shared" si="58"/>
        <v>0</v>
      </c>
      <c r="EO34" s="1">
        <f t="shared" si="59"/>
        <v>0.2644897670328</v>
      </c>
      <c r="EP34" s="1">
        <f t="shared" si="60"/>
        <v>0</v>
      </c>
      <c r="EQ34" s="1">
        <f t="shared" si="61"/>
        <v>0</v>
      </c>
      <c r="ER34" s="1">
        <f t="shared" si="62"/>
        <v>0</v>
      </c>
      <c r="ES34" s="1">
        <f t="shared" si="63"/>
        <v>0</v>
      </c>
      <c r="ET34" s="1">
        <f t="shared" si="64"/>
        <v>0.14589546715944002</v>
      </c>
      <c r="EU34" s="1">
        <f t="shared" si="65"/>
        <v>0.14589546715944002</v>
      </c>
      <c r="EV34" s="1">
        <f t="shared" si="66"/>
        <v>0</v>
      </c>
      <c r="EW34" s="1">
        <f t="shared" si="67"/>
        <v>0.10099701098903999</v>
      </c>
      <c r="EX34" s="1">
        <f t="shared" si="68"/>
        <v>0</v>
      </c>
      <c r="EY34" s="1">
        <f t="shared" si="69"/>
        <v>0.059350736407200004</v>
      </c>
      <c r="EZ34" s="1">
        <f t="shared" si="70"/>
        <v>0.10099701098903999</v>
      </c>
      <c r="FA34" s="1">
        <f t="shared" si="71"/>
        <v>0</v>
      </c>
      <c r="FB34" s="1">
        <f t="shared" si="72"/>
        <v>0</v>
      </c>
      <c r="FC34" s="1">
        <f t="shared" si="73"/>
        <v>0.10099701098903999</v>
      </c>
      <c r="FD34" s="1">
        <f t="shared" si="74"/>
        <v>0</v>
      </c>
      <c r="FE34" s="1">
        <f t="shared" si="75"/>
        <v>0.059350736407200004</v>
      </c>
      <c r="FF34" s="1">
        <f t="shared" si="76"/>
        <v>0</v>
      </c>
      <c r="FG34" s="1">
        <f t="shared" si="77"/>
        <v>0.10099701098903999</v>
      </c>
      <c r="FH34" s="1">
        <f t="shared" si="78"/>
        <v>0</v>
      </c>
      <c r="FI34" s="1">
        <f t="shared" si="79"/>
        <v>0</v>
      </c>
      <c r="FJ34" s="1">
        <f t="shared" si="80"/>
        <v>0</v>
      </c>
      <c r="FK34" s="1">
        <f t="shared" si="81"/>
        <v>0</v>
      </c>
      <c r="FL34" s="1">
        <f t="shared" si="82"/>
        <v>4.263919336981805</v>
      </c>
      <c r="FM34" s="1">
        <f t="shared" si="83"/>
        <v>0.0057571153094400015</v>
      </c>
      <c r="FN34" s="1">
        <f t="shared" si="84"/>
        <v>7.46760736344</v>
      </c>
      <c r="FO34" s="1">
        <f>IF(O34=0,0,SUM(EI34:FN34))</f>
        <v>13.643660277695009</v>
      </c>
    </row>
    <row r="35" spans="1:171" ht="12.75">
      <c r="A35" s="24">
        <v>77</v>
      </c>
      <c r="B35" s="25" t="s">
        <v>117</v>
      </c>
      <c r="C35" s="25" t="s">
        <v>145</v>
      </c>
      <c r="D35" s="26" t="s">
        <v>143</v>
      </c>
      <c r="E35" s="26">
        <v>2</v>
      </c>
      <c r="F35" s="26" t="s">
        <v>144</v>
      </c>
      <c r="G35" s="26" t="s">
        <v>74</v>
      </c>
      <c r="H35" s="26" t="s">
        <v>75</v>
      </c>
      <c r="I35" s="26">
        <v>3</v>
      </c>
      <c r="J35" s="26"/>
      <c r="K35" s="26">
        <f t="shared" si="85"/>
        <v>1</v>
      </c>
      <c r="L35" s="26">
        <f t="shared" si="86"/>
        <v>1</v>
      </c>
      <c r="M35" s="24">
        <v>445053</v>
      </c>
      <c r="N35" s="24">
        <v>930029</v>
      </c>
      <c r="O35" s="27">
        <f t="shared" si="87"/>
        <v>70000</v>
      </c>
      <c r="P35" s="28">
        <v>70000</v>
      </c>
      <c r="Q35" s="28">
        <v>79000</v>
      </c>
      <c r="R35" s="28">
        <v>32000</v>
      </c>
      <c r="S35" s="29">
        <v>0</v>
      </c>
      <c r="T35" s="29">
        <v>0</v>
      </c>
      <c r="U35" s="29">
        <v>0</v>
      </c>
      <c r="V35" s="29">
        <v>0</v>
      </c>
      <c r="W35" s="28">
        <v>26000</v>
      </c>
      <c r="X35" s="29">
        <v>0</v>
      </c>
      <c r="Y35" s="29">
        <v>0</v>
      </c>
      <c r="Z35" s="28">
        <v>0</v>
      </c>
      <c r="AA35" s="29">
        <v>0</v>
      </c>
      <c r="AB35" s="28">
        <v>20500</v>
      </c>
      <c r="AC35" s="28">
        <v>0</v>
      </c>
      <c r="AD35" s="28">
        <v>0</v>
      </c>
      <c r="AE35" s="28">
        <v>21000</v>
      </c>
      <c r="AF35" s="28">
        <v>0</v>
      </c>
      <c r="AG35" s="28">
        <v>7500</v>
      </c>
      <c r="AH35" s="28">
        <v>22000</v>
      </c>
      <c r="AI35" s="28">
        <v>0</v>
      </c>
      <c r="AJ35" s="28">
        <v>0</v>
      </c>
      <c r="AK35" s="28">
        <v>27000</v>
      </c>
      <c r="AL35" s="28">
        <v>0</v>
      </c>
      <c r="AM35" s="30">
        <v>5500</v>
      </c>
      <c r="AN35" s="31">
        <v>0</v>
      </c>
      <c r="AO35" s="30">
        <v>13000</v>
      </c>
      <c r="AP35" s="31">
        <v>2000</v>
      </c>
      <c r="AQ35" s="31">
        <v>7000</v>
      </c>
      <c r="AR35" s="31">
        <v>0</v>
      </c>
      <c r="AS35" s="31">
        <v>0</v>
      </c>
      <c r="AT35" s="31">
        <v>9</v>
      </c>
      <c r="AU35" s="30">
        <v>112</v>
      </c>
      <c r="AX35" s="2">
        <f t="shared" si="0"/>
        <v>58080</v>
      </c>
      <c r="AY35" s="32">
        <f t="shared" si="1"/>
        <v>51463.2911392405</v>
      </c>
      <c r="AZ35" s="186">
        <f t="shared" si="2"/>
        <v>0.4917445624618104</v>
      </c>
      <c r="BA35" s="186">
        <f t="shared" si="3"/>
        <v>0.04279176796370208</v>
      </c>
      <c r="BB35" s="186">
        <f t="shared" si="4"/>
        <v>0.30849985049207607</v>
      </c>
      <c r="BC35" s="53">
        <f t="shared" si="88"/>
        <v>70000</v>
      </c>
      <c r="BD35" s="53">
        <f t="shared" si="5"/>
        <v>30018.632837994963</v>
      </c>
      <c r="BE35" s="53">
        <f t="shared" si="6"/>
        <v>2612.230961050653</v>
      </c>
      <c r="BF35" s="53">
        <f t="shared" si="7"/>
        <v>18832.427340194885</v>
      </c>
      <c r="BG35" s="53"/>
      <c r="BH35" s="53">
        <f t="shared" si="89"/>
        <v>4</v>
      </c>
      <c r="BI35" s="53">
        <f t="shared" si="90"/>
        <v>4</v>
      </c>
      <c r="BJ35" s="53">
        <f t="shared" si="91"/>
        <v>3</v>
      </c>
      <c r="BK35" s="53">
        <f t="shared" si="92"/>
        <v>3</v>
      </c>
      <c r="BL35" s="53"/>
      <c r="BM35" s="53">
        <f t="shared" si="93"/>
        <v>2</v>
      </c>
      <c r="BN35" s="53">
        <f t="shared" si="94"/>
        <v>2</v>
      </c>
      <c r="BO35" s="53">
        <f t="shared" si="95"/>
        <v>2</v>
      </c>
      <c r="BP35" s="53">
        <f t="shared" si="96"/>
        <v>0</v>
      </c>
      <c r="BQ35" s="53"/>
      <c r="BR35" s="53">
        <f t="shared" si="97"/>
        <v>6.5</v>
      </c>
      <c r="BS35" s="53">
        <f t="shared" si="98"/>
        <v>34.2</v>
      </c>
      <c r="BT35" s="53">
        <f t="shared" si="99"/>
        <v>11</v>
      </c>
      <c r="BU35" s="53">
        <f t="shared" si="8"/>
        <v>24816</v>
      </c>
      <c r="BV35" s="53"/>
      <c r="BW35" s="53">
        <f t="shared" si="100"/>
        <v>15600</v>
      </c>
      <c r="BX35" s="53">
        <f t="shared" si="101"/>
        <v>-21036</v>
      </c>
      <c r="BY35" s="53">
        <f t="shared" si="9"/>
        <v>-18814.91095745311</v>
      </c>
      <c r="BZ35" s="240">
        <f t="shared" si="102"/>
        <v>5.791300000000001</v>
      </c>
      <c r="CC35" s="1">
        <f t="shared" si="10"/>
        <v>0</v>
      </c>
      <c r="CD35" s="195">
        <f t="shared" si="11"/>
        <v>2873.2</v>
      </c>
      <c r="CE35" s="195">
        <f t="shared" si="12"/>
        <v>2873.2</v>
      </c>
      <c r="CF35" s="239">
        <f t="shared" si="13"/>
        <v>1.45</v>
      </c>
      <c r="CG35" s="239">
        <f t="shared" si="13"/>
        <v>9.96</v>
      </c>
      <c r="CH35" s="1">
        <f t="shared" si="103"/>
        <v>4780.8</v>
      </c>
      <c r="CK35" s="211">
        <f t="shared" si="14"/>
        <v>0</v>
      </c>
      <c r="CL35" s="211">
        <f t="shared" si="15"/>
        <v>0</v>
      </c>
      <c r="CM35" s="211">
        <f t="shared" si="16"/>
        <v>0</v>
      </c>
      <c r="CQ35" s="1">
        <f t="shared" si="104"/>
        <v>1</v>
      </c>
      <c r="CR35" s="195">
        <f t="shared" si="17"/>
        <v>10000</v>
      </c>
      <c r="CS35" s="195"/>
      <c r="CT35" s="195"/>
      <c r="CV35" s="199">
        <f t="shared" si="18"/>
        <v>40.132697012231795</v>
      </c>
      <c r="CW35" s="199">
        <f t="shared" si="19"/>
        <v>9.609625025065169</v>
      </c>
      <c r="CX35" s="199">
        <f t="shared" si="20"/>
        <v>0</v>
      </c>
      <c r="CY35" s="199">
        <f t="shared" si="21"/>
        <v>0</v>
      </c>
      <c r="CZ35" s="199">
        <f t="shared" si="22"/>
        <v>0</v>
      </c>
      <c r="DA35" s="199">
        <f t="shared" si="23"/>
        <v>0</v>
      </c>
      <c r="DB35" s="199">
        <f t="shared" si="24"/>
        <v>6.766777621816723</v>
      </c>
      <c r="DC35" s="199">
        <f t="shared" si="25"/>
        <v>0</v>
      </c>
      <c r="DD35" s="199">
        <f t="shared" si="26"/>
        <v>0</v>
      </c>
      <c r="DE35" s="199">
        <f t="shared" si="27"/>
        <v>0</v>
      </c>
      <c r="DF35" s="199">
        <f t="shared" si="28"/>
        <v>0</v>
      </c>
      <c r="DG35" s="199">
        <f t="shared" si="29"/>
        <v>27.18973330659715</v>
      </c>
      <c r="DH35" s="199">
        <f t="shared" si="30"/>
        <v>0</v>
      </c>
      <c r="DI35" s="199">
        <f t="shared" si="31"/>
        <v>0</v>
      </c>
      <c r="DJ35" s="199">
        <f t="shared" si="32"/>
        <v>2.8693739723280527</v>
      </c>
      <c r="DK35" s="199">
        <f t="shared" si="33"/>
        <v>0</v>
      </c>
      <c r="DL35" s="199">
        <f t="shared" si="34"/>
        <v>1.0247764186885904</v>
      </c>
      <c r="DM35" s="199">
        <f t="shared" si="35"/>
        <v>3.0060108281531983</v>
      </c>
      <c r="DN35" s="199">
        <f t="shared" si="36"/>
        <v>0</v>
      </c>
      <c r="DO35" s="199">
        <f t="shared" si="37"/>
        <v>0</v>
      </c>
      <c r="DP35" s="199">
        <f t="shared" si="38"/>
        <v>3.689195107278925</v>
      </c>
      <c r="DQ35" s="199">
        <f t="shared" si="39"/>
        <v>0</v>
      </c>
      <c r="DR35" s="199">
        <f t="shared" si="40"/>
        <v>0.8258271505915379</v>
      </c>
      <c r="DS35" s="199">
        <f t="shared" si="41"/>
        <v>0</v>
      </c>
      <c r="DT35" s="199">
        <f t="shared" si="42"/>
        <v>37.30403047924604</v>
      </c>
      <c r="DU35" s="199">
        <f t="shared" si="43"/>
        <v>0.000583918187286946</v>
      </c>
      <c r="DV35" s="199">
        <f t="shared" si="44"/>
        <v>0.002043713655504311</v>
      </c>
      <c r="DW35" s="199">
        <f t="shared" si="45"/>
        <v>0</v>
      </c>
      <c r="DX35" s="199">
        <f t="shared" si="46"/>
        <v>0</v>
      </c>
      <c r="DY35" s="199">
        <f t="shared" si="47"/>
        <v>0.37237296972127526</v>
      </c>
      <c r="DZ35" s="199">
        <f t="shared" si="48"/>
        <v>0.00724992821335472</v>
      </c>
      <c r="EA35" s="199">
        <f t="shared" si="49"/>
        <v>29.87863537856655</v>
      </c>
      <c r="EB35" s="199">
        <f t="shared" si="50"/>
        <v>3.809665559822627</v>
      </c>
      <c r="EC35" s="202">
        <f t="shared" si="51"/>
        <v>166.48859839016376</v>
      </c>
      <c r="ED35" s="202">
        <f>SUM(CV35:DI35,DS35:DT35,DW35,DY35,EA35:EB35)</f>
        <v>155.06353735306732</v>
      </c>
      <c r="EE35" s="203">
        <f t="shared" si="52"/>
        <v>25.66811389291137</v>
      </c>
      <c r="EF35" s="199"/>
      <c r="EI35" s="1">
        <f t="shared" si="53"/>
        <v>0.5699766927982697</v>
      </c>
      <c r="EJ35" s="1">
        <f t="shared" si="54"/>
        <v>0.010606863429336002</v>
      </c>
      <c r="EK35" s="1">
        <f t="shared" si="55"/>
        <v>0</v>
      </c>
      <c r="EL35" s="1">
        <f t="shared" si="56"/>
        <v>0</v>
      </c>
      <c r="EM35" s="1">
        <f t="shared" si="57"/>
        <v>0</v>
      </c>
      <c r="EN35" s="1">
        <f t="shared" si="58"/>
        <v>0</v>
      </c>
      <c r="EO35" s="1">
        <f t="shared" si="59"/>
        <v>0.2644897670328</v>
      </c>
      <c r="EP35" s="1">
        <f t="shared" si="60"/>
        <v>0</v>
      </c>
      <c r="EQ35" s="1">
        <f t="shared" si="61"/>
        <v>0</v>
      </c>
      <c r="ER35" s="1">
        <f t="shared" si="62"/>
        <v>0</v>
      </c>
      <c r="ES35" s="1">
        <f t="shared" si="63"/>
        <v>0</v>
      </c>
      <c r="ET35" s="1">
        <f t="shared" si="64"/>
        <v>0.14589546715944002</v>
      </c>
      <c r="EU35" s="1">
        <f t="shared" si="65"/>
        <v>0</v>
      </c>
      <c r="EV35" s="1">
        <f t="shared" si="66"/>
        <v>0</v>
      </c>
      <c r="EW35" s="1">
        <f t="shared" si="67"/>
        <v>0.059350736407200004</v>
      </c>
      <c r="EX35" s="1">
        <f t="shared" si="68"/>
        <v>0</v>
      </c>
      <c r="EY35" s="1">
        <f t="shared" si="69"/>
        <v>0.059350736407200004</v>
      </c>
      <c r="EZ35" s="1">
        <f t="shared" si="70"/>
        <v>0.059350736407200004</v>
      </c>
      <c r="FA35" s="1">
        <f t="shared" si="71"/>
        <v>0</v>
      </c>
      <c r="FB35" s="1">
        <f t="shared" si="72"/>
        <v>0</v>
      </c>
      <c r="FC35" s="1">
        <f t="shared" si="73"/>
        <v>0.059350736407200004</v>
      </c>
      <c r="FD35" s="1">
        <f t="shared" si="74"/>
        <v>0</v>
      </c>
      <c r="FE35" s="1">
        <f t="shared" si="75"/>
        <v>0.059350736407200004</v>
      </c>
      <c r="FF35" s="1">
        <f t="shared" si="76"/>
        <v>0</v>
      </c>
      <c r="FG35" s="1">
        <f t="shared" si="77"/>
        <v>0.059350736407200004</v>
      </c>
      <c r="FH35" s="1">
        <f t="shared" si="78"/>
        <v>0</v>
      </c>
      <c r="FI35" s="1">
        <f t="shared" si="79"/>
        <v>0</v>
      </c>
      <c r="FJ35" s="1">
        <f t="shared" si="80"/>
        <v>0</v>
      </c>
      <c r="FK35" s="1">
        <f t="shared" si="81"/>
        <v>0</v>
      </c>
      <c r="FL35" s="1">
        <f t="shared" si="82"/>
        <v>4.300268812675172</v>
      </c>
      <c r="FM35" s="1">
        <f t="shared" si="83"/>
        <v>0.0057571153094400015</v>
      </c>
      <c r="FN35" s="1">
        <f t="shared" si="84"/>
        <v>7.46760736344</v>
      </c>
      <c r="FO35" s="1">
        <f>IF(O35=0,0,SUM(EI35:FN35))</f>
        <v>13.120706500287657</v>
      </c>
    </row>
    <row r="36" spans="1:171" ht="12.75">
      <c r="A36" s="24">
        <v>94</v>
      </c>
      <c r="B36" s="25" t="s">
        <v>146</v>
      </c>
      <c r="C36" s="25" t="s">
        <v>147</v>
      </c>
      <c r="D36" s="26" t="s">
        <v>148</v>
      </c>
      <c r="E36" s="26">
        <v>2</v>
      </c>
      <c r="F36" s="26" t="s">
        <v>144</v>
      </c>
      <c r="G36" s="26" t="s">
        <v>74</v>
      </c>
      <c r="H36" s="26" t="s">
        <v>75</v>
      </c>
      <c r="I36" s="26">
        <v>3</v>
      </c>
      <c r="J36" s="26"/>
      <c r="K36" s="26">
        <f t="shared" si="85"/>
        <v>1</v>
      </c>
      <c r="L36" s="26">
        <f t="shared" si="86"/>
        <v>1</v>
      </c>
      <c r="M36" s="24">
        <v>465102</v>
      </c>
      <c r="N36" s="24">
        <v>1005251</v>
      </c>
      <c r="O36" s="27">
        <f t="shared" si="87"/>
        <v>58000</v>
      </c>
      <c r="P36" s="28">
        <v>58000</v>
      </c>
      <c r="Q36" s="28">
        <v>60000</v>
      </c>
      <c r="R36" s="28">
        <v>0</v>
      </c>
      <c r="S36" s="29">
        <v>0</v>
      </c>
      <c r="T36" s="29">
        <v>0</v>
      </c>
      <c r="U36" s="29">
        <v>0</v>
      </c>
      <c r="V36" s="29">
        <v>0</v>
      </c>
      <c r="W36" s="28">
        <v>27000</v>
      </c>
      <c r="X36" s="29">
        <v>3600</v>
      </c>
      <c r="Y36" s="29">
        <v>0</v>
      </c>
      <c r="Z36" s="28">
        <v>0</v>
      </c>
      <c r="AA36" s="29">
        <v>0</v>
      </c>
      <c r="AB36" s="28">
        <v>0</v>
      </c>
      <c r="AC36" s="28">
        <v>12100</v>
      </c>
      <c r="AD36" s="28">
        <v>0</v>
      </c>
      <c r="AE36" s="28">
        <v>13600</v>
      </c>
      <c r="AF36" s="28">
        <v>4300</v>
      </c>
      <c r="AG36" s="28">
        <v>0</v>
      </c>
      <c r="AH36" s="28">
        <v>14000</v>
      </c>
      <c r="AI36" s="28">
        <v>0</v>
      </c>
      <c r="AJ36" s="28">
        <v>0</v>
      </c>
      <c r="AK36" s="28">
        <v>0</v>
      </c>
      <c r="AL36" s="28">
        <v>0</v>
      </c>
      <c r="AM36" s="30">
        <v>4400</v>
      </c>
      <c r="AN36" s="31">
        <v>0</v>
      </c>
      <c r="AO36" s="30">
        <v>0</v>
      </c>
      <c r="AP36" s="31">
        <v>0</v>
      </c>
      <c r="AQ36" s="31">
        <v>0</v>
      </c>
      <c r="AR36" s="31">
        <v>0</v>
      </c>
      <c r="AS36" s="31">
        <v>0</v>
      </c>
      <c r="AT36" s="31">
        <v>0</v>
      </c>
      <c r="AU36" s="30">
        <v>17</v>
      </c>
      <c r="AX36" s="2">
        <f t="shared" si="0"/>
        <v>52800</v>
      </c>
      <c r="AY36" s="32">
        <f t="shared" si="1"/>
        <v>51040</v>
      </c>
      <c r="AZ36" s="186">
        <f t="shared" si="2"/>
        <v>0.4917445624618104</v>
      </c>
      <c r="BA36" s="186">
        <f t="shared" si="3"/>
        <v>0.04279176796370208</v>
      </c>
      <c r="BB36" s="186">
        <f t="shared" si="4"/>
        <v>0.30849985049207607</v>
      </c>
      <c r="BC36" s="53">
        <f t="shared" si="88"/>
        <v>58000</v>
      </c>
      <c r="BD36" s="53">
        <f t="shared" si="5"/>
        <v>29771.726334132665</v>
      </c>
      <c r="BE36" s="53">
        <f t="shared" si="6"/>
        <v>2590.7450786870336</v>
      </c>
      <c r="BF36" s="53">
        <f t="shared" si="7"/>
        <v>18677.5285871803</v>
      </c>
      <c r="BG36" s="53"/>
      <c r="BH36" s="53">
        <f t="shared" si="89"/>
        <v>3</v>
      </c>
      <c r="BI36" s="53">
        <f t="shared" si="90"/>
        <v>4</v>
      </c>
      <c r="BJ36" s="53">
        <f t="shared" si="91"/>
        <v>3</v>
      </c>
      <c r="BK36" s="53">
        <f t="shared" si="92"/>
        <v>3</v>
      </c>
      <c r="BL36" s="53"/>
      <c r="BM36" s="53">
        <f t="shared" si="93"/>
        <v>2</v>
      </c>
      <c r="BN36" s="53">
        <f t="shared" si="94"/>
        <v>2</v>
      </c>
      <c r="BO36" s="53">
        <f t="shared" si="95"/>
        <v>2</v>
      </c>
      <c r="BP36" s="53">
        <f t="shared" si="96"/>
        <v>0</v>
      </c>
      <c r="BQ36" s="53"/>
      <c r="BR36" s="53">
        <f t="shared" si="97"/>
        <v>6.5</v>
      </c>
      <c r="BS36" s="53">
        <f t="shared" si="98"/>
        <v>34.2</v>
      </c>
      <c r="BT36" s="53">
        <f t="shared" si="99"/>
        <v>11</v>
      </c>
      <c r="BU36" s="53">
        <f t="shared" si="8"/>
        <v>24816</v>
      </c>
      <c r="BV36" s="53"/>
      <c r="BW36" s="53">
        <f t="shared" si="100"/>
        <v>15600</v>
      </c>
      <c r="BX36" s="53">
        <f t="shared" si="101"/>
        <v>-21036</v>
      </c>
      <c r="BY36" s="53">
        <f t="shared" si="9"/>
        <v>-18814.91095745311</v>
      </c>
      <c r="BZ36" s="240">
        <f t="shared" si="102"/>
        <v>5.791300000000001</v>
      </c>
      <c r="CC36" s="1">
        <f t="shared" si="10"/>
        <v>0</v>
      </c>
      <c r="CD36" s="195">
        <f t="shared" si="11"/>
        <v>2873.2</v>
      </c>
      <c r="CE36" s="195">
        <f t="shared" si="12"/>
        <v>2873.2</v>
      </c>
      <c r="CF36" s="239">
        <f t="shared" si="13"/>
        <v>1.45</v>
      </c>
      <c r="CG36" s="239">
        <f t="shared" si="13"/>
        <v>9.96</v>
      </c>
      <c r="CH36" s="1">
        <f t="shared" si="103"/>
        <v>4780.8</v>
      </c>
      <c r="CK36" s="211">
        <f t="shared" si="14"/>
        <v>0</v>
      </c>
      <c r="CL36" s="211">
        <f t="shared" si="15"/>
        <v>0</v>
      </c>
      <c r="CM36" s="211">
        <f t="shared" si="16"/>
        <v>0</v>
      </c>
      <c r="CQ36" s="1">
        <f t="shared" si="104"/>
        <v>1</v>
      </c>
      <c r="CR36" s="195">
        <f t="shared" si="17"/>
        <v>10000</v>
      </c>
      <c r="CS36" s="195"/>
      <c r="CT36" s="195"/>
      <c r="CV36" s="199">
        <f t="shared" si="18"/>
        <v>30.48052937637858</v>
      </c>
      <c r="CW36" s="199">
        <f t="shared" si="19"/>
        <v>0</v>
      </c>
      <c r="CX36" s="199">
        <f t="shared" si="20"/>
        <v>0</v>
      </c>
      <c r="CY36" s="199">
        <f t="shared" si="21"/>
        <v>0</v>
      </c>
      <c r="CZ36" s="199">
        <f t="shared" si="22"/>
        <v>0</v>
      </c>
      <c r="DA36" s="199">
        <f t="shared" si="23"/>
        <v>0</v>
      </c>
      <c r="DB36" s="199">
        <f t="shared" si="24"/>
        <v>7.027038299578904</v>
      </c>
      <c r="DC36" s="199">
        <f t="shared" si="25"/>
        <v>0.9369384399438538</v>
      </c>
      <c r="DD36" s="199">
        <f t="shared" si="26"/>
        <v>0</v>
      </c>
      <c r="DE36" s="199">
        <f t="shared" si="27"/>
        <v>0</v>
      </c>
      <c r="DF36" s="199">
        <f t="shared" si="28"/>
        <v>0</v>
      </c>
      <c r="DG36" s="199">
        <f t="shared" si="29"/>
        <v>0</v>
      </c>
      <c r="DH36" s="199">
        <f t="shared" si="30"/>
        <v>16.048574293162222</v>
      </c>
      <c r="DI36" s="199">
        <f t="shared" si="31"/>
        <v>0</v>
      </c>
      <c r="DJ36" s="199">
        <f t="shared" si="32"/>
        <v>1.858261239221977</v>
      </c>
      <c r="DK36" s="199">
        <f t="shared" si="33"/>
        <v>0.587538480048125</v>
      </c>
      <c r="DL36" s="199">
        <f t="shared" si="34"/>
        <v>0</v>
      </c>
      <c r="DM36" s="199">
        <f t="shared" si="35"/>
        <v>1.9129159815520351</v>
      </c>
      <c r="DN36" s="199">
        <f t="shared" si="36"/>
        <v>0</v>
      </c>
      <c r="DO36" s="199">
        <f t="shared" si="37"/>
        <v>0</v>
      </c>
      <c r="DP36" s="199">
        <f t="shared" si="38"/>
        <v>0</v>
      </c>
      <c r="DQ36" s="199">
        <f t="shared" si="39"/>
        <v>0</v>
      </c>
      <c r="DR36" s="199">
        <f t="shared" si="40"/>
        <v>0.6606617204732304</v>
      </c>
      <c r="DS36" s="199">
        <f t="shared" si="41"/>
        <v>0</v>
      </c>
      <c r="DT36" s="199">
        <f t="shared" si="42"/>
        <v>0</v>
      </c>
      <c r="DU36" s="199">
        <f t="shared" si="43"/>
        <v>0</v>
      </c>
      <c r="DV36" s="199">
        <f t="shared" si="44"/>
        <v>0</v>
      </c>
      <c r="DW36" s="199">
        <f t="shared" si="45"/>
        <v>0</v>
      </c>
      <c r="DX36" s="199">
        <f t="shared" si="46"/>
        <v>0</v>
      </c>
      <c r="DY36" s="199">
        <f t="shared" si="47"/>
        <v>0</v>
      </c>
      <c r="DZ36" s="199">
        <f t="shared" si="48"/>
        <v>0.0011004355323841987</v>
      </c>
      <c r="EA36" s="199">
        <f t="shared" si="49"/>
        <v>29.63288036895929</v>
      </c>
      <c r="EB36" s="199">
        <f t="shared" si="50"/>
        <v>3.420012159614999</v>
      </c>
      <c r="EC36" s="202">
        <f t="shared" si="51"/>
        <v>92.5664507944656</v>
      </c>
      <c r="ED36" s="202">
        <f>SUM(CV36:DI36,DS36:DT36,DW36,DY36,EA36:EB36)</f>
        <v>87.54597293763784</v>
      </c>
      <c r="EE36" s="203">
        <f t="shared" si="52"/>
        <v>14.491737016887896</v>
      </c>
      <c r="EF36" s="199"/>
      <c r="EI36" s="1">
        <f t="shared" si="53"/>
        <v>0.5699766927982697</v>
      </c>
      <c r="EJ36" s="1">
        <f t="shared" si="54"/>
        <v>0</v>
      </c>
      <c r="EK36" s="1">
        <f t="shared" si="55"/>
        <v>0</v>
      </c>
      <c r="EL36" s="1">
        <f t="shared" si="56"/>
        <v>0</v>
      </c>
      <c r="EM36" s="1">
        <f t="shared" si="57"/>
        <v>0</v>
      </c>
      <c r="EN36" s="1">
        <f t="shared" si="58"/>
        <v>0</v>
      </c>
      <c r="EO36" s="1">
        <f t="shared" si="59"/>
        <v>0.2644897670328</v>
      </c>
      <c r="EP36" s="1">
        <f t="shared" si="60"/>
        <v>0</v>
      </c>
      <c r="EQ36" s="1">
        <f t="shared" si="61"/>
        <v>0</v>
      </c>
      <c r="ER36" s="1">
        <f t="shared" si="62"/>
        <v>0</v>
      </c>
      <c r="ES36" s="1">
        <f t="shared" si="63"/>
        <v>0</v>
      </c>
      <c r="ET36" s="1">
        <f t="shared" si="64"/>
        <v>0</v>
      </c>
      <c r="EU36" s="1">
        <f t="shared" si="65"/>
        <v>0.14589546715944002</v>
      </c>
      <c r="EV36" s="1">
        <f t="shared" si="66"/>
        <v>0</v>
      </c>
      <c r="EW36" s="1">
        <f t="shared" si="67"/>
        <v>0.059350736407200004</v>
      </c>
      <c r="EX36" s="1">
        <f t="shared" si="68"/>
        <v>0.059350736407200004</v>
      </c>
      <c r="EY36" s="1">
        <f t="shared" si="69"/>
        <v>0</v>
      </c>
      <c r="EZ36" s="1">
        <f t="shared" si="70"/>
        <v>0.059350736407200004</v>
      </c>
      <c r="FA36" s="1">
        <f t="shared" si="71"/>
        <v>0</v>
      </c>
      <c r="FB36" s="1">
        <f t="shared" si="72"/>
        <v>0</v>
      </c>
      <c r="FC36" s="1">
        <f t="shared" si="73"/>
        <v>0</v>
      </c>
      <c r="FD36" s="1">
        <f t="shared" si="74"/>
        <v>0</v>
      </c>
      <c r="FE36" s="1">
        <f t="shared" si="75"/>
        <v>0.059350736407200004</v>
      </c>
      <c r="FF36" s="1">
        <f t="shared" si="76"/>
        <v>0</v>
      </c>
      <c r="FG36" s="1">
        <f t="shared" si="77"/>
        <v>0</v>
      </c>
      <c r="FH36" s="1">
        <f t="shared" si="78"/>
        <v>0</v>
      </c>
      <c r="FI36" s="1">
        <f t="shared" si="79"/>
        <v>0</v>
      </c>
      <c r="FJ36" s="1">
        <f t="shared" si="80"/>
        <v>0</v>
      </c>
      <c r="FK36" s="1">
        <f t="shared" si="81"/>
        <v>0</v>
      </c>
      <c r="FL36" s="1">
        <f t="shared" si="82"/>
        <v>0</v>
      </c>
      <c r="FM36" s="1">
        <f t="shared" si="83"/>
        <v>0.0034234991863440005</v>
      </c>
      <c r="FN36" s="1">
        <f t="shared" si="84"/>
        <v>7.46760736344</v>
      </c>
      <c r="FO36" s="1">
        <f>IF(O36=0,0,SUM(EI36:FN36))</f>
        <v>8.688795735245654</v>
      </c>
    </row>
    <row r="37" spans="1:171" ht="12.75">
      <c r="A37" s="24">
        <v>148</v>
      </c>
      <c r="B37" s="25" t="s">
        <v>149</v>
      </c>
      <c r="C37" s="25" t="s">
        <v>150</v>
      </c>
      <c r="D37" s="26" t="s">
        <v>151</v>
      </c>
      <c r="E37" s="26">
        <v>2</v>
      </c>
      <c r="F37" s="26" t="s">
        <v>144</v>
      </c>
      <c r="G37" s="26" t="s">
        <v>74</v>
      </c>
      <c r="H37" s="26" t="s">
        <v>75</v>
      </c>
      <c r="I37" s="26">
        <v>3</v>
      </c>
      <c r="J37" s="26"/>
      <c r="K37" s="26">
        <f t="shared" si="85"/>
        <v>1</v>
      </c>
      <c r="L37" s="26">
        <f t="shared" si="86"/>
        <v>1</v>
      </c>
      <c r="M37" s="24">
        <v>464218</v>
      </c>
      <c r="N37" s="24">
        <v>920451</v>
      </c>
      <c r="O37" s="27">
        <f t="shared" si="87"/>
        <v>34300</v>
      </c>
      <c r="P37" s="28">
        <v>34300</v>
      </c>
      <c r="Q37" s="28">
        <v>35000</v>
      </c>
      <c r="R37" s="28">
        <v>20500</v>
      </c>
      <c r="S37" s="29">
        <v>0</v>
      </c>
      <c r="T37" s="29">
        <v>0</v>
      </c>
      <c r="U37" s="29">
        <v>0</v>
      </c>
      <c r="V37" s="29">
        <v>0</v>
      </c>
      <c r="W37" s="28">
        <v>11000</v>
      </c>
      <c r="X37" s="29">
        <v>0</v>
      </c>
      <c r="Y37" s="29">
        <v>0</v>
      </c>
      <c r="Z37" s="28">
        <v>0</v>
      </c>
      <c r="AA37" s="29">
        <v>0</v>
      </c>
      <c r="AB37" s="28">
        <v>8000</v>
      </c>
      <c r="AC37" s="28">
        <v>0</v>
      </c>
      <c r="AD37" s="28">
        <v>0</v>
      </c>
      <c r="AE37" s="28">
        <v>11000</v>
      </c>
      <c r="AF37" s="28">
        <v>7500</v>
      </c>
      <c r="AG37" s="28">
        <v>2200</v>
      </c>
      <c r="AH37" s="28">
        <v>5000</v>
      </c>
      <c r="AI37" s="28">
        <v>0</v>
      </c>
      <c r="AJ37" s="28">
        <v>0</v>
      </c>
      <c r="AK37" s="28">
        <v>0</v>
      </c>
      <c r="AL37" s="28">
        <v>0</v>
      </c>
      <c r="AM37" s="30">
        <v>1600</v>
      </c>
      <c r="AN37" s="31">
        <v>0</v>
      </c>
      <c r="AO37" s="30">
        <v>7500</v>
      </c>
      <c r="AP37" s="31">
        <v>0</v>
      </c>
      <c r="AQ37" s="31">
        <v>2000</v>
      </c>
      <c r="AR37" s="31">
        <v>0</v>
      </c>
      <c r="AS37" s="31">
        <v>0</v>
      </c>
      <c r="AT37" s="31">
        <v>0</v>
      </c>
      <c r="AU37" s="30">
        <v>34</v>
      </c>
      <c r="AX37" s="2">
        <f t="shared" si="0"/>
        <v>24200</v>
      </c>
      <c r="AY37" s="32">
        <f aca="true" t="shared" si="105" ref="AY37:AY68">IF(AX37&lt;0,0,AX37)*IF(Q37&gt;0,P37/Q37,0.9)</f>
        <v>23716</v>
      </c>
      <c r="AZ37" s="186">
        <f aca="true" t="shared" si="106" ref="AZ37:AZ68">HLOOKUP($F37,yields,3)/100</f>
        <v>0.4917445624618104</v>
      </c>
      <c r="BA37" s="186">
        <f aca="true" t="shared" si="107" ref="BA37:BA68">(HLOOKUP($F37,yields,4)+(HLOOKUP($F37,yields,5)+HLOOKUP($F37,yields,6))/2+HLOOKUP($F37,yields,9)+HLOOKUP($F37,yields,11))/100</f>
        <v>0.04279176796370208</v>
      </c>
      <c r="BB37" s="186">
        <f aca="true" t="shared" si="108" ref="BB37:BB68">((HLOOKUP($F37,yields,5)+HLOOKUP($F37,yields,6))/2+HLOOKUP($F37,yields,7))/100</f>
        <v>0.30849985049207607</v>
      </c>
      <c r="BC37" s="53">
        <f t="shared" si="88"/>
        <v>34300</v>
      </c>
      <c r="BD37" s="53">
        <f t="shared" si="5"/>
        <v>13833.58663284268</v>
      </c>
      <c r="BE37" s="53">
        <f t="shared" si="6"/>
        <v>1203.8031012175095</v>
      </c>
      <c r="BF37" s="53">
        <f t="shared" si="7"/>
        <v>8678.610265939811</v>
      </c>
      <c r="BG37" s="53"/>
      <c r="BH37" s="53">
        <f t="shared" si="89"/>
        <v>3</v>
      </c>
      <c r="BI37" s="53">
        <f t="shared" si="90"/>
        <v>3</v>
      </c>
      <c r="BJ37" s="53">
        <f t="shared" si="91"/>
        <v>3</v>
      </c>
      <c r="BK37" s="53">
        <f t="shared" si="92"/>
        <v>2</v>
      </c>
      <c r="BL37" s="53"/>
      <c r="BM37" s="53">
        <f t="shared" si="93"/>
        <v>2</v>
      </c>
      <c r="BN37" s="53">
        <f t="shared" si="94"/>
        <v>2</v>
      </c>
      <c r="BO37" s="53">
        <f t="shared" si="95"/>
        <v>2</v>
      </c>
      <c r="BP37" s="53">
        <f t="shared" si="96"/>
        <v>0</v>
      </c>
      <c r="BQ37" s="53"/>
      <c r="BR37" s="53">
        <f t="shared" si="97"/>
        <v>6.5</v>
      </c>
      <c r="BS37" s="53">
        <f t="shared" si="98"/>
        <v>34.2</v>
      </c>
      <c r="BT37" s="53">
        <f t="shared" si="99"/>
        <v>11</v>
      </c>
      <c r="BU37" s="53">
        <f aca="true" t="shared" si="109" ref="BU37:BU68">SUM(BR37:BT37)*BU$3</f>
        <v>24816</v>
      </c>
      <c r="BV37" s="53"/>
      <c r="BW37" s="53">
        <f t="shared" si="100"/>
        <v>15600</v>
      </c>
      <c r="BX37" s="53">
        <f t="shared" si="101"/>
        <v>-21036</v>
      </c>
      <c r="BY37" s="53">
        <f aca="true" t="shared" si="110" ref="BY37:BY68">BW37*CRF+BX37</f>
        <v>-18814.91095745311</v>
      </c>
      <c r="BZ37" s="240">
        <f t="shared" si="102"/>
        <v>5.791300000000001</v>
      </c>
      <c r="CC37" s="1">
        <f aca="true" t="shared" si="111" ref="CC37:CC68">IF($O37=0,CT_idle,IF($O37&lt;Small_cutoff,CT_small,IF($O37&gt;Large_cutoff,CT_large,CT_med)))*CC$3</f>
        <v>0</v>
      </c>
      <c r="CD37" s="195">
        <f aca="true" t="shared" si="112" ref="CD37:CD68">IF($O37=0,CT_idle,IF($O37&lt;Small_cutoff,CT_small,IF($O37&gt;Large_cutoff,CT_large,CT_med)))*CD$3-CH37</f>
        <v>2873.2</v>
      </c>
      <c r="CE37" s="195">
        <f aca="true" t="shared" si="113" ref="CE37:CE68">CC37*CRF+CD37</f>
        <v>2873.2</v>
      </c>
      <c r="CF37" s="239">
        <f aca="true" t="shared" si="114" ref="CF37:CG68">IF($O37=0,CT_idle,IF($O37&lt;Small_cutoff,CT_small,IF($O37&gt;Large_cutoff,CT_large,CT_med)))*CF$3</f>
        <v>1.45</v>
      </c>
      <c r="CG37" s="239">
        <f t="shared" si="114"/>
        <v>9.96</v>
      </c>
      <c r="CH37" s="1">
        <f t="shared" si="103"/>
        <v>4780.8</v>
      </c>
      <c r="CK37" s="211">
        <f aca="true" t="shared" si="115" ref="CK37:CK68">IF($O37=0,TCI_idle,IF($O37&lt;Small_cutoff,TCI_small,IF($O37&gt;Large_cutoff,TCI_large,TCI_med)))</f>
        <v>0</v>
      </c>
      <c r="CL37" s="211">
        <f aca="true" t="shared" si="116" ref="CL37:CL68">IF($O37=0,AOC_idle,IF($O37&lt;Small_cutoff,AOC_small,IF($O37&gt;Large_cutoff,AOC_large,AOC_med)))</f>
        <v>0</v>
      </c>
      <c r="CM37" s="211">
        <f aca="true" t="shared" si="117" ref="CM37:CM68">CK37*CRF+CL37</f>
        <v>0</v>
      </c>
      <c r="CQ37" s="1">
        <f t="shared" si="104"/>
        <v>1</v>
      </c>
      <c r="CR37" s="195">
        <f t="shared" si="17"/>
        <v>10000</v>
      </c>
      <c r="CS37" s="195"/>
      <c r="CT37" s="195"/>
      <c r="CV37" s="199">
        <f aca="true" t="shared" si="118" ref="CV37:CV68">Q37*CV$2*CV$3*WW_density/1000000</f>
        <v>17.780308802887507</v>
      </c>
      <c r="CW37" s="199">
        <f aca="true" t="shared" si="119" ref="CW37:CW68">R37*CW$2*CW$3*WW_density/1000000</f>
        <v>6.156166031682374</v>
      </c>
      <c r="CX37" s="199">
        <f aca="true" t="shared" si="120" ref="CX37:CX68">S37*CX$2*CX$3*WW_density/1000000</f>
        <v>0</v>
      </c>
      <c r="CY37" s="199">
        <f aca="true" t="shared" si="121" ref="CY37:CY68">T37*CY$2*CY$3*WW_density/1000000</f>
        <v>0</v>
      </c>
      <c r="CZ37" s="199">
        <f aca="true" t="shared" si="122" ref="CZ37:CZ68">U37*CZ$2*CZ$3*WW_density/1000000</f>
        <v>0</v>
      </c>
      <c r="DA37" s="199">
        <f aca="true" t="shared" si="123" ref="DA37:DA68">V37*DA$2*DA$3*WW_density/1000000</f>
        <v>0</v>
      </c>
      <c r="DB37" s="199">
        <f aca="true" t="shared" si="124" ref="DB37:DB68">W37*DB$2*DB$3*WW_density/1000000</f>
        <v>2.8628674553839986</v>
      </c>
      <c r="DC37" s="199">
        <f aca="true" t="shared" si="125" ref="DC37:DC68">X37*DC$2*DC$3*WW_density/1000000</f>
        <v>0</v>
      </c>
      <c r="DD37" s="199">
        <f aca="true" t="shared" si="126" ref="DD37:DD68">Y37*DD$2*DD$3*WW_density/1000000</f>
        <v>0</v>
      </c>
      <c r="DE37" s="199">
        <f aca="true" t="shared" si="127" ref="DE37:DE68">Z37*DE$2*DE$3*WW_density/1000000</f>
        <v>0</v>
      </c>
      <c r="DF37" s="199">
        <f aca="true" t="shared" si="128" ref="DF37:DF68">AA37*DF$2*DF$3*WW_density/1000000</f>
        <v>0</v>
      </c>
      <c r="DG37" s="199">
        <f aca="true" t="shared" si="129" ref="DG37:DG68">AB37*DG$2*DG$3*WW_density/1000000</f>
        <v>10.61062763184279</v>
      </c>
      <c r="DH37" s="199">
        <f aca="true" t="shared" si="130" ref="DH37:DH68">AC37*DH$2*DH$3*WW_density/1000000</f>
        <v>0</v>
      </c>
      <c r="DI37" s="199">
        <f aca="true" t="shared" si="131" ref="DI37:DI68">AD37*DI$2*DI$3*WW_density/1000000</f>
        <v>0</v>
      </c>
      <c r="DJ37" s="199">
        <f aca="true" t="shared" si="132" ref="DJ37:DJ68">AE37*DJ$2*DJ$3*WW_density/1000000</f>
        <v>1.5030054140765992</v>
      </c>
      <c r="DK37" s="199">
        <f aca="true" t="shared" si="133" ref="DK37:DK68">AF37*DK$2*DK$3*WW_density/1000000</f>
        <v>1.0247764186885904</v>
      </c>
      <c r="DL37" s="199">
        <f aca="true" t="shared" si="134" ref="DL37:DL68">AG37*DL$2*DL$3*WW_density/1000000</f>
        <v>0.30060108281531983</v>
      </c>
      <c r="DM37" s="199">
        <f aca="true" t="shared" si="135" ref="DM37:DM68">AH37*DM$2*DM$3*WW_density/1000000</f>
        <v>0.6831842791257268</v>
      </c>
      <c r="DN37" s="199">
        <f aca="true" t="shared" si="136" ref="DN37:DN68">AI37*DN$2*DN$3*WW_density/1000000</f>
        <v>0</v>
      </c>
      <c r="DO37" s="199">
        <f aca="true" t="shared" si="137" ref="DO37:DO68">AJ37*DO$2*DO$3*WW_density/1000000</f>
        <v>0</v>
      </c>
      <c r="DP37" s="199">
        <f aca="true" t="shared" si="138" ref="DP37:DP68">AK37*DP$2*DP$3*WW_density/1000000</f>
        <v>0</v>
      </c>
      <c r="DQ37" s="199">
        <f aca="true" t="shared" si="139" ref="DQ37:DQ68">AL37*DQ$2*DQ$3*WW_density/1000000</f>
        <v>0</v>
      </c>
      <c r="DR37" s="199">
        <f aca="true" t="shared" si="140" ref="DR37:DR68">AM37*DR$2*DR$3*WW_density/1000000</f>
        <v>0.2402406256266292</v>
      </c>
      <c r="DS37" s="199">
        <f aca="true" t="shared" si="141" ref="DS37:DS68">AN37*DS$2*DS$3*WW_density/1000000</f>
        <v>0</v>
      </c>
      <c r="DT37" s="199">
        <f aca="true" t="shared" si="142" ref="DT37:DT68">AO37*DT$2*DT$3*WW_density/1000000</f>
        <v>21.521556045718867</v>
      </c>
      <c r="DU37" s="199">
        <f aca="true" t="shared" si="143" ref="DU37:DU68">AP37*DU$2*DU$3*WW_density/1000000</f>
        <v>0</v>
      </c>
      <c r="DV37" s="199">
        <f aca="true" t="shared" si="144" ref="DV37:DV68">AQ37*DV$2*DV$3*WW_density/1000000</f>
        <v>0.000583918187286946</v>
      </c>
      <c r="DW37" s="199">
        <f aca="true" t="shared" si="145" ref="DW37:DW68">AR37*DW$2*DW$3*WW_density/1000000</f>
        <v>0</v>
      </c>
      <c r="DX37" s="199">
        <f aca="true" t="shared" si="146" ref="DX37:DX68">AS37*DX$2*DX$3*WW_density/1000000</f>
        <v>0</v>
      </c>
      <c r="DY37" s="199">
        <f aca="true" t="shared" si="147" ref="DY37:DY68">AT37*DY$2*DY$3*WW_density/1000000</f>
        <v>0</v>
      </c>
      <c r="DZ37" s="199">
        <f aca="true" t="shared" si="148" ref="DZ37:DZ68">AU37*DZ$2*DZ$3*WW_density/1000000</f>
        <v>0.0022008710647683973</v>
      </c>
      <c r="EA37" s="199">
        <f aca="true" t="shared" si="149" ref="EA37:EA68">$AY37*EA$2*EA$3*WW_density/1000000</f>
        <v>13.769071136956082</v>
      </c>
      <c r="EB37" s="199">
        <f aca="true" t="shared" si="150" ref="EB37:EB68">($AY37+O37)*EB$2*EB$3*WW_density/1000000</f>
        <v>1.819657240024062</v>
      </c>
      <c r="EC37" s="202">
        <f t="shared" si="51"/>
        <v>78.27484695408059</v>
      </c>
      <c r="ED37" s="202">
        <f>SUM(CV37:DI37,DS37:DT37,DW37,DY37,EA37:EB37)</f>
        <v>74.52025434449568</v>
      </c>
      <c r="EE37" s="203">
        <f t="shared" si="52"/>
        <v>12.33555230645847</v>
      </c>
      <c r="EF37" s="199"/>
      <c r="EI37" s="1">
        <f aca="true" t="shared" si="151" ref="EI37:EI68">IF(Q37=0,0,IF(Q37&gt;EI$2,EI$4,EI$3))</f>
        <v>0.18495710758393283</v>
      </c>
      <c r="EJ37" s="1">
        <f aca="true" t="shared" si="152" ref="EJ37:EJ68">IF(R37=0,0,IF(R37&gt;EJ$2,EJ$4,EJ$3))</f>
        <v>0.002442336444552</v>
      </c>
      <c r="EK37" s="1">
        <f aca="true" t="shared" si="153" ref="EK37:EK68">IF(S37=0,0,IF(S37&gt;EK$2,EK$4,EK$3))</f>
        <v>0</v>
      </c>
      <c r="EL37" s="1">
        <f aca="true" t="shared" si="154" ref="EL37:EL68">IF(T37=0,0,IF(T37&gt;EL$2,EL$4,EL$3))</f>
        <v>0</v>
      </c>
      <c r="EM37" s="1">
        <f aca="true" t="shared" si="155" ref="EM37:EM68">IF(U37=0,0,IF(U37&gt;EM$2,EM$4,EM$3))</f>
        <v>0</v>
      </c>
      <c r="EN37" s="1">
        <f aca="true" t="shared" si="156" ref="EN37:EN68">IF(V37=0,0,IF(V37&gt;EN$2,EN$4,EN$3))</f>
        <v>0</v>
      </c>
      <c r="EO37" s="1">
        <f aca="true" t="shared" si="157" ref="EO37:EO68">IF(W37=0,0,IF(W37&gt;EO$2,EO$4,EO$3))</f>
        <v>0.20522871634656004</v>
      </c>
      <c r="EP37" s="1">
        <f aca="true" t="shared" si="158" ref="EP37:EP68">IF(X37=0,0,IF(X37&gt;EP$2,EP$4,EP$3))</f>
        <v>0</v>
      </c>
      <c r="EQ37" s="1">
        <f aca="true" t="shared" si="159" ref="EQ37:EQ68">IF(SUM(Y37:AA37)=0,0,IF(SUM(Y37:AA37)&gt;EQ$2,EQ$4,EQ$3))</f>
        <v>0</v>
      </c>
      <c r="ER37" s="1">
        <f aca="true" t="shared" si="160" ref="ER37:ER68">IF(Z37=0,0,IF(Z37&gt;ER$2,ER$4,ER$3))</f>
        <v>0</v>
      </c>
      <c r="ES37" s="1">
        <f aca="true" t="shared" si="161" ref="ES37:ES68">IF(AA37=0,0,IF(AA37&gt;ES$2,ES$4,ES$3))</f>
        <v>0</v>
      </c>
      <c r="ET37" s="1">
        <f aca="true" t="shared" si="162" ref="ET37:ET68">IF(AB37=0,0,IF(AB37&gt;ET$2,ET$4,ET$3))</f>
        <v>0.07346601658824001</v>
      </c>
      <c r="EU37" s="1">
        <f aca="true" t="shared" si="163" ref="EU37:EU68">IF(AC37=0,0,IF(AC37&gt;EU$2,EU$4,EU$3))</f>
        <v>0</v>
      </c>
      <c r="EV37" s="1">
        <f aca="true" t="shared" si="164" ref="EV37:EV68">IF(AD37=0,0,IF(AD37&gt;EV$2,EV$4,EV$3))</f>
        <v>0</v>
      </c>
      <c r="EW37" s="1">
        <f aca="true" t="shared" si="165" ref="EW37:EW68">IF(AE37=0,0,IF(AE37&gt;EW$2,EW$4,EW$3))</f>
        <v>0.059350736407200004</v>
      </c>
      <c r="EX37" s="1">
        <f aca="true" t="shared" si="166" ref="EX37:EX68">IF(AF37=0,0,IF(AF37&gt;EX$2,EX$4,EX$3))</f>
        <v>0.059350736407200004</v>
      </c>
      <c r="EY37" s="1">
        <f aca="true" t="shared" si="167" ref="EY37:EY68">IF(AG37=0,0,IF(AG37&gt;EY$2,EY$4,EY$3))</f>
        <v>0.059350736407200004</v>
      </c>
      <c r="EZ37" s="1">
        <f aca="true" t="shared" si="168" ref="EZ37:EZ68">IF(AH37=0,0,IF(AH37&gt;EZ$2,EZ$4,EZ$3))</f>
        <v>0.059350736407200004</v>
      </c>
      <c r="FA37" s="1">
        <f aca="true" t="shared" si="169" ref="FA37:FA68">IF(AI37=0,0,IF(AI37&gt;FA$2,FA$4,FA$3))</f>
        <v>0</v>
      </c>
      <c r="FB37" s="1">
        <f aca="true" t="shared" si="170" ref="FB37:FB68">IF(AJ37=0,0,IF(AJ37&gt;FB$2,FB$4,FB$3))</f>
        <v>0</v>
      </c>
      <c r="FC37" s="1">
        <f aca="true" t="shared" si="171" ref="FC37:FC68">IF(AK37=0,0,IF(AK37&gt;FC$2,FC$4,FC$3))</f>
        <v>0</v>
      </c>
      <c r="FD37" s="1">
        <f aca="true" t="shared" si="172" ref="FD37:FD68">IF(AL37=0,0,IF(AL37&gt;FD$2,FD$4,FD$3))</f>
        <v>0</v>
      </c>
      <c r="FE37" s="1">
        <f aca="true" t="shared" si="173" ref="FE37:FE68">IF(AM37=0,0,IF(AM37&gt;FE$2,FE$4,FE$3))</f>
        <v>0.059350736407200004</v>
      </c>
      <c r="FF37" s="1">
        <f aca="true" t="shared" si="174" ref="FF37:FF68">IF(AN37=0,0,IF(AN37&gt;FF$2,FF$4,FF$3))</f>
        <v>0</v>
      </c>
      <c r="FG37" s="1">
        <f aca="true" t="shared" si="175" ref="FG37:FG68">IF(AO37=0,0,IF(AO37&gt;FG$2,FG$4,FG$3))</f>
        <v>0.059350736407200004</v>
      </c>
      <c r="FH37" s="1">
        <f aca="true" t="shared" si="176" ref="FH37:FH68">IF(AP37=0,0,IF(AP37&gt;FH$2,FH$4,FH$3))</f>
        <v>0</v>
      </c>
      <c r="FI37" s="1">
        <f aca="true" t="shared" si="177" ref="FI37:FI68">IF(AQ37=0,0,IF(AQ37&gt;FI$2,FI$4,FI$3))</f>
        <v>0</v>
      </c>
      <c r="FJ37" s="1">
        <f aca="true" t="shared" si="178" ref="FJ37:FJ68">IF(AR37=0,0,IF(AR37&gt;FJ$2,FJ$4,FJ$3))</f>
        <v>0</v>
      </c>
      <c r="FK37" s="1">
        <f aca="true" t="shared" si="179" ref="FK37:FK68">IF(AS37=0,0,IF(AS37&gt;FK$2,FK$4,FK$3))</f>
        <v>0</v>
      </c>
      <c r="FL37" s="1">
        <f aca="true" t="shared" si="180" ref="FL37:FL68">IF(AT37=0,0,IF(AT37&gt;FL$2,FL$4,FL$3))</f>
        <v>0</v>
      </c>
      <c r="FM37" s="1">
        <f aca="true" t="shared" si="181" ref="FM37:FM68">IF(AU37=0,0,IF(AU37&gt;FM$2,FM$4,FM$3))</f>
        <v>0.0034234991863440005</v>
      </c>
      <c r="FN37" s="1">
        <f aca="true" t="shared" si="182" ref="FN37:FN68">IF(O37=0,0,IF(O37&gt;FN$2,FN$4,FN$3))</f>
        <v>4.472293968912</v>
      </c>
      <c r="FO37" s="1">
        <f>IF(O37=0,0,SUM(EI37:FN37))</f>
        <v>5.297916063504829</v>
      </c>
    </row>
    <row r="38" spans="1:171" ht="12.75">
      <c r="A38" s="24">
        <v>50</v>
      </c>
      <c r="B38" s="25" t="s">
        <v>152</v>
      </c>
      <c r="C38" s="25" t="s">
        <v>153</v>
      </c>
      <c r="D38" s="26" t="s">
        <v>154</v>
      </c>
      <c r="E38" s="26">
        <v>2</v>
      </c>
      <c r="F38" s="26" t="s">
        <v>155</v>
      </c>
      <c r="G38" s="26" t="s">
        <v>74</v>
      </c>
      <c r="H38" s="26" t="s">
        <v>75</v>
      </c>
      <c r="I38" s="26">
        <v>3</v>
      </c>
      <c r="J38" s="26"/>
      <c r="K38" s="26">
        <f t="shared" si="85"/>
        <v>1</v>
      </c>
      <c r="L38" s="26">
        <f t="shared" si="86"/>
        <v>1</v>
      </c>
      <c r="M38" s="24">
        <v>370300</v>
      </c>
      <c r="N38" s="24">
        <v>953605</v>
      </c>
      <c r="O38" s="27">
        <f t="shared" si="87"/>
        <v>112000</v>
      </c>
      <c r="P38" s="28">
        <v>112000</v>
      </c>
      <c r="Q38" s="28">
        <v>115000</v>
      </c>
      <c r="R38" s="28">
        <v>50000</v>
      </c>
      <c r="S38" s="29">
        <v>19500</v>
      </c>
      <c r="T38" s="29">
        <v>0</v>
      </c>
      <c r="U38" s="29">
        <v>0</v>
      </c>
      <c r="V38" s="29">
        <v>0</v>
      </c>
      <c r="W38" s="28">
        <v>32500</v>
      </c>
      <c r="X38" s="29">
        <v>0</v>
      </c>
      <c r="Y38" s="29">
        <v>0</v>
      </c>
      <c r="Z38" s="28">
        <v>0</v>
      </c>
      <c r="AA38" s="29">
        <v>0</v>
      </c>
      <c r="AB38" s="28">
        <v>0</v>
      </c>
      <c r="AC38" s="28">
        <v>17000</v>
      </c>
      <c r="AD38" s="28">
        <v>0</v>
      </c>
      <c r="AE38" s="28">
        <v>30000</v>
      </c>
      <c r="AF38" s="28">
        <v>0</v>
      </c>
      <c r="AG38" s="28">
        <v>7500</v>
      </c>
      <c r="AH38" s="28">
        <v>28000</v>
      </c>
      <c r="AI38" s="28">
        <v>23000</v>
      </c>
      <c r="AJ38" s="28">
        <v>0</v>
      </c>
      <c r="AK38" s="28">
        <v>0</v>
      </c>
      <c r="AL38" s="28">
        <v>0</v>
      </c>
      <c r="AM38" s="30">
        <v>9500</v>
      </c>
      <c r="AN38" s="31">
        <v>0</v>
      </c>
      <c r="AO38" s="30">
        <v>0</v>
      </c>
      <c r="AP38" s="31">
        <v>0</v>
      </c>
      <c r="AQ38" s="31">
        <v>0</v>
      </c>
      <c r="AR38" s="31">
        <v>0</v>
      </c>
      <c r="AS38" s="31">
        <v>8000</v>
      </c>
      <c r="AT38" s="31">
        <v>0</v>
      </c>
      <c r="AU38" s="30">
        <v>146</v>
      </c>
      <c r="AX38" s="2">
        <f t="shared" si="0"/>
        <v>94160</v>
      </c>
      <c r="AY38" s="32">
        <f t="shared" si="105"/>
        <v>91703.65217391304</v>
      </c>
      <c r="AZ38" s="186">
        <f t="shared" si="106"/>
        <v>0.49458230849470936</v>
      </c>
      <c r="BA38" s="186">
        <f t="shared" si="107"/>
        <v>0.02535826048799639</v>
      </c>
      <c r="BB38" s="186">
        <f t="shared" si="108"/>
        <v>0.37271408060909095</v>
      </c>
      <c r="BC38" s="53">
        <f t="shared" si="88"/>
        <v>112000</v>
      </c>
      <c r="BD38" s="53">
        <f t="shared" si="5"/>
        <v>50809.12759521304</v>
      </c>
      <c r="BE38" s="53">
        <f t="shared" si="6"/>
        <v>2605.0893260793628</v>
      </c>
      <c r="BF38" s="53">
        <f t="shared" si="7"/>
        <v>38289.435252620635</v>
      </c>
      <c r="BG38" s="53"/>
      <c r="BH38" s="53">
        <f t="shared" si="89"/>
        <v>5</v>
      </c>
      <c r="BI38" s="53">
        <f t="shared" si="90"/>
        <v>5</v>
      </c>
      <c r="BJ38" s="53">
        <f t="shared" si="91"/>
        <v>3</v>
      </c>
      <c r="BK38" s="53">
        <f t="shared" si="92"/>
        <v>4</v>
      </c>
      <c r="BL38" s="53"/>
      <c r="BM38" s="53">
        <f t="shared" si="93"/>
        <v>2</v>
      </c>
      <c r="BN38" s="53">
        <f t="shared" si="94"/>
        <v>2</v>
      </c>
      <c r="BO38" s="53">
        <f t="shared" si="95"/>
        <v>2</v>
      </c>
      <c r="BP38" s="53">
        <f t="shared" si="96"/>
        <v>0</v>
      </c>
      <c r="BQ38" s="53"/>
      <c r="BR38" s="53">
        <f t="shared" si="97"/>
        <v>6.5</v>
      </c>
      <c r="BS38" s="53">
        <f t="shared" si="98"/>
        <v>34.2</v>
      </c>
      <c r="BT38" s="53">
        <f t="shared" si="99"/>
        <v>11</v>
      </c>
      <c r="BU38" s="53">
        <f t="shared" si="109"/>
        <v>24816</v>
      </c>
      <c r="BV38" s="53"/>
      <c r="BW38" s="53">
        <f aca="true" t="shared" si="183" ref="BW38:BW69">SUM($BM38:$BO38)*BW$3</f>
        <v>15600</v>
      </c>
      <c r="BX38" s="53">
        <f t="shared" si="101"/>
        <v>-21036</v>
      </c>
      <c r="BY38" s="53">
        <f t="shared" si="110"/>
        <v>-18814.91095745311</v>
      </c>
      <c r="BZ38" s="240">
        <f t="shared" si="102"/>
        <v>5.791300000000001</v>
      </c>
      <c r="CC38" s="1">
        <f t="shared" si="111"/>
        <v>0</v>
      </c>
      <c r="CD38" s="195">
        <f t="shared" si="112"/>
        <v>5746.4</v>
      </c>
      <c r="CE38" s="195">
        <f t="shared" si="113"/>
        <v>5746.4</v>
      </c>
      <c r="CF38" s="239">
        <f t="shared" si="114"/>
        <v>2.9</v>
      </c>
      <c r="CG38" s="239">
        <f t="shared" si="114"/>
        <v>19.92</v>
      </c>
      <c r="CH38" s="1">
        <f t="shared" si="103"/>
        <v>9561.6</v>
      </c>
      <c r="CK38" s="211">
        <f t="shared" si="115"/>
        <v>0</v>
      </c>
      <c r="CL38" s="211">
        <f t="shared" si="116"/>
        <v>0</v>
      </c>
      <c r="CM38" s="211">
        <f t="shared" si="117"/>
        <v>0</v>
      </c>
      <c r="CQ38" s="1">
        <f t="shared" si="104"/>
        <v>1</v>
      </c>
      <c r="CR38" s="195">
        <f t="shared" si="17"/>
        <v>10000</v>
      </c>
      <c r="CS38" s="195"/>
      <c r="CT38" s="195"/>
      <c r="CV38" s="199">
        <f t="shared" si="118"/>
        <v>58.42101463805894</v>
      </c>
      <c r="CW38" s="199">
        <f t="shared" si="119"/>
        <v>15.015039101664325</v>
      </c>
      <c r="CX38" s="199">
        <f t="shared" si="120"/>
        <v>38.38844996992179</v>
      </c>
      <c r="CY38" s="199">
        <f t="shared" si="121"/>
        <v>0</v>
      </c>
      <c r="CZ38" s="199">
        <f t="shared" si="122"/>
        <v>0</v>
      </c>
      <c r="DA38" s="199">
        <f t="shared" si="123"/>
        <v>0</v>
      </c>
      <c r="DB38" s="199">
        <f t="shared" si="124"/>
        <v>8.458472027270904</v>
      </c>
      <c r="DC38" s="199">
        <f t="shared" si="125"/>
        <v>0</v>
      </c>
      <c r="DD38" s="199">
        <f t="shared" si="126"/>
        <v>0</v>
      </c>
      <c r="DE38" s="199">
        <f t="shared" si="127"/>
        <v>0</v>
      </c>
      <c r="DF38" s="199">
        <f t="shared" si="128"/>
        <v>0</v>
      </c>
      <c r="DG38" s="199">
        <f t="shared" si="129"/>
        <v>0</v>
      </c>
      <c r="DH38" s="199">
        <f t="shared" si="130"/>
        <v>22.54758371766593</v>
      </c>
      <c r="DI38" s="199">
        <f t="shared" si="131"/>
        <v>0</v>
      </c>
      <c r="DJ38" s="199">
        <f t="shared" si="132"/>
        <v>4.0991056747543615</v>
      </c>
      <c r="DK38" s="199">
        <f t="shared" si="133"/>
        <v>0</v>
      </c>
      <c r="DL38" s="199">
        <f t="shared" si="134"/>
        <v>1.0247764186885904</v>
      </c>
      <c r="DM38" s="199">
        <f t="shared" si="135"/>
        <v>3.8258319631040703</v>
      </c>
      <c r="DN38" s="199">
        <f t="shared" si="136"/>
        <v>3.1426476839783435</v>
      </c>
      <c r="DO38" s="199">
        <f t="shared" si="137"/>
        <v>0</v>
      </c>
      <c r="DP38" s="199">
        <f t="shared" si="138"/>
        <v>0</v>
      </c>
      <c r="DQ38" s="199">
        <f t="shared" si="139"/>
        <v>0</v>
      </c>
      <c r="DR38" s="199">
        <f t="shared" si="140"/>
        <v>1.426428714658111</v>
      </c>
      <c r="DS38" s="199">
        <f t="shared" si="141"/>
        <v>0</v>
      </c>
      <c r="DT38" s="199">
        <f t="shared" si="142"/>
        <v>0</v>
      </c>
      <c r="DU38" s="199">
        <f t="shared" si="143"/>
        <v>0</v>
      </c>
      <c r="DV38" s="199">
        <f t="shared" si="144"/>
        <v>0</v>
      </c>
      <c r="DW38" s="199">
        <f t="shared" si="145"/>
        <v>0</v>
      </c>
      <c r="DX38" s="199">
        <f t="shared" si="146"/>
        <v>0.517852015239623</v>
      </c>
      <c r="DY38" s="199">
        <f t="shared" si="147"/>
        <v>0</v>
      </c>
      <c r="DZ38" s="199">
        <f t="shared" si="148"/>
        <v>0.009450799278123118</v>
      </c>
      <c r="EA38" s="199">
        <f t="shared" si="149"/>
        <v>53.241445028726844</v>
      </c>
      <c r="EB38" s="199">
        <f t="shared" si="150"/>
        <v>6.389113787534545</v>
      </c>
      <c r="EC38" s="202">
        <f t="shared" si="51"/>
        <v>216.50721154054443</v>
      </c>
      <c r="ED38" s="202">
        <f>SUM(CV38:DI38,DS38:DT38,DW38,DY38,EA38:EB38)</f>
        <v>202.46111827084326</v>
      </c>
      <c r="EE38" s="203">
        <f t="shared" si="52"/>
        <v>33.513971958665664</v>
      </c>
      <c r="EF38" s="199"/>
      <c r="EI38" s="1">
        <f t="shared" si="151"/>
        <v>0.5699766927982697</v>
      </c>
      <c r="EJ38" s="1">
        <f t="shared" si="152"/>
        <v>0.010606863429336002</v>
      </c>
      <c r="EK38" s="1">
        <f t="shared" si="153"/>
        <v>0.24682268761392</v>
      </c>
      <c r="EL38" s="1">
        <f t="shared" si="154"/>
        <v>0</v>
      </c>
      <c r="EM38" s="1">
        <f t="shared" si="155"/>
        <v>0</v>
      </c>
      <c r="EN38" s="1">
        <f t="shared" si="156"/>
        <v>0</v>
      </c>
      <c r="EO38" s="1">
        <f t="shared" si="157"/>
        <v>0.2644897670328</v>
      </c>
      <c r="EP38" s="1">
        <f t="shared" si="158"/>
        <v>0</v>
      </c>
      <c r="EQ38" s="1">
        <f t="shared" si="159"/>
        <v>0</v>
      </c>
      <c r="ER38" s="1">
        <f t="shared" si="160"/>
        <v>0</v>
      </c>
      <c r="ES38" s="1">
        <f t="shared" si="161"/>
        <v>0</v>
      </c>
      <c r="ET38" s="1">
        <f t="shared" si="162"/>
        <v>0</v>
      </c>
      <c r="EU38" s="1">
        <f t="shared" si="163"/>
        <v>0.14589546715944002</v>
      </c>
      <c r="EV38" s="1">
        <f t="shared" si="164"/>
        <v>0</v>
      </c>
      <c r="EW38" s="1">
        <f t="shared" si="165"/>
        <v>0.059350736407200004</v>
      </c>
      <c r="EX38" s="1">
        <f t="shared" si="166"/>
        <v>0</v>
      </c>
      <c r="EY38" s="1">
        <f t="shared" si="167"/>
        <v>0.059350736407200004</v>
      </c>
      <c r="EZ38" s="1">
        <f t="shared" si="168"/>
        <v>0.059350736407200004</v>
      </c>
      <c r="FA38" s="1">
        <f t="shared" si="169"/>
        <v>0.059350736407200004</v>
      </c>
      <c r="FB38" s="1">
        <f t="shared" si="170"/>
        <v>0</v>
      </c>
      <c r="FC38" s="1">
        <f t="shared" si="171"/>
        <v>0</v>
      </c>
      <c r="FD38" s="1">
        <f t="shared" si="172"/>
        <v>0</v>
      </c>
      <c r="FE38" s="1">
        <f t="shared" si="173"/>
        <v>0.059350736407200004</v>
      </c>
      <c r="FF38" s="1">
        <f t="shared" si="174"/>
        <v>0</v>
      </c>
      <c r="FG38" s="1">
        <f t="shared" si="175"/>
        <v>0</v>
      </c>
      <c r="FH38" s="1">
        <f t="shared" si="176"/>
        <v>0</v>
      </c>
      <c r="FI38" s="1">
        <f t="shared" si="177"/>
        <v>0</v>
      </c>
      <c r="FJ38" s="1">
        <f t="shared" si="178"/>
        <v>0</v>
      </c>
      <c r="FK38" s="1">
        <f t="shared" si="179"/>
        <v>0</v>
      </c>
      <c r="FL38" s="1">
        <f t="shared" si="180"/>
        <v>0</v>
      </c>
      <c r="FM38" s="1">
        <f t="shared" si="181"/>
        <v>0.0057571153094400015</v>
      </c>
      <c r="FN38" s="1">
        <f t="shared" si="182"/>
        <v>7.46760736344</v>
      </c>
      <c r="FO38" s="1">
        <f>IF(O38=0,0,SUM(EI38:FN38))</f>
        <v>9.007909638819205</v>
      </c>
    </row>
    <row r="39" spans="1:171" ht="12.75">
      <c r="A39" s="24">
        <v>51</v>
      </c>
      <c r="B39" s="25" t="s">
        <v>156</v>
      </c>
      <c r="C39" s="25" t="s">
        <v>157</v>
      </c>
      <c r="D39" s="26" t="s">
        <v>154</v>
      </c>
      <c r="E39" s="26">
        <v>2</v>
      </c>
      <c r="F39" s="26" t="s">
        <v>155</v>
      </c>
      <c r="G39" s="26" t="s">
        <v>74</v>
      </c>
      <c r="H39" s="26" t="s">
        <v>75</v>
      </c>
      <c r="I39" s="26">
        <v>3</v>
      </c>
      <c r="J39" s="26"/>
      <c r="K39" s="26">
        <f t="shared" si="85"/>
        <v>1</v>
      </c>
      <c r="L39" s="26">
        <f t="shared" si="86"/>
        <v>1</v>
      </c>
      <c r="M39" s="24">
        <v>382229</v>
      </c>
      <c r="N39" s="24">
        <v>974024</v>
      </c>
      <c r="O39" s="27">
        <f t="shared" si="87"/>
        <v>81200</v>
      </c>
      <c r="P39" s="28">
        <v>81200</v>
      </c>
      <c r="Q39" s="28">
        <v>85000</v>
      </c>
      <c r="R39" s="28">
        <v>35800</v>
      </c>
      <c r="S39" s="29">
        <v>22000</v>
      </c>
      <c r="T39" s="29">
        <v>0</v>
      </c>
      <c r="U39" s="29">
        <v>0</v>
      </c>
      <c r="V39" s="29">
        <v>0</v>
      </c>
      <c r="W39" s="28">
        <v>24000</v>
      </c>
      <c r="X39" s="29">
        <v>500</v>
      </c>
      <c r="Y39" s="29">
        <v>0</v>
      </c>
      <c r="Z39" s="28">
        <v>0</v>
      </c>
      <c r="AA39" s="29">
        <v>0</v>
      </c>
      <c r="AB39" s="28">
        <v>23500</v>
      </c>
      <c r="AC39" s="28">
        <v>0</v>
      </c>
      <c r="AD39" s="28">
        <v>0</v>
      </c>
      <c r="AE39" s="28">
        <v>36000</v>
      </c>
      <c r="AF39" s="28">
        <v>0</v>
      </c>
      <c r="AG39" s="28">
        <v>0</v>
      </c>
      <c r="AH39" s="28">
        <v>40000</v>
      </c>
      <c r="AI39" s="28">
        <v>12000</v>
      </c>
      <c r="AJ39" s="28">
        <v>0</v>
      </c>
      <c r="AK39" s="28">
        <v>0</v>
      </c>
      <c r="AL39" s="28">
        <v>0</v>
      </c>
      <c r="AM39" s="30">
        <v>7000</v>
      </c>
      <c r="AN39" s="31">
        <v>0</v>
      </c>
      <c r="AO39" s="30">
        <v>0</v>
      </c>
      <c r="AP39" s="31">
        <v>2800</v>
      </c>
      <c r="AQ39" s="31">
        <v>11000</v>
      </c>
      <c r="AR39" s="31">
        <v>0</v>
      </c>
      <c r="AS39" s="31">
        <v>6000</v>
      </c>
      <c r="AT39" s="31">
        <v>0</v>
      </c>
      <c r="AU39" s="30">
        <v>81</v>
      </c>
      <c r="AX39" s="2">
        <f t="shared" si="0"/>
        <v>69520</v>
      </c>
      <c r="AY39" s="32">
        <f t="shared" si="105"/>
        <v>66412.04705882353</v>
      </c>
      <c r="AZ39" s="186">
        <f t="shared" si="106"/>
        <v>0.49458230849470936</v>
      </c>
      <c r="BA39" s="186">
        <f t="shared" si="107"/>
        <v>0.02535826048799639</v>
      </c>
      <c r="BB39" s="186">
        <f t="shared" si="108"/>
        <v>0.37271408060909095</v>
      </c>
      <c r="BC39" s="53">
        <f t="shared" si="88"/>
        <v>81200</v>
      </c>
      <c r="BD39" s="53">
        <f t="shared" si="5"/>
        <v>36796.115453196275</v>
      </c>
      <c r="BE39" s="53">
        <f t="shared" si="6"/>
        <v>1886.6131371509055</v>
      </c>
      <c r="BF39" s="53">
        <f t="shared" si="7"/>
        <v>27729.318468476355</v>
      </c>
      <c r="BG39" s="53"/>
      <c r="BH39" s="53">
        <f t="shared" si="89"/>
        <v>4</v>
      </c>
      <c r="BI39" s="53">
        <f t="shared" si="90"/>
        <v>4</v>
      </c>
      <c r="BJ39" s="53">
        <f t="shared" si="91"/>
        <v>3</v>
      </c>
      <c r="BK39" s="53">
        <f t="shared" si="92"/>
        <v>3</v>
      </c>
      <c r="BL39" s="53"/>
      <c r="BM39" s="53">
        <f t="shared" si="93"/>
        <v>2</v>
      </c>
      <c r="BN39" s="53">
        <f t="shared" si="94"/>
        <v>2</v>
      </c>
      <c r="BO39" s="53">
        <f t="shared" si="95"/>
        <v>2</v>
      </c>
      <c r="BP39" s="53">
        <f t="shared" si="96"/>
        <v>0</v>
      </c>
      <c r="BQ39" s="53"/>
      <c r="BR39" s="53">
        <f t="shared" si="97"/>
        <v>6.5</v>
      </c>
      <c r="BS39" s="53">
        <f t="shared" si="98"/>
        <v>34.2</v>
      </c>
      <c r="BT39" s="53">
        <f t="shared" si="99"/>
        <v>11</v>
      </c>
      <c r="BU39" s="53">
        <f t="shared" si="109"/>
        <v>24816</v>
      </c>
      <c r="BV39" s="53"/>
      <c r="BW39" s="53">
        <f t="shared" si="183"/>
        <v>15600</v>
      </c>
      <c r="BX39" s="53">
        <f t="shared" si="101"/>
        <v>-21036</v>
      </c>
      <c r="BY39" s="53">
        <f t="shared" si="110"/>
        <v>-18814.91095745311</v>
      </c>
      <c r="BZ39" s="240">
        <f t="shared" si="102"/>
        <v>5.791300000000001</v>
      </c>
      <c r="CC39" s="1">
        <f t="shared" si="111"/>
        <v>0</v>
      </c>
      <c r="CD39" s="195">
        <f t="shared" si="112"/>
        <v>5746.4</v>
      </c>
      <c r="CE39" s="195">
        <f t="shared" si="113"/>
        <v>5746.4</v>
      </c>
      <c r="CF39" s="239">
        <f t="shared" si="114"/>
        <v>2.9</v>
      </c>
      <c r="CG39" s="239">
        <f t="shared" si="114"/>
        <v>19.92</v>
      </c>
      <c r="CH39" s="1">
        <f t="shared" si="103"/>
        <v>9561.6</v>
      </c>
      <c r="CK39" s="211">
        <f t="shared" si="115"/>
        <v>0</v>
      </c>
      <c r="CL39" s="211">
        <f t="shared" si="116"/>
        <v>0</v>
      </c>
      <c r="CM39" s="211">
        <f t="shared" si="117"/>
        <v>0</v>
      </c>
      <c r="CQ39" s="1">
        <f t="shared" si="104"/>
        <v>1</v>
      </c>
      <c r="CR39" s="195">
        <f t="shared" si="17"/>
        <v>10000</v>
      </c>
      <c r="CS39" s="195"/>
      <c r="CT39" s="195"/>
      <c r="CV39" s="199">
        <f t="shared" si="118"/>
        <v>43.18074994986966</v>
      </c>
      <c r="CW39" s="199">
        <f t="shared" si="119"/>
        <v>10.750767996791657</v>
      </c>
      <c r="CX39" s="199">
        <f t="shared" si="120"/>
        <v>43.310046119911775</v>
      </c>
      <c r="CY39" s="199">
        <f t="shared" si="121"/>
        <v>0</v>
      </c>
      <c r="CZ39" s="199">
        <f t="shared" si="122"/>
        <v>0</v>
      </c>
      <c r="DA39" s="199">
        <f t="shared" si="123"/>
        <v>0</v>
      </c>
      <c r="DB39" s="199">
        <f t="shared" si="124"/>
        <v>6.2462562662923595</v>
      </c>
      <c r="DC39" s="199">
        <f t="shared" si="125"/>
        <v>0.13013033888109082</v>
      </c>
      <c r="DD39" s="199">
        <f t="shared" si="126"/>
        <v>0</v>
      </c>
      <c r="DE39" s="199">
        <f t="shared" si="127"/>
        <v>0</v>
      </c>
      <c r="DF39" s="199">
        <f t="shared" si="128"/>
        <v>0</v>
      </c>
      <c r="DG39" s="199">
        <f t="shared" si="129"/>
        <v>31.168718668538197</v>
      </c>
      <c r="DH39" s="199">
        <f t="shared" si="130"/>
        <v>0</v>
      </c>
      <c r="DI39" s="199">
        <f t="shared" si="131"/>
        <v>0</v>
      </c>
      <c r="DJ39" s="199">
        <f t="shared" si="132"/>
        <v>4.918926809705233</v>
      </c>
      <c r="DK39" s="199">
        <f t="shared" si="133"/>
        <v>0</v>
      </c>
      <c r="DL39" s="199">
        <f t="shared" si="134"/>
        <v>0</v>
      </c>
      <c r="DM39" s="199">
        <f t="shared" si="135"/>
        <v>5.465474233005814</v>
      </c>
      <c r="DN39" s="199">
        <f t="shared" si="136"/>
        <v>1.6396422699017443</v>
      </c>
      <c r="DO39" s="199">
        <f t="shared" si="137"/>
        <v>0</v>
      </c>
      <c r="DP39" s="199">
        <f t="shared" si="138"/>
        <v>0</v>
      </c>
      <c r="DQ39" s="199">
        <f t="shared" si="139"/>
        <v>0</v>
      </c>
      <c r="DR39" s="199">
        <f t="shared" si="140"/>
        <v>1.0510527371165028</v>
      </c>
      <c r="DS39" s="199">
        <f t="shared" si="141"/>
        <v>0</v>
      </c>
      <c r="DT39" s="199">
        <f t="shared" si="142"/>
        <v>0</v>
      </c>
      <c r="DU39" s="199">
        <f t="shared" si="143"/>
        <v>0.0008174854622017244</v>
      </c>
      <c r="DV39" s="199">
        <f t="shared" si="144"/>
        <v>0.003211550030078203</v>
      </c>
      <c r="DW39" s="199">
        <f t="shared" si="145"/>
        <v>0</v>
      </c>
      <c r="DX39" s="199">
        <f t="shared" si="146"/>
        <v>0.38838901142971727</v>
      </c>
      <c r="DY39" s="199">
        <f t="shared" si="147"/>
        <v>0</v>
      </c>
      <c r="DZ39" s="199">
        <f t="shared" si="148"/>
        <v>0.005243251654301183</v>
      </c>
      <c r="EA39" s="199">
        <f t="shared" si="149"/>
        <v>38.557606691845855</v>
      </c>
      <c r="EB39" s="199">
        <f t="shared" si="150"/>
        <v>4.629814708793451</v>
      </c>
      <c r="EC39" s="202">
        <f t="shared" si="51"/>
        <v>191.44684808922958</v>
      </c>
      <c r="ED39" s="202">
        <f>SUM(CV39:DI39,DS39:DT39,DW39,DY39,EA39:EB39)</f>
        <v>177.97409074092403</v>
      </c>
      <c r="EE39" s="203">
        <f t="shared" si="52"/>
        <v>29.46056377344094</v>
      </c>
      <c r="EF39" s="199"/>
      <c r="EI39" s="1">
        <f t="shared" si="151"/>
        <v>0.5699766927982697</v>
      </c>
      <c r="EJ39" s="1">
        <f t="shared" si="152"/>
        <v>0.010606863429336002</v>
      </c>
      <c r="EK39" s="1">
        <f t="shared" si="153"/>
        <v>0.24682268761392</v>
      </c>
      <c r="EL39" s="1">
        <f t="shared" si="154"/>
        <v>0</v>
      </c>
      <c r="EM39" s="1">
        <f t="shared" si="155"/>
        <v>0</v>
      </c>
      <c r="EN39" s="1">
        <f t="shared" si="156"/>
        <v>0</v>
      </c>
      <c r="EO39" s="1">
        <f t="shared" si="157"/>
        <v>0.2644897670328</v>
      </c>
      <c r="EP39" s="1">
        <f t="shared" si="158"/>
        <v>0</v>
      </c>
      <c r="EQ39" s="1">
        <f t="shared" si="159"/>
        <v>0</v>
      </c>
      <c r="ER39" s="1">
        <f t="shared" si="160"/>
        <v>0</v>
      </c>
      <c r="ES39" s="1">
        <f t="shared" si="161"/>
        <v>0</v>
      </c>
      <c r="ET39" s="1">
        <f t="shared" si="162"/>
        <v>0.14589546715944002</v>
      </c>
      <c r="EU39" s="1">
        <f t="shared" si="163"/>
        <v>0</v>
      </c>
      <c r="EV39" s="1">
        <f t="shared" si="164"/>
        <v>0</v>
      </c>
      <c r="EW39" s="1">
        <f t="shared" si="165"/>
        <v>0.10099701098903999</v>
      </c>
      <c r="EX39" s="1">
        <f t="shared" si="166"/>
        <v>0</v>
      </c>
      <c r="EY39" s="1">
        <f t="shared" si="167"/>
        <v>0</v>
      </c>
      <c r="EZ39" s="1">
        <f t="shared" si="168"/>
        <v>0.10099701098903999</v>
      </c>
      <c r="FA39" s="1">
        <f t="shared" si="169"/>
        <v>0.059350736407200004</v>
      </c>
      <c r="FB39" s="1">
        <f t="shared" si="170"/>
        <v>0</v>
      </c>
      <c r="FC39" s="1">
        <f t="shared" si="171"/>
        <v>0</v>
      </c>
      <c r="FD39" s="1">
        <f t="shared" si="172"/>
        <v>0</v>
      </c>
      <c r="FE39" s="1">
        <f t="shared" si="173"/>
        <v>0.059350736407200004</v>
      </c>
      <c r="FF39" s="1">
        <f t="shared" si="174"/>
        <v>0</v>
      </c>
      <c r="FG39" s="1">
        <f t="shared" si="175"/>
        <v>0</v>
      </c>
      <c r="FH39" s="1">
        <f t="shared" si="176"/>
        <v>0</v>
      </c>
      <c r="FI39" s="1">
        <f t="shared" si="177"/>
        <v>0</v>
      </c>
      <c r="FJ39" s="1">
        <f t="shared" si="178"/>
        <v>0</v>
      </c>
      <c r="FK39" s="1">
        <f t="shared" si="179"/>
        <v>0</v>
      </c>
      <c r="FL39" s="1">
        <f t="shared" si="180"/>
        <v>0</v>
      </c>
      <c r="FM39" s="1">
        <f t="shared" si="181"/>
        <v>0.0057571153094400015</v>
      </c>
      <c r="FN39" s="1">
        <f t="shared" si="182"/>
        <v>7.46760736344</v>
      </c>
      <c r="FO39" s="1">
        <f>IF(O39=0,0,SUM(EI39:FN39))</f>
        <v>9.031851451575685</v>
      </c>
    </row>
    <row r="40" spans="1:171" ht="12.75">
      <c r="A40" s="24">
        <v>52</v>
      </c>
      <c r="B40" s="25" t="s">
        <v>158</v>
      </c>
      <c r="C40" s="25" t="s">
        <v>159</v>
      </c>
      <c r="D40" s="26" t="s">
        <v>154</v>
      </c>
      <c r="E40" s="26">
        <v>2</v>
      </c>
      <c r="F40" s="26" t="s">
        <v>155</v>
      </c>
      <c r="G40" s="26" t="s">
        <v>74</v>
      </c>
      <c r="H40" s="26" t="s">
        <v>75</v>
      </c>
      <c r="I40" s="26">
        <v>3</v>
      </c>
      <c r="J40" s="26"/>
      <c r="K40" s="26">
        <f t="shared" si="85"/>
        <v>1</v>
      </c>
      <c r="L40" s="26">
        <f t="shared" si="86"/>
        <v>1</v>
      </c>
      <c r="M40" s="24">
        <v>374800</v>
      </c>
      <c r="N40" s="24">
        <v>965200</v>
      </c>
      <c r="O40" s="27">
        <f t="shared" si="87"/>
        <v>106000</v>
      </c>
      <c r="P40" s="28">
        <v>106000</v>
      </c>
      <c r="Q40" s="28">
        <v>112000</v>
      </c>
      <c r="R40" s="28">
        <v>41000</v>
      </c>
      <c r="S40" s="29">
        <v>19000</v>
      </c>
      <c r="T40" s="29">
        <v>0</v>
      </c>
      <c r="U40" s="29">
        <v>0</v>
      </c>
      <c r="V40" s="29">
        <v>0</v>
      </c>
      <c r="W40" s="28">
        <v>39000</v>
      </c>
      <c r="X40" s="29">
        <v>0</v>
      </c>
      <c r="Y40" s="29">
        <v>0</v>
      </c>
      <c r="Z40" s="28">
        <v>0</v>
      </c>
      <c r="AA40" s="29">
        <v>0</v>
      </c>
      <c r="AB40" s="28">
        <v>7500</v>
      </c>
      <c r="AC40" s="28">
        <v>22500</v>
      </c>
      <c r="AD40" s="28">
        <v>0</v>
      </c>
      <c r="AE40" s="28">
        <v>42000</v>
      </c>
      <c r="AF40" s="28">
        <v>0</v>
      </c>
      <c r="AG40" s="28">
        <v>12500</v>
      </c>
      <c r="AH40" s="28">
        <v>24000</v>
      </c>
      <c r="AI40" s="28">
        <v>0</v>
      </c>
      <c r="AJ40" s="28">
        <v>0</v>
      </c>
      <c r="AK40" s="28">
        <v>45000</v>
      </c>
      <c r="AL40" s="28">
        <v>0</v>
      </c>
      <c r="AM40" s="30">
        <v>13500</v>
      </c>
      <c r="AN40" s="31">
        <v>2200</v>
      </c>
      <c r="AO40" s="30">
        <v>0</v>
      </c>
      <c r="AP40" s="31">
        <v>850</v>
      </c>
      <c r="AQ40" s="31">
        <v>12500</v>
      </c>
      <c r="AR40" s="31">
        <v>0</v>
      </c>
      <c r="AS40" s="31">
        <v>5000</v>
      </c>
      <c r="AT40" s="31">
        <v>6</v>
      </c>
      <c r="AU40" s="30">
        <v>230</v>
      </c>
      <c r="AX40" s="2">
        <f t="shared" si="0"/>
        <v>92224</v>
      </c>
      <c r="AY40" s="32">
        <f t="shared" si="105"/>
        <v>87283.42857142857</v>
      </c>
      <c r="AZ40" s="186">
        <f t="shared" si="106"/>
        <v>0.49458230849470936</v>
      </c>
      <c r="BA40" s="186">
        <f t="shared" si="107"/>
        <v>0.02535826048799639</v>
      </c>
      <c r="BB40" s="186">
        <f t="shared" si="108"/>
        <v>0.37271408060909095</v>
      </c>
      <c r="BC40" s="53">
        <f t="shared" si="88"/>
        <v>106000</v>
      </c>
      <c r="BD40" s="53">
        <f t="shared" si="5"/>
        <v>48360.06804639504</v>
      </c>
      <c r="BE40" s="53">
        <f t="shared" si="6"/>
        <v>2479.5209648119358</v>
      </c>
      <c r="BF40" s="53">
        <f t="shared" si="7"/>
        <v>36443.83956022158</v>
      </c>
      <c r="BG40" s="53"/>
      <c r="BH40" s="53">
        <f t="shared" si="89"/>
        <v>5</v>
      </c>
      <c r="BI40" s="53">
        <f t="shared" si="90"/>
        <v>5</v>
      </c>
      <c r="BJ40" s="53">
        <f t="shared" si="91"/>
        <v>3</v>
      </c>
      <c r="BK40" s="53">
        <f t="shared" si="92"/>
        <v>4</v>
      </c>
      <c r="BL40" s="53"/>
      <c r="BM40" s="53">
        <f t="shared" si="93"/>
        <v>2</v>
      </c>
      <c r="BN40" s="53">
        <f t="shared" si="94"/>
        <v>2</v>
      </c>
      <c r="BO40" s="53">
        <f t="shared" si="95"/>
        <v>2</v>
      </c>
      <c r="BP40" s="53">
        <f t="shared" si="96"/>
        <v>0</v>
      </c>
      <c r="BQ40" s="53"/>
      <c r="BR40" s="53">
        <f t="shared" si="97"/>
        <v>6.5</v>
      </c>
      <c r="BS40" s="53">
        <f t="shared" si="98"/>
        <v>34.2</v>
      </c>
      <c r="BT40" s="53">
        <f t="shared" si="99"/>
        <v>11</v>
      </c>
      <c r="BU40" s="53">
        <f t="shared" si="109"/>
        <v>24816</v>
      </c>
      <c r="BV40" s="53"/>
      <c r="BW40" s="53">
        <f t="shared" si="183"/>
        <v>15600</v>
      </c>
      <c r="BX40" s="53">
        <f t="shared" si="101"/>
        <v>-21036</v>
      </c>
      <c r="BY40" s="53">
        <f t="shared" si="110"/>
        <v>-18814.91095745311</v>
      </c>
      <c r="BZ40" s="240">
        <f t="shared" si="102"/>
        <v>5.791300000000001</v>
      </c>
      <c r="CC40" s="1">
        <f t="shared" si="111"/>
        <v>0</v>
      </c>
      <c r="CD40" s="195">
        <f t="shared" si="112"/>
        <v>5746.4</v>
      </c>
      <c r="CE40" s="195">
        <f t="shared" si="113"/>
        <v>5746.4</v>
      </c>
      <c r="CF40" s="239">
        <f t="shared" si="114"/>
        <v>2.9</v>
      </c>
      <c r="CG40" s="239">
        <f t="shared" si="114"/>
        <v>19.92</v>
      </c>
      <c r="CH40" s="1">
        <f t="shared" si="103"/>
        <v>9561.6</v>
      </c>
      <c r="CK40" s="211">
        <f t="shared" si="115"/>
        <v>0</v>
      </c>
      <c r="CL40" s="211">
        <f t="shared" si="116"/>
        <v>0</v>
      </c>
      <c r="CM40" s="211">
        <f t="shared" si="117"/>
        <v>0</v>
      </c>
      <c r="CQ40" s="1">
        <f t="shared" si="104"/>
        <v>1</v>
      </c>
      <c r="CR40" s="195">
        <f t="shared" si="17"/>
        <v>10000</v>
      </c>
      <c r="CS40" s="195"/>
      <c r="CT40" s="195"/>
      <c r="CV40" s="199">
        <f t="shared" si="118"/>
        <v>56.89698816924002</v>
      </c>
      <c r="CW40" s="199">
        <f t="shared" si="119"/>
        <v>12.312332063364748</v>
      </c>
      <c r="CX40" s="199">
        <f t="shared" si="120"/>
        <v>37.4041307399238</v>
      </c>
      <c r="CY40" s="199">
        <f t="shared" si="121"/>
        <v>0</v>
      </c>
      <c r="CZ40" s="199">
        <f t="shared" si="122"/>
        <v>0</v>
      </c>
      <c r="DA40" s="199">
        <f t="shared" si="123"/>
        <v>0</v>
      </c>
      <c r="DB40" s="199">
        <f t="shared" si="124"/>
        <v>10.150166432725085</v>
      </c>
      <c r="DC40" s="199">
        <f t="shared" si="125"/>
        <v>0</v>
      </c>
      <c r="DD40" s="199">
        <f t="shared" si="126"/>
        <v>0</v>
      </c>
      <c r="DE40" s="199">
        <f t="shared" si="127"/>
        <v>0</v>
      </c>
      <c r="DF40" s="199">
        <f t="shared" si="128"/>
        <v>0</v>
      </c>
      <c r="DG40" s="199">
        <f t="shared" si="129"/>
        <v>9.947463404852616</v>
      </c>
      <c r="DH40" s="199">
        <f t="shared" si="130"/>
        <v>29.84239021455785</v>
      </c>
      <c r="DI40" s="199">
        <f t="shared" si="131"/>
        <v>0</v>
      </c>
      <c r="DJ40" s="199">
        <f t="shared" si="132"/>
        <v>5.738747944656105</v>
      </c>
      <c r="DK40" s="199">
        <f t="shared" si="133"/>
        <v>0</v>
      </c>
      <c r="DL40" s="199">
        <f t="shared" si="134"/>
        <v>1.707960697814317</v>
      </c>
      <c r="DM40" s="199">
        <f t="shared" si="135"/>
        <v>3.2792845398034887</v>
      </c>
      <c r="DN40" s="199">
        <f t="shared" si="136"/>
        <v>0</v>
      </c>
      <c r="DO40" s="199">
        <f t="shared" si="137"/>
        <v>0</v>
      </c>
      <c r="DP40" s="199">
        <f t="shared" si="138"/>
        <v>6.148658512131541</v>
      </c>
      <c r="DQ40" s="199">
        <f t="shared" si="139"/>
        <v>0</v>
      </c>
      <c r="DR40" s="199">
        <f t="shared" si="140"/>
        <v>2.027030278724684</v>
      </c>
      <c r="DS40" s="199">
        <f t="shared" si="141"/>
        <v>5.835845197513534</v>
      </c>
      <c r="DT40" s="199">
        <f t="shared" si="142"/>
        <v>0</v>
      </c>
      <c r="DU40" s="199">
        <f t="shared" si="143"/>
        <v>0.0002481652295969521</v>
      </c>
      <c r="DV40" s="199">
        <f t="shared" si="144"/>
        <v>0.0036494886705434122</v>
      </c>
      <c r="DW40" s="199">
        <f t="shared" si="145"/>
        <v>0</v>
      </c>
      <c r="DX40" s="199">
        <f t="shared" si="146"/>
        <v>0.32365750952476435</v>
      </c>
      <c r="DY40" s="199">
        <f t="shared" si="147"/>
        <v>0.24824864648085018</v>
      </c>
      <c r="DZ40" s="199">
        <f t="shared" si="148"/>
        <v>0.014888245438139162</v>
      </c>
      <c r="EA40" s="199">
        <f t="shared" si="149"/>
        <v>50.67514492652324</v>
      </c>
      <c r="EB40" s="199">
        <f t="shared" si="150"/>
        <v>6.06228609653671</v>
      </c>
      <c r="EC40" s="202">
        <f t="shared" si="51"/>
        <v>238.61912127371158</v>
      </c>
      <c r="ED40" s="202">
        <f>SUM(CV40:DI40,DS40:DT40,DW40,DY40,EA40:EB40)</f>
        <v>219.3749958917184</v>
      </c>
      <c r="EE40" s="203">
        <f t="shared" si="52"/>
        <v>36.3137748301484</v>
      </c>
      <c r="EF40" s="199"/>
      <c r="EI40" s="1">
        <f t="shared" si="151"/>
        <v>0.5699766927982697</v>
      </c>
      <c r="EJ40" s="1">
        <f t="shared" si="152"/>
        <v>0.010606863429336002</v>
      </c>
      <c r="EK40" s="1">
        <f t="shared" si="153"/>
        <v>0.24682268761392</v>
      </c>
      <c r="EL40" s="1">
        <f t="shared" si="154"/>
        <v>0</v>
      </c>
      <c r="EM40" s="1">
        <f t="shared" si="155"/>
        <v>0</v>
      </c>
      <c r="EN40" s="1">
        <f t="shared" si="156"/>
        <v>0</v>
      </c>
      <c r="EO40" s="1">
        <f t="shared" si="157"/>
        <v>0.2644897670328</v>
      </c>
      <c r="EP40" s="1">
        <f t="shared" si="158"/>
        <v>0</v>
      </c>
      <c r="EQ40" s="1">
        <f t="shared" si="159"/>
        <v>0</v>
      </c>
      <c r="ER40" s="1">
        <f t="shared" si="160"/>
        <v>0</v>
      </c>
      <c r="ES40" s="1">
        <f t="shared" si="161"/>
        <v>0</v>
      </c>
      <c r="ET40" s="1">
        <f t="shared" si="162"/>
        <v>0.07346601658824001</v>
      </c>
      <c r="EU40" s="1">
        <f t="shared" si="163"/>
        <v>0.14589546715944002</v>
      </c>
      <c r="EV40" s="1">
        <f t="shared" si="164"/>
        <v>0</v>
      </c>
      <c r="EW40" s="1">
        <f t="shared" si="165"/>
        <v>0.10099701098903999</v>
      </c>
      <c r="EX40" s="1">
        <f t="shared" si="166"/>
        <v>0</v>
      </c>
      <c r="EY40" s="1">
        <f t="shared" si="167"/>
        <v>0.059350736407200004</v>
      </c>
      <c r="EZ40" s="1">
        <f t="shared" si="168"/>
        <v>0.059350736407200004</v>
      </c>
      <c r="FA40" s="1">
        <f t="shared" si="169"/>
        <v>0</v>
      </c>
      <c r="FB40" s="1">
        <f t="shared" si="170"/>
        <v>0</v>
      </c>
      <c r="FC40" s="1">
        <f t="shared" si="171"/>
        <v>0.10099701098903999</v>
      </c>
      <c r="FD40" s="1">
        <f t="shared" si="172"/>
        <v>0</v>
      </c>
      <c r="FE40" s="1">
        <f t="shared" si="173"/>
        <v>0.059350736407200004</v>
      </c>
      <c r="FF40" s="1">
        <f t="shared" si="174"/>
        <v>0.059350736407200004</v>
      </c>
      <c r="FG40" s="1">
        <f t="shared" si="175"/>
        <v>0</v>
      </c>
      <c r="FH40" s="1">
        <f t="shared" si="176"/>
        <v>0</v>
      </c>
      <c r="FI40" s="1">
        <f t="shared" si="177"/>
        <v>0</v>
      </c>
      <c r="FJ40" s="1">
        <f t="shared" si="178"/>
        <v>0</v>
      </c>
      <c r="FK40" s="1">
        <f t="shared" si="179"/>
        <v>0</v>
      </c>
      <c r="FL40" s="1">
        <f t="shared" si="180"/>
        <v>4.300268812675172</v>
      </c>
      <c r="FM40" s="1">
        <f t="shared" si="181"/>
        <v>0.0057571153094400015</v>
      </c>
      <c r="FN40" s="1">
        <f t="shared" si="182"/>
        <v>7.46760736344</v>
      </c>
      <c r="FO40" s="1">
        <f>IF(O40=0,0,SUM(EI40:FN40))</f>
        <v>13.524287753653496</v>
      </c>
    </row>
    <row r="41" spans="1:171" ht="12.75">
      <c r="A41" s="33">
        <v>99</v>
      </c>
      <c r="B41" s="34" t="s">
        <v>160</v>
      </c>
      <c r="C41" s="34" t="s">
        <v>161</v>
      </c>
      <c r="D41" s="35" t="s">
        <v>162</v>
      </c>
      <c r="E41" s="35">
        <v>2</v>
      </c>
      <c r="F41" s="35" t="s">
        <v>155</v>
      </c>
      <c r="G41" s="35" t="s">
        <v>74</v>
      </c>
      <c r="H41" s="35" t="s">
        <v>75</v>
      </c>
      <c r="I41" s="35">
        <v>3</v>
      </c>
      <c r="J41" s="35"/>
      <c r="K41" s="26">
        <f t="shared" si="85"/>
        <v>1</v>
      </c>
      <c r="L41" s="26">
        <f t="shared" si="86"/>
        <v>1</v>
      </c>
      <c r="M41" s="33">
        <v>364135</v>
      </c>
      <c r="N41" s="33">
        <v>970513</v>
      </c>
      <c r="O41" s="27">
        <f t="shared" si="87"/>
        <v>194000</v>
      </c>
      <c r="P41" s="30">
        <v>194000</v>
      </c>
      <c r="Q41" s="30">
        <v>212715</v>
      </c>
      <c r="R41" s="30">
        <v>88139</v>
      </c>
      <c r="S41" s="31">
        <v>27660</v>
      </c>
      <c r="T41" s="31">
        <v>0</v>
      </c>
      <c r="U41" s="31">
        <v>0</v>
      </c>
      <c r="V41" s="31">
        <v>0</v>
      </c>
      <c r="W41" s="30">
        <v>69802</v>
      </c>
      <c r="X41" s="31">
        <v>0</v>
      </c>
      <c r="Y41" s="31">
        <v>0</v>
      </c>
      <c r="Z41" s="30">
        <v>0</v>
      </c>
      <c r="AA41" s="31">
        <v>0</v>
      </c>
      <c r="AB41" s="30">
        <v>0</v>
      </c>
      <c r="AC41" s="30">
        <v>54190</v>
      </c>
      <c r="AD41" s="30">
        <v>0</v>
      </c>
      <c r="AE41" s="30">
        <v>50700</v>
      </c>
      <c r="AF41" s="30">
        <v>48270</v>
      </c>
      <c r="AG41" s="30">
        <v>15780</v>
      </c>
      <c r="AH41" s="30">
        <v>37460</v>
      </c>
      <c r="AI41" s="30">
        <v>25000</v>
      </c>
      <c r="AJ41" s="30">
        <v>0</v>
      </c>
      <c r="AK41" s="30">
        <v>23540</v>
      </c>
      <c r="AL41" s="30">
        <v>14240</v>
      </c>
      <c r="AM41" s="30">
        <v>17220</v>
      </c>
      <c r="AN41" s="31">
        <v>0</v>
      </c>
      <c r="AO41" s="30">
        <v>0</v>
      </c>
      <c r="AP41" s="31">
        <v>8800</v>
      </c>
      <c r="AQ41" s="31">
        <v>0</v>
      </c>
      <c r="AR41" s="31">
        <v>0</v>
      </c>
      <c r="AS41" s="31">
        <v>6300</v>
      </c>
      <c r="AT41" s="31">
        <v>35</v>
      </c>
      <c r="AU41" s="30">
        <v>34</v>
      </c>
      <c r="AX41" s="2">
        <f t="shared" si="0"/>
        <v>181645.2</v>
      </c>
      <c r="AY41" s="32">
        <f t="shared" si="105"/>
        <v>165663.76983287497</v>
      </c>
      <c r="AZ41" s="186">
        <f t="shared" si="106"/>
        <v>0.49458230849470936</v>
      </c>
      <c r="BA41" s="186">
        <f t="shared" si="107"/>
        <v>0.02535826048799639</v>
      </c>
      <c r="BB41" s="186">
        <f t="shared" si="108"/>
        <v>0.37271408060909095</v>
      </c>
      <c r="BC41" s="53">
        <f t="shared" si="88"/>
        <v>194000</v>
      </c>
      <c r="BD41" s="53">
        <f t="shared" si="5"/>
        <v>91787.31075376953</v>
      </c>
      <c r="BE41" s="53">
        <f t="shared" si="6"/>
        <v>4706.125746128783</v>
      </c>
      <c r="BF41" s="53">
        <f t="shared" si="7"/>
        <v>69170.33333297665</v>
      </c>
      <c r="BG41" s="53"/>
      <c r="BH41" s="53">
        <f t="shared" si="89"/>
        <v>8</v>
      </c>
      <c r="BI41" s="53">
        <f t="shared" si="90"/>
        <v>7</v>
      </c>
      <c r="BJ41" s="53">
        <f t="shared" si="91"/>
        <v>3</v>
      </c>
      <c r="BK41" s="53">
        <f t="shared" si="92"/>
        <v>6</v>
      </c>
      <c r="BL41" s="53"/>
      <c r="BM41" s="53">
        <f t="shared" si="93"/>
        <v>4</v>
      </c>
      <c r="BN41" s="53">
        <f t="shared" si="94"/>
        <v>3</v>
      </c>
      <c r="BO41" s="53">
        <f t="shared" si="95"/>
        <v>2</v>
      </c>
      <c r="BP41" s="53">
        <f t="shared" si="96"/>
        <v>0</v>
      </c>
      <c r="BQ41" s="53"/>
      <c r="BR41" s="53">
        <f t="shared" si="97"/>
        <v>13</v>
      </c>
      <c r="BS41" s="53">
        <f t="shared" si="98"/>
        <v>51.300000000000004</v>
      </c>
      <c r="BT41" s="53">
        <f t="shared" si="99"/>
        <v>11</v>
      </c>
      <c r="BU41" s="53">
        <f t="shared" si="109"/>
        <v>36144.00000000001</v>
      </c>
      <c r="BV41" s="53"/>
      <c r="BW41" s="53">
        <f t="shared" si="183"/>
        <v>23400</v>
      </c>
      <c r="BX41" s="53">
        <f t="shared" si="101"/>
        <v>-30474.000000000007</v>
      </c>
      <c r="BY41" s="53">
        <f t="shared" si="110"/>
        <v>-27142.366436179673</v>
      </c>
      <c r="BZ41" s="240">
        <f t="shared" si="102"/>
        <v>8.2337</v>
      </c>
      <c r="CC41" s="1">
        <f t="shared" si="111"/>
        <v>0</v>
      </c>
      <c r="CD41" s="195">
        <f t="shared" si="112"/>
        <v>5746.4</v>
      </c>
      <c r="CE41" s="195">
        <f t="shared" si="113"/>
        <v>5746.4</v>
      </c>
      <c r="CF41" s="239">
        <f t="shared" si="114"/>
        <v>2.9</v>
      </c>
      <c r="CG41" s="239">
        <f t="shared" si="114"/>
        <v>19.92</v>
      </c>
      <c r="CH41" s="1">
        <f t="shared" si="103"/>
        <v>9561.6</v>
      </c>
      <c r="CK41" s="211">
        <f t="shared" si="115"/>
        <v>0</v>
      </c>
      <c r="CL41" s="211">
        <f t="shared" si="116"/>
        <v>0</v>
      </c>
      <c r="CM41" s="211">
        <f t="shared" si="117"/>
        <v>0</v>
      </c>
      <c r="CQ41" s="1">
        <f t="shared" si="104"/>
        <v>1</v>
      </c>
      <c r="CR41" s="195">
        <f t="shared" si="17"/>
        <v>10000</v>
      </c>
      <c r="CS41" s="195"/>
      <c r="CT41" s="195"/>
      <c r="CV41" s="199">
        <f t="shared" si="118"/>
        <v>108.06109677160616</v>
      </c>
      <c r="CW41" s="199">
        <f t="shared" si="119"/>
        <v>26.46821062763184</v>
      </c>
      <c r="CX41" s="199">
        <f t="shared" si="120"/>
        <v>54.45253980348907</v>
      </c>
      <c r="CY41" s="199">
        <f t="shared" si="121"/>
        <v>0</v>
      </c>
      <c r="CZ41" s="199">
        <f t="shared" si="122"/>
        <v>0</v>
      </c>
      <c r="DA41" s="199">
        <f t="shared" si="123"/>
        <v>0</v>
      </c>
      <c r="DB41" s="199">
        <f t="shared" si="124"/>
        <v>18.1667158291558</v>
      </c>
      <c r="DC41" s="199">
        <f t="shared" si="125"/>
        <v>0</v>
      </c>
      <c r="DD41" s="199">
        <f t="shared" si="126"/>
        <v>0</v>
      </c>
      <c r="DE41" s="199">
        <f t="shared" si="127"/>
        <v>0</v>
      </c>
      <c r="DF41" s="199">
        <f t="shared" si="128"/>
        <v>0</v>
      </c>
      <c r="DG41" s="199">
        <f t="shared" si="129"/>
        <v>0</v>
      </c>
      <c r="DH41" s="199">
        <f t="shared" si="130"/>
        <v>71.8737389211951</v>
      </c>
      <c r="DI41" s="199">
        <f t="shared" si="131"/>
        <v>0</v>
      </c>
      <c r="DJ41" s="199">
        <f t="shared" si="132"/>
        <v>6.92748859033487</v>
      </c>
      <c r="DK41" s="199">
        <f t="shared" si="133"/>
        <v>6.595461030679767</v>
      </c>
      <c r="DL41" s="199">
        <f t="shared" si="134"/>
        <v>2.156129584920794</v>
      </c>
      <c r="DM41" s="199">
        <f t="shared" si="135"/>
        <v>5.118416619209945</v>
      </c>
      <c r="DN41" s="199">
        <f t="shared" si="136"/>
        <v>3.415921395628634</v>
      </c>
      <c r="DO41" s="199">
        <f t="shared" si="137"/>
        <v>0</v>
      </c>
      <c r="DP41" s="199">
        <f t="shared" si="138"/>
        <v>3.216431586123922</v>
      </c>
      <c r="DQ41" s="199">
        <f t="shared" si="139"/>
        <v>1.9457088269500697</v>
      </c>
      <c r="DR41" s="199">
        <f t="shared" si="140"/>
        <v>2.585589733306597</v>
      </c>
      <c r="DS41" s="199">
        <f t="shared" si="141"/>
        <v>0</v>
      </c>
      <c r="DT41" s="199">
        <f t="shared" si="142"/>
        <v>0</v>
      </c>
      <c r="DU41" s="199">
        <f t="shared" si="143"/>
        <v>0.0025692400240625627</v>
      </c>
      <c r="DV41" s="199">
        <f t="shared" si="144"/>
        <v>0</v>
      </c>
      <c r="DW41" s="199">
        <f t="shared" si="145"/>
        <v>0</v>
      </c>
      <c r="DX41" s="199">
        <f t="shared" si="146"/>
        <v>0.4078084620012031</v>
      </c>
      <c r="DY41" s="199">
        <f t="shared" si="147"/>
        <v>1.448117104471626</v>
      </c>
      <c r="DZ41" s="199">
        <f t="shared" si="148"/>
        <v>0.0022008710647683973</v>
      </c>
      <c r="EA41" s="199">
        <f t="shared" si="149"/>
        <v>96.18132196176315</v>
      </c>
      <c r="EB41" s="199">
        <f t="shared" si="150"/>
        <v>11.280763629873464</v>
      </c>
      <c r="EC41" s="202">
        <f t="shared" si="51"/>
        <v>420.30623058943087</v>
      </c>
      <c r="ED41" s="202">
        <f>SUM(CV41:DI41,DS41:DT41,DW41,DY41,EA41:EB41)</f>
        <v>387.9325046491863</v>
      </c>
      <c r="EE41" s="203">
        <f t="shared" si="52"/>
        <v>64.21558466981995</v>
      </c>
      <c r="EF41" s="199"/>
      <c r="EI41" s="1">
        <f t="shared" si="151"/>
        <v>0.5699766927982697</v>
      </c>
      <c r="EJ41" s="1">
        <f t="shared" si="152"/>
        <v>0.010606863429336002</v>
      </c>
      <c r="EK41" s="1">
        <f t="shared" si="153"/>
        <v>0.24682268761392</v>
      </c>
      <c r="EL41" s="1">
        <f t="shared" si="154"/>
        <v>0</v>
      </c>
      <c r="EM41" s="1">
        <f t="shared" si="155"/>
        <v>0</v>
      </c>
      <c r="EN41" s="1">
        <f t="shared" si="156"/>
        <v>0</v>
      </c>
      <c r="EO41" s="1">
        <f t="shared" si="157"/>
        <v>0.2644897670328</v>
      </c>
      <c r="EP41" s="1">
        <f t="shared" si="158"/>
        <v>0</v>
      </c>
      <c r="EQ41" s="1">
        <f t="shared" si="159"/>
        <v>0</v>
      </c>
      <c r="ER41" s="1">
        <f t="shared" si="160"/>
        <v>0</v>
      </c>
      <c r="ES41" s="1">
        <f t="shared" si="161"/>
        <v>0</v>
      </c>
      <c r="ET41" s="1">
        <f t="shared" si="162"/>
        <v>0</v>
      </c>
      <c r="EU41" s="1">
        <f t="shared" si="163"/>
        <v>0.14589546715944002</v>
      </c>
      <c r="EV41" s="1">
        <f t="shared" si="164"/>
        <v>0</v>
      </c>
      <c r="EW41" s="1">
        <f t="shared" si="165"/>
        <v>0.10099701098903999</v>
      </c>
      <c r="EX41" s="1">
        <f t="shared" si="166"/>
        <v>0.10099701098903999</v>
      </c>
      <c r="EY41" s="1">
        <f t="shared" si="167"/>
        <v>0.059350736407200004</v>
      </c>
      <c r="EZ41" s="1">
        <f t="shared" si="168"/>
        <v>0.10099701098903999</v>
      </c>
      <c r="FA41" s="1">
        <f t="shared" si="169"/>
        <v>0.059350736407200004</v>
      </c>
      <c r="FB41" s="1">
        <f t="shared" si="170"/>
        <v>0</v>
      </c>
      <c r="FC41" s="1">
        <f t="shared" si="171"/>
        <v>0.059350736407200004</v>
      </c>
      <c r="FD41" s="1">
        <f t="shared" si="172"/>
        <v>0.059350736407200004</v>
      </c>
      <c r="FE41" s="1">
        <f t="shared" si="173"/>
        <v>0.059350736407200004</v>
      </c>
      <c r="FF41" s="1">
        <f t="shared" si="174"/>
        <v>0</v>
      </c>
      <c r="FG41" s="1">
        <f t="shared" si="175"/>
        <v>0</v>
      </c>
      <c r="FH41" s="1">
        <f t="shared" si="176"/>
        <v>0</v>
      </c>
      <c r="FI41" s="1">
        <f t="shared" si="177"/>
        <v>0</v>
      </c>
      <c r="FJ41" s="1">
        <f t="shared" si="178"/>
        <v>0</v>
      </c>
      <c r="FK41" s="1">
        <f t="shared" si="179"/>
        <v>0</v>
      </c>
      <c r="FL41" s="1">
        <f t="shared" si="180"/>
        <v>4.263919336981805</v>
      </c>
      <c r="FM41" s="1">
        <f t="shared" si="181"/>
        <v>0.0034234991863440005</v>
      </c>
      <c r="FN41" s="1">
        <f t="shared" si="182"/>
        <v>7.46760736344</v>
      </c>
      <c r="FO41" s="1">
        <f>IF(O41=0,0,SUM(EI41:FN41))</f>
        <v>13.572486392645034</v>
      </c>
    </row>
    <row r="42" spans="1:171" ht="12.75">
      <c r="A42" s="33">
        <v>100</v>
      </c>
      <c r="B42" s="41" t="s">
        <v>163</v>
      </c>
      <c r="C42" s="34" t="s">
        <v>164</v>
      </c>
      <c r="D42" s="35" t="s">
        <v>162</v>
      </c>
      <c r="E42" s="35">
        <v>2</v>
      </c>
      <c r="F42" s="35" t="s">
        <v>155</v>
      </c>
      <c r="G42" s="35" t="s">
        <v>74</v>
      </c>
      <c r="H42" s="35" t="s">
        <v>75</v>
      </c>
      <c r="I42" s="35">
        <v>3</v>
      </c>
      <c r="J42" s="35"/>
      <c r="K42" s="26">
        <f t="shared" si="85"/>
        <v>1</v>
      </c>
      <c r="L42" s="26">
        <f t="shared" si="86"/>
        <v>1</v>
      </c>
      <c r="M42" s="33">
        <v>343900</v>
      </c>
      <c r="N42" s="33">
        <v>971100</v>
      </c>
      <c r="O42" s="27">
        <f t="shared" si="87"/>
        <v>54000</v>
      </c>
      <c r="P42" s="30">
        <v>54000</v>
      </c>
      <c r="Q42" s="30">
        <v>56500</v>
      </c>
      <c r="R42" s="30">
        <v>17700</v>
      </c>
      <c r="S42" s="31">
        <v>0</v>
      </c>
      <c r="T42" s="31">
        <v>0</v>
      </c>
      <c r="U42" s="31">
        <v>0</v>
      </c>
      <c r="V42" s="31">
        <v>0</v>
      </c>
      <c r="W42" s="30">
        <v>21000</v>
      </c>
      <c r="X42" s="31">
        <v>0</v>
      </c>
      <c r="Y42" s="30">
        <v>7000</v>
      </c>
      <c r="Z42" s="30">
        <v>0</v>
      </c>
      <c r="AA42" s="30">
        <v>0</v>
      </c>
      <c r="AB42" s="30">
        <v>15000</v>
      </c>
      <c r="AC42" s="30">
        <v>0</v>
      </c>
      <c r="AD42" s="30">
        <v>4850</v>
      </c>
      <c r="AE42" s="30">
        <v>13000</v>
      </c>
      <c r="AF42" s="30">
        <v>0</v>
      </c>
      <c r="AG42" s="30">
        <v>0</v>
      </c>
      <c r="AH42" s="30">
        <v>0</v>
      </c>
      <c r="AI42" s="30">
        <v>0</v>
      </c>
      <c r="AJ42" s="30">
        <v>0</v>
      </c>
      <c r="AK42" s="30">
        <v>0</v>
      </c>
      <c r="AL42" s="30">
        <v>0</v>
      </c>
      <c r="AM42" s="30">
        <v>5000</v>
      </c>
      <c r="AN42" s="31">
        <v>0</v>
      </c>
      <c r="AO42" s="30">
        <v>6000</v>
      </c>
      <c r="AP42" s="31">
        <v>0</v>
      </c>
      <c r="AQ42" s="31">
        <v>4200</v>
      </c>
      <c r="AR42" s="31">
        <v>0</v>
      </c>
      <c r="AS42" s="31">
        <v>0</v>
      </c>
      <c r="AT42" s="31">
        <v>0</v>
      </c>
      <c r="AU42" s="30">
        <v>36</v>
      </c>
      <c r="AX42" s="2">
        <f t="shared" si="0"/>
        <v>44440</v>
      </c>
      <c r="AY42" s="32">
        <f t="shared" si="105"/>
        <v>42473.62831858407</v>
      </c>
      <c r="AZ42" s="186">
        <f t="shared" si="106"/>
        <v>0.49458230849470936</v>
      </c>
      <c r="BA42" s="186">
        <f t="shared" si="107"/>
        <v>0.02535826048799639</v>
      </c>
      <c r="BB42" s="186">
        <f t="shared" si="108"/>
        <v>0.37271408060909095</v>
      </c>
      <c r="BC42" s="53">
        <f t="shared" si="88"/>
        <v>54000</v>
      </c>
      <c r="BD42" s="53">
        <f t="shared" si="5"/>
        <v>23532.846833383723</v>
      </c>
      <c r="BE42" s="53">
        <f t="shared" si="6"/>
        <v>1206.5778532218749</v>
      </c>
      <c r="BF42" s="53">
        <f t="shared" si="7"/>
        <v>17734.20363197847</v>
      </c>
      <c r="BG42" s="53"/>
      <c r="BH42" s="53">
        <f t="shared" si="89"/>
        <v>3</v>
      </c>
      <c r="BI42" s="53">
        <f t="shared" si="90"/>
        <v>4</v>
      </c>
      <c r="BJ42" s="53">
        <f t="shared" si="91"/>
        <v>3</v>
      </c>
      <c r="BK42" s="53">
        <f t="shared" si="92"/>
        <v>3</v>
      </c>
      <c r="BL42" s="53"/>
      <c r="BM42" s="53">
        <f t="shared" si="93"/>
        <v>2</v>
      </c>
      <c r="BN42" s="53">
        <f t="shared" si="94"/>
        <v>2</v>
      </c>
      <c r="BO42" s="53">
        <f t="shared" si="95"/>
        <v>2</v>
      </c>
      <c r="BP42" s="53">
        <f t="shared" si="96"/>
        <v>0</v>
      </c>
      <c r="BQ42" s="53"/>
      <c r="BR42" s="53">
        <f t="shared" si="97"/>
        <v>6.5</v>
      </c>
      <c r="BS42" s="53">
        <f t="shared" si="98"/>
        <v>34.2</v>
      </c>
      <c r="BT42" s="53">
        <f t="shared" si="99"/>
        <v>11</v>
      </c>
      <c r="BU42" s="53">
        <f t="shared" si="109"/>
        <v>24816</v>
      </c>
      <c r="BV42" s="53"/>
      <c r="BW42" s="53">
        <f t="shared" si="183"/>
        <v>15600</v>
      </c>
      <c r="BX42" s="53">
        <f t="shared" si="101"/>
        <v>-21036</v>
      </c>
      <c r="BY42" s="53">
        <f t="shared" si="110"/>
        <v>-18814.91095745311</v>
      </c>
      <c r="BZ42" s="240">
        <f t="shared" si="102"/>
        <v>5.791300000000001</v>
      </c>
      <c r="CC42" s="1">
        <f t="shared" si="111"/>
        <v>0</v>
      </c>
      <c r="CD42" s="195">
        <f t="shared" si="112"/>
        <v>2873.2</v>
      </c>
      <c r="CE42" s="195">
        <f t="shared" si="113"/>
        <v>2873.2</v>
      </c>
      <c r="CF42" s="239">
        <f t="shared" si="114"/>
        <v>1.45</v>
      </c>
      <c r="CG42" s="239">
        <f t="shared" si="114"/>
        <v>9.96</v>
      </c>
      <c r="CH42" s="1">
        <f t="shared" si="103"/>
        <v>4780.8</v>
      </c>
      <c r="CK42" s="211">
        <f t="shared" si="115"/>
        <v>0</v>
      </c>
      <c r="CL42" s="211">
        <f t="shared" si="116"/>
        <v>0</v>
      </c>
      <c r="CM42" s="211">
        <f t="shared" si="117"/>
        <v>0</v>
      </c>
      <c r="CQ42" s="1">
        <f t="shared" si="104"/>
        <v>1</v>
      </c>
      <c r="CR42" s="195">
        <f t="shared" si="17"/>
        <v>10000</v>
      </c>
      <c r="CS42" s="195"/>
      <c r="CT42" s="195"/>
      <c r="CV42" s="199">
        <f t="shared" si="118"/>
        <v>28.70249849608983</v>
      </c>
      <c r="CW42" s="199">
        <f t="shared" si="119"/>
        <v>5.315323841989172</v>
      </c>
      <c r="CX42" s="199">
        <f t="shared" si="120"/>
        <v>0</v>
      </c>
      <c r="CY42" s="199">
        <f t="shared" si="121"/>
        <v>0</v>
      </c>
      <c r="CZ42" s="199">
        <f t="shared" si="122"/>
        <v>0</v>
      </c>
      <c r="DA42" s="199">
        <f t="shared" si="123"/>
        <v>0</v>
      </c>
      <c r="DB42" s="199">
        <f t="shared" si="124"/>
        <v>5.465474233005814</v>
      </c>
      <c r="DC42" s="199">
        <f t="shared" si="125"/>
        <v>0</v>
      </c>
      <c r="DD42" s="199">
        <f t="shared" si="126"/>
        <v>2.1254622017244835</v>
      </c>
      <c r="DE42" s="199">
        <f t="shared" si="127"/>
        <v>0</v>
      </c>
      <c r="DF42" s="199">
        <f t="shared" si="128"/>
        <v>0</v>
      </c>
      <c r="DG42" s="199">
        <f t="shared" si="129"/>
        <v>19.894926809705233</v>
      </c>
      <c r="DH42" s="199">
        <f t="shared" si="130"/>
        <v>0</v>
      </c>
      <c r="DI42" s="199">
        <f t="shared" si="131"/>
        <v>13.917272909564868</v>
      </c>
      <c r="DJ42" s="199">
        <f t="shared" si="132"/>
        <v>1.7762791257268897</v>
      </c>
      <c r="DK42" s="199">
        <f t="shared" si="133"/>
        <v>0</v>
      </c>
      <c r="DL42" s="199">
        <f t="shared" si="134"/>
        <v>0</v>
      </c>
      <c r="DM42" s="199">
        <f t="shared" si="135"/>
        <v>0</v>
      </c>
      <c r="DN42" s="199">
        <f t="shared" si="136"/>
        <v>0</v>
      </c>
      <c r="DO42" s="199">
        <f t="shared" si="137"/>
        <v>0</v>
      </c>
      <c r="DP42" s="199">
        <f t="shared" si="138"/>
        <v>0</v>
      </c>
      <c r="DQ42" s="199">
        <f t="shared" si="139"/>
        <v>0</v>
      </c>
      <c r="DR42" s="199">
        <f t="shared" si="140"/>
        <v>0.7507519550832163</v>
      </c>
      <c r="DS42" s="199">
        <f t="shared" si="141"/>
        <v>0</v>
      </c>
      <c r="DT42" s="199">
        <f t="shared" si="142"/>
        <v>17.217244836575095</v>
      </c>
      <c r="DU42" s="199">
        <f t="shared" si="143"/>
        <v>0</v>
      </c>
      <c r="DV42" s="199">
        <f t="shared" si="144"/>
        <v>0.0012262281933025866</v>
      </c>
      <c r="DW42" s="199">
        <f t="shared" si="145"/>
        <v>0</v>
      </c>
      <c r="DX42" s="199">
        <f t="shared" si="146"/>
        <v>0</v>
      </c>
      <c r="DY42" s="199">
        <f t="shared" si="147"/>
        <v>0</v>
      </c>
      <c r="DZ42" s="199">
        <f t="shared" si="148"/>
        <v>0.0023303340685783035</v>
      </c>
      <c r="EA42" s="199">
        <f t="shared" si="149"/>
        <v>24.65940334639975</v>
      </c>
      <c r="EB42" s="199">
        <f t="shared" si="150"/>
        <v>3.025871074208872</v>
      </c>
      <c r="EC42" s="202">
        <f t="shared" si="51"/>
        <v>122.85406539233507</v>
      </c>
      <c r="ED42" s="202">
        <f>SUM(CV42:DI42,DS42:DT42,DW42,DY42,EA42:EB42)</f>
        <v>120.32347774926309</v>
      </c>
      <c r="EE42" s="203">
        <f t="shared" si="52"/>
        <v>19.917491781624047</v>
      </c>
      <c r="EF42" s="199"/>
      <c r="EI42" s="1">
        <f t="shared" si="151"/>
        <v>0.5699766927982697</v>
      </c>
      <c r="EJ42" s="1">
        <f t="shared" si="152"/>
        <v>0.002442336444552</v>
      </c>
      <c r="EK42" s="1">
        <f t="shared" si="153"/>
        <v>0</v>
      </c>
      <c r="EL42" s="1">
        <f t="shared" si="154"/>
        <v>0</v>
      </c>
      <c r="EM42" s="1">
        <f t="shared" si="155"/>
        <v>0</v>
      </c>
      <c r="EN42" s="1">
        <f t="shared" si="156"/>
        <v>0</v>
      </c>
      <c r="EO42" s="1">
        <f t="shared" si="157"/>
        <v>0.2644897670328</v>
      </c>
      <c r="EP42" s="1">
        <f t="shared" si="158"/>
        <v>0</v>
      </c>
      <c r="EQ42" s="1">
        <f t="shared" si="159"/>
        <v>0.21621849683808003</v>
      </c>
      <c r="ER42" s="1">
        <f t="shared" si="160"/>
        <v>0</v>
      </c>
      <c r="ES42" s="1">
        <f t="shared" si="161"/>
        <v>0</v>
      </c>
      <c r="ET42" s="1">
        <f t="shared" si="162"/>
        <v>0.14589546715944002</v>
      </c>
      <c r="EU42" s="1">
        <f t="shared" si="163"/>
        <v>0</v>
      </c>
      <c r="EV42" s="1">
        <f t="shared" si="164"/>
        <v>0</v>
      </c>
      <c r="EW42" s="1">
        <f t="shared" si="165"/>
        <v>0.059350736407200004</v>
      </c>
      <c r="EX42" s="1">
        <f t="shared" si="166"/>
        <v>0</v>
      </c>
      <c r="EY42" s="1">
        <f t="shared" si="167"/>
        <v>0</v>
      </c>
      <c r="EZ42" s="1">
        <f t="shared" si="168"/>
        <v>0</v>
      </c>
      <c r="FA42" s="1">
        <f t="shared" si="169"/>
        <v>0</v>
      </c>
      <c r="FB42" s="1">
        <f t="shared" si="170"/>
        <v>0</v>
      </c>
      <c r="FC42" s="1">
        <f t="shared" si="171"/>
        <v>0</v>
      </c>
      <c r="FD42" s="1">
        <f t="shared" si="172"/>
        <v>0</v>
      </c>
      <c r="FE42" s="1">
        <f t="shared" si="173"/>
        <v>0.059350736407200004</v>
      </c>
      <c r="FF42" s="1">
        <f t="shared" si="174"/>
        <v>0</v>
      </c>
      <c r="FG42" s="1">
        <f t="shared" si="175"/>
        <v>0.059350736407200004</v>
      </c>
      <c r="FH42" s="1">
        <f t="shared" si="176"/>
        <v>0</v>
      </c>
      <c r="FI42" s="1">
        <f t="shared" si="177"/>
        <v>0</v>
      </c>
      <c r="FJ42" s="1">
        <f t="shared" si="178"/>
        <v>0</v>
      </c>
      <c r="FK42" s="1">
        <f t="shared" si="179"/>
        <v>0</v>
      </c>
      <c r="FL42" s="1">
        <f t="shared" si="180"/>
        <v>0</v>
      </c>
      <c r="FM42" s="1">
        <f t="shared" si="181"/>
        <v>0.0034234991863440005</v>
      </c>
      <c r="FN42" s="1">
        <f t="shared" si="182"/>
        <v>7.46760736344</v>
      </c>
      <c r="FO42" s="1">
        <f>IF(O42=0,0,SUM(EI42:FN42))</f>
        <v>8.848105832121085</v>
      </c>
    </row>
    <row r="43" spans="1:171" ht="12.75">
      <c r="A43" s="33">
        <v>101</v>
      </c>
      <c r="B43" s="34" t="s">
        <v>165</v>
      </c>
      <c r="C43" s="34" t="s">
        <v>166</v>
      </c>
      <c r="D43" s="35" t="s">
        <v>162</v>
      </c>
      <c r="E43" s="35">
        <v>2</v>
      </c>
      <c r="F43" s="35" t="s">
        <v>155</v>
      </c>
      <c r="G43" s="35" t="s">
        <v>74</v>
      </c>
      <c r="H43" s="35" t="s">
        <v>75</v>
      </c>
      <c r="I43" s="35">
        <v>3</v>
      </c>
      <c r="J43" s="35"/>
      <c r="K43" s="26">
        <f t="shared" si="85"/>
        <v>1</v>
      </c>
      <c r="L43" s="26">
        <f t="shared" si="86"/>
        <v>1</v>
      </c>
      <c r="M43" s="33">
        <v>361000</v>
      </c>
      <c r="N43" s="33">
        <v>960000</v>
      </c>
      <c r="O43" s="27">
        <f t="shared" si="87"/>
        <v>70300</v>
      </c>
      <c r="P43" s="30">
        <v>70300</v>
      </c>
      <c r="Q43" s="30">
        <v>75465</v>
      </c>
      <c r="R43" s="30">
        <v>27000</v>
      </c>
      <c r="S43" s="31">
        <v>0</v>
      </c>
      <c r="T43" s="31">
        <v>0</v>
      </c>
      <c r="U43" s="31">
        <v>0</v>
      </c>
      <c r="V43" s="31">
        <v>0</v>
      </c>
      <c r="W43" s="30">
        <v>25500</v>
      </c>
      <c r="X43" s="31">
        <v>2250</v>
      </c>
      <c r="Y43" s="30">
        <v>0</v>
      </c>
      <c r="Z43" s="30">
        <v>0</v>
      </c>
      <c r="AA43" s="30">
        <v>0</v>
      </c>
      <c r="AB43" s="30">
        <v>0</v>
      </c>
      <c r="AC43" s="30">
        <v>16800</v>
      </c>
      <c r="AD43" s="30">
        <v>0</v>
      </c>
      <c r="AE43" s="30">
        <v>20000</v>
      </c>
      <c r="AF43" s="30">
        <v>22000</v>
      </c>
      <c r="AG43" s="30">
        <v>0</v>
      </c>
      <c r="AH43" s="30">
        <v>17628</v>
      </c>
      <c r="AI43" s="30">
        <v>0</v>
      </c>
      <c r="AJ43" s="30">
        <v>0</v>
      </c>
      <c r="AK43" s="30">
        <v>0</v>
      </c>
      <c r="AL43" s="30">
        <v>0</v>
      </c>
      <c r="AM43" s="30">
        <v>4868</v>
      </c>
      <c r="AN43" s="31">
        <v>0</v>
      </c>
      <c r="AO43" s="30">
        <v>15216</v>
      </c>
      <c r="AP43" s="31">
        <v>0</v>
      </c>
      <c r="AQ43" s="31">
        <v>9000</v>
      </c>
      <c r="AR43" s="31">
        <v>0</v>
      </c>
      <c r="AS43" s="31">
        <v>0</v>
      </c>
      <c r="AT43" s="31">
        <v>0</v>
      </c>
      <c r="AU43" s="30">
        <v>28</v>
      </c>
      <c r="AX43" s="2">
        <f t="shared" si="0"/>
        <v>53019.12</v>
      </c>
      <c r="AY43" s="32">
        <f t="shared" si="105"/>
        <v>49390.3681971775</v>
      </c>
      <c r="AZ43" s="186">
        <f t="shared" si="106"/>
        <v>0.49458230849470936</v>
      </c>
      <c r="BA43" s="186">
        <f t="shared" si="107"/>
        <v>0.02535826048799639</v>
      </c>
      <c r="BB43" s="186">
        <f t="shared" si="108"/>
        <v>0.37271408060909095</v>
      </c>
      <c r="BC43" s="53">
        <f t="shared" si="88"/>
        <v>70300</v>
      </c>
      <c r="BD43" s="53">
        <f t="shared" si="5"/>
        <v>27365.120801795245</v>
      </c>
      <c r="BE43" s="53">
        <f t="shared" si="6"/>
        <v>1403.0664859190686</v>
      </c>
      <c r="BF43" s="53">
        <f t="shared" si="7"/>
        <v>20622.180909463183</v>
      </c>
      <c r="BG43" s="53"/>
      <c r="BH43" s="53">
        <f t="shared" si="89"/>
        <v>4</v>
      </c>
      <c r="BI43" s="53">
        <f t="shared" si="90"/>
        <v>4</v>
      </c>
      <c r="BJ43" s="53">
        <f t="shared" si="91"/>
        <v>3</v>
      </c>
      <c r="BK43" s="53">
        <f t="shared" si="92"/>
        <v>3</v>
      </c>
      <c r="BL43" s="53"/>
      <c r="BM43" s="53">
        <f t="shared" si="93"/>
        <v>2</v>
      </c>
      <c r="BN43" s="53">
        <f t="shared" si="94"/>
        <v>2</v>
      </c>
      <c r="BO43" s="53">
        <f t="shared" si="95"/>
        <v>2</v>
      </c>
      <c r="BP43" s="53">
        <f t="shared" si="96"/>
        <v>0</v>
      </c>
      <c r="BQ43" s="53"/>
      <c r="BR43" s="53">
        <f t="shared" si="97"/>
        <v>6.5</v>
      </c>
      <c r="BS43" s="53">
        <f t="shared" si="98"/>
        <v>34.2</v>
      </c>
      <c r="BT43" s="53">
        <f t="shared" si="99"/>
        <v>11</v>
      </c>
      <c r="BU43" s="53">
        <f t="shared" si="109"/>
        <v>24816</v>
      </c>
      <c r="BV43" s="53"/>
      <c r="BW43" s="53">
        <f t="shared" si="183"/>
        <v>15600</v>
      </c>
      <c r="BX43" s="53">
        <f t="shared" si="101"/>
        <v>-21036</v>
      </c>
      <c r="BY43" s="53">
        <f t="shared" si="110"/>
        <v>-18814.91095745311</v>
      </c>
      <c r="BZ43" s="240">
        <f t="shared" si="102"/>
        <v>5.791300000000001</v>
      </c>
      <c r="CC43" s="1">
        <f t="shared" si="111"/>
        <v>0</v>
      </c>
      <c r="CD43" s="195">
        <f t="shared" si="112"/>
        <v>2873.2</v>
      </c>
      <c r="CE43" s="195">
        <f t="shared" si="113"/>
        <v>2873.2</v>
      </c>
      <c r="CF43" s="239">
        <f t="shared" si="114"/>
        <v>1.45</v>
      </c>
      <c r="CG43" s="239">
        <f t="shared" si="114"/>
        <v>9.96</v>
      </c>
      <c r="CH43" s="1">
        <f t="shared" si="103"/>
        <v>4780.8</v>
      </c>
      <c r="CK43" s="211">
        <f t="shared" si="115"/>
        <v>0</v>
      </c>
      <c r="CL43" s="211">
        <f t="shared" si="116"/>
        <v>0</v>
      </c>
      <c r="CM43" s="211">
        <f t="shared" si="117"/>
        <v>0</v>
      </c>
      <c r="CQ43" s="1">
        <f t="shared" si="104"/>
        <v>1</v>
      </c>
      <c r="CR43" s="195">
        <f t="shared" si="17"/>
        <v>10000</v>
      </c>
      <c r="CS43" s="195"/>
      <c r="CT43" s="195"/>
      <c r="CV43" s="199">
        <f t="shared" si="118"/>
        <v>38.33688582314016</v>
      </c>
      <c r="CW43" s="199">
        <f t="shared" si="119"/>
        <v>8.108121114898736</v>
      </c>
      <c r="CX43" s="199">
        <f t="shared" si="120"/>
        <v>0</v>
      </c>
      <c r="CY43" s="199">
        <f t="shared" si="121"/>
        <v>0</v>
      </c>
      <c r="CZ43" s="199">
        <f t="shared" si="122"/>
        <v>0</v>
      </c>
      <c r="DA43" s="199">
        <f t="shared" si="123"/>
        <v>0</v>
      </c>
      <c r="DB43" s="199">
        <f t="shared" si="124"/>
        <v>6.636647282935632</v>
      </c>
      <c r="DC43" s="199">
        <f t="shared" si="125"/>
        <v>0.5855865249649087</v>
      </c>
      <c r="DD43" s="199">
        <f t="shared" si="126"/>
        <v>0</v>
      </c>
      <c r="DE43" s="199">
        <f t="shared" si="127"/>
        <v>0</v>
      </c>
      <c r="DF43" s="199">
        <f t="shared" si="128"/>
        <v>0</v>
      </c>
      <c r="DG43" s="199">
        <f t="shared" si="129"/>
        <v>0</v>
      </c>
      <c r="DH43" s="199">
        <f t="shared" si="130"/>
        <v>22.28231802686986</v>
      </c>
      <c r="DI43" s="199">
        <f t="shared" si="131"/>
        <v>0</v>
      </c>
      <c r="DJ43" s="199">
        <f t="shared" si="132"/>
        <v>2.732737116502907</v>
      </c>
      <c r="DK43" s="199">
        <f t="shared" si="133"/>
        <v>3.0060108281531983</v>
      </c>
      <c r="DL43" s="199">
        <f t="shared" si="134"/>
        <v>0</v>
      </c>
      <c r="DM43" s="199">
        <f t="shared" si="135"/>
        <v>2.408634494485663</v>
      </c>
      <c r="DN43" s="199">
        <f t="shared" si="136"/>
        <v>0</v>
      </c>
      <c r="DO43" s="199">
        <f t="shared" si="137"/>
        <v>0</v>
      </c>
      <c r="DP43" s="199">
        <f t="shared" si="138"/>
        <v>0</v>
      </c>
      <c r="DQ43" s="199">
        <f t="shared" si="139"/>
        <v>0</v>
      </c>
      <c r="DR43" s="199">
        <f t="shared" si="140"/>
        <v>0.7309321034690194</v>
      </c>
      <c r="DS43" s="199">
        <f t="shared" si="141"/>
        <v>0</v>
      </c>
      <c r="DT43" s="199">
        <f t="shared" si="142"/>
        <v>43.662932905554435</v>
      </c>
      <c r="DU43" s="199">
        <f t="shared" si="143"/>
        <v>0</v>
      </c>
      <c r="DV43" s="199">
        <f t="shared" si="144"/>
        <v>0.002627631842791257</v>
      </c>
      <c r="DW43" s="199">
        <f t="shared" si="145"/>
        <v>0</v>
      </c>
      <c r="DX43" s="199">
        <f t="shared" si="146"/>
        <v>0</v>
      </c>
      <c r="DY43" s="199">
        <f t="shared" si="147"/>
        <v>0</v>
      </c>
      <c r="DZ43" s="199">
        <f t="shared" si="148"/>
        <v>0.00181248205333868</v>
      </c>
      <c r="EA43" s="199">
        <f t="shared" si="149"/>
        <v>28.675134642747103</v>
      </c>
      <c r="EB43" s="199">
        <f t="shared" si="150"/>
        <v>3.7540582779085048</v>
      </c>
      <c r="EC43" s="202">
        <f t="shared" si="51"/>
        <v>160.92443925552627</v>
      </c>
      <c r="ED43" s="202">
        <f>SUM(CV43:DI43,DS43:DT43,DW43,DY43,EA43:EB43)</f>
        <v>152.04168459901936</v>
      </c>
      <c r="EE43" s="203">
        <f t="shared" si="52"/>
        <v>25.167897904146063</v>
      </c>
      <c r="EF43" s="199"/>
      <c r="EI43" s="1">
        <f t="shared" si="151"/>
        <v>0.5699766927982697</v>
      </c>
      <c r="EJ43" s="1">
        <f t="shared" si="152"/>
        <v>0.010606863429336002</v>
      </c>
      <c r="EK43" s="1">
        <f t="shared" si="153"/>
        <v>0</v>
      </c>
      <c r="EL43" s="1">
        <f t="shared" si="154"/>
        <v>0</v>
      </c>
      <c r="EM43" s="1">
        <f t="shared" si="155"/>
        <v>0</v>
      </c>
      <c r="EN43" s="1">
        <f t="shared" si="156"/>
        <v>0</v>
      </c>
      <c r="EO43" s="1">
        <f t="shared" si="157"/>
        <v>0.2644897670328</v>
      </c>
      <c r="EP43" s="1">
        <f t="shared" si="158"/>
        <v>0</v>
      </c>
      <c r="EQ43" s="1">
        <f t="shared" si="159"/>
        <v>0</v>
      </c>
      <c r="ER43" s="1">
        <f t="shared" si="160"/>
        <v>0</v>
      </c>
      <c r="ES43" s="1">
        <f t="shared" si="161"/>
        <v>0</v>
      </c>
      <c r="ET43" s="1">
        <f t="shared" si="162"/>
        <v>0</v>
      </c>
      <c r="EU43" s="1">
        <f t="shared" si="163"/>
        <v>0.14589546715944002</v>
      </c>
      <c r="EV43" s="1">
        <f t="shared" si="164"/>
        <v>0</v>
      </c>
      <c r="EW43" s="1">
        <f t="shared" si="165"/>
        <v>0.059350736407200004</v>
      </c>
      <c r="EX43" s="1">
        <f t="shared" si="166"/>
        <v>0.059350736407200004</v>
      </c>
      <c r="EY43" s="1">
        <f t="shared" si="167"/>
        <v>0</v>
      </c>
      <c r="EZ43" s="1">
        <f t="shared" si="168"/>
        <v>0.059350736407200004</v>
      </c>
      <c r="FA43" s="1">
        <f t="shared" si="169"/>
        <v>0</v>
      </c>
      <c r="FB43" s="1">
        <f t="shared" si="170"/>
        <v>0</v>
      </c>
      <c r="FC43" s="1">
        <f t="shared" si="171"/>
        <v>0</v>
      </c>
      <c r="FD43" s="1">
        <f t="shared" si="172"/>
        <v>0</v>
      </c>
      <c r="FE43" s="1">
        <f t="shared" si="173"/>
        <v>0.059350736407200004</v>
      </c>
      <c r="FF43" s="1">
        <f t="shared" si="174"/>
        <v>0</v>
      </c>
      <c r="FG43" s="1">
        <f t="shared" si="175"/>
        <v>0.059350736407200004</v>
      </c>
      <c r="FH43" s="1">
        <f t="shared" si="176"/>
        <v>0</v>
      </c>
      <c r="FI43" s="1">
        <f t="shared" si="177"/>
        <v>0</v>
      </c>
      <c r="FJ43" s="1">
        <f t="shared" si="178"/>
        <v>0</v>
      </c>
      <c r="FK43" s="1">
        <f t="shared" si="179"/>
        <v>0</v>
      </c>
      <c r="FL43" s="1">
        <f t="shared" si="180"/>
        <v>0</v>
      </c>
      <c r="FM43" s="1">
        <f t="shared" si="181"/>
        <v>0.0034234991863440005</v>
      </c>
      <c r="FN43" s="1">
        <f t="shared" si="182"/>
        <v>7.46760736344</v>
      </c>
      <c r="FO43" s="1">
        <f>IF(O43=0,0,SUM(EI43:FN43))</f>
        <v>8.75875333508219</v>
      </c>
    </row>
    <row r="44" spans="1:171" ht="12.75">
      <c r="A44" s="33">
        <v>102</v>
      </c>
      <c r="B44" s="34" t="s">
        <v>93</v>
      </c>
      <c r="C44" s="34" t="s">
        <v>166</v>
      </c>
      <c r="D44" s="35" t="s">
        <v>162</v>
      </c>
      <c r="E44" s="35">
        <v>2</v>
      </c>
      <c r="F44" s="35" t="s">
        <v>155</v>
      </c>
      <c r="G44" s="35" t="s">
        <v>74</v>
      </c>
      <c r="H44" s="35" t="s">
        <v>75</v>
      </c>
      <c r="I44" s="35">
        <v>3</v>
      </c>
      <c r="J44" s="35"/>
      <c r="K44" s="26">
        <f t="shared" si="85"/>
        <v>1</v>
      </c>
      <c r="L44" s="26">
        <f t="shared" si="86"/>
        <v>1</v>
      </c>
      <c r="M44" s="33">
        <v>360825</v>
      </c>
      <c r="N44" s="33">
        <v>960115</v>
      </c>
      <c r="O44" s="27">
        <f t="shared" si="87"/>
        <v>85000</v>
      </c>
      <c r="P44" s="30">
        <v>85000</v>
      </c>
      <c r="Q44" s="30">
        <v>90000</v>
      </c>
      <c r="R44" s="30">
        <v>32000</v>
      </c>
      <c r="S44" s="31">
        <v>11000</v>
      </c>
      <c r="T44" s="31">
        <v>0</v>
      </c>
      <c r="U44" s="31">
        <v>0</v>
      </c>
      <c r="V44" s="31">
        <v>0</v>
      </c>
      <c r="W44" s="30">
        <v>0</v>
      </c>
      <c r="X44" s="31">
        <v>0</v>
      </c>
      <c r="Y44" s="30">
        <v>0</v>
      </c>
      <c r="Z44" s="30">
        <v>0</v>
      </c>
      <c r="AA44" s="30">
        <v>0</v>
      </c>
      <c r="AB44" s="30">
        <v>0</v>
      </c>
      <c r="AC44" s="30">
        <v>24000</v>
      </c>
      <c r="AD44" s="30">
        <v>0</v>
      </c>
      <c r="AE44" s="30">
        <v>28000</v>
      </c>
      <c r="AF44" s="30">
        <v>0</v>
      </c>
      <c r="AG44" s="30">
        <v>0</v>
      </c>
      <c r="AH44" s="30">
        <v>0</v>
      </c>
      <c r="AI44" s="30">
        <v>0</v>
      </c>
      <c r="AJ44" s="30">
        <v>0</v>
      </c>
      <c r="AK44" s="30">
        <v>0</v>
      </c>
      <c r="AL44" s="30">
        <v>21600</v>
      </c>
      <c r="AM44" s="30">
        <v>0</v>
      </c>
      <c r="AN44" s="31">
        <v>0</v>
      </c>
      <c r="AO44" s="30">
        <v>0</v>
      </c>
      <c r="AP44" s="31">
        <v>900</v>
      </c>
      <c r="AQ44" s="31">
        <v>0</v>
      </c>
      <c r="AR44" s="31">
        <v>9100</v>
      </c>
      <c r="AS44" s="31">
        <v>1950</v>
      </c>
      <c r="AT44" s="31">
        <v>0</v>
      </c>
      <c r="AU44" s="30">
        <v>0</v>
      </c>
      <c r="AX44" s="2">
        <f t="shared" si="0"/>
        <v>69476</v>
      </c>
      <c r="AY44" s="32">
        <f t="shared" si="105"/>
        <v>65616.22222222222</v>
      </c>
      <c r="AZ44" s="186">
        <f t="shared" si="106"/>
        <v>0.49458230849470936</v>
      </c>
      <c r="BA44" s="186">
        <f t="shared" si="107"/>
        <v>0.02535826048799639</v>
      </c>
      <c r="BB44" s="186">
        <f t="shared" si="108"/>
        <v>0.37271408060909095</v>
      </c>
      <c r="BC44" s="53">
        <f t="shared" si="88"/>
        <v>85000</v>
      </c>
      <c r="BD44" s="53">
        <f t="shared" si="5"/>
        <v>36355.18246189477</v>
      </c>
      <c r="BE44" s="53">
        <f t="shared" si="6"/>
        <v>1864.005588398897</v>
      </c>
      <c r="BF44" s="53">
        <f t="shared" si="7"/>
        <v>27397.034171928546</v>
      </c>
      <c r="BG44" s="53"/>
      <c r="BH44" s="53">
        <f t="shared" si="89"/>
        <v>4</v>
      </c>
      <c r="BI44" s="53">
        <f t="shared" si="90"/>
        <v>4</v>
      </c>
      <c r="BJ44" s="53">
        <f t="shared" si="91"/>
        <v>3</v>
      </c>
      <c r="BK44" s="53">
        <f t="shared" si="92"/>
        <v>3</v>
      </c>
      <c r="BL44" s="53"/>
      <c r="BM44" s="53">
        <f t="shared" si="93"/>
        <v>2</v>
      </c>
      <c r="BN44" s="53">
        <f t="shared" si="94"/>
        <v>2</v>
      </c>
      <c r="BO44" s="53">
        <f t="shared" si="95"/>
        <v>2</v>
      </c>
      <c r="BP44" s="53">
        <f t="shared" si="96"/>
        <v>0</v>
      </c>
      <c r="BQ44" s="53"/>
      <c r="BR44" s="53">
        <f t="shared" si="97"/>
        <v>6.5</v>
      </c>
      <c r="BS44" s="53">
        <f t="shared" si="98"/>
        <v>34.2</v>
      </c>
      <c r="BT44" s="53">
        <f t="shared" si="99"/>
        <v>11</v>
      </c>
      <c r="BU44" s="53">
        <f t="shared" si="109"/>
        <v>24816</v>
      </c>
      <c r="BV44" s="53"/>
      <c r="BW44" s="53">
        <f t="shared" si="183"/>
        <v>15600</v>
      </c>
      <c r="BX44" s="53">
        <f t="shared" si="101"/>
        <v>-21036</v>
      </c>
      <c r="BY44" s="53">
        <f t="shared" si="110"/>
        <v>-18814.91095745311</v>
      </c>
      <c r="BZ44" s="240">
        <f t="shared" si="102"/>
        <v>5.791300000000001</v>
      </c>
      <c r="CC44" s="1">
        <f t="shared" si="111"/>
        <v>0</v>
      </c>
      <c r="CD44" s="195">
        <f t="shared" si="112"/>
        <v>5746.4</v>
      </c>
      <c r="CE44" s="195">
        <f t="shared" si="113"/>
        <v>5746.4</v>
      </c>
      <c r="CF44" s="239">
        <f t="shared" si="114"/>
        <v>2.9</v>
      </c>
      <c r="CG44" s="239">
        <f t="shared" si="114"/>
        <v>19.92</v>
      </c>
      <c r="CH44" s="1">
        <f t="shared" si="103"/>
        <v>9561.6</v>
      </c>
      <c r="CK44" s="211">
        <f t="shared" si="115"/>
        <v>0</v>
      </c>
      <c r="CL44" s="211">
        <f t="shared" si="116"/>
        <v>0</v>
      </c>
      <c r="CM44" s="211">
        <f t="shared" si="117"/>
        <v>0</v>
      </c>
      <c r="CQ44" s="1">
        <f t="shared" si="104"/>
        <v>1</v>
      </c>
      <c r="CR44" s="195">
        <f t="shared" si="17"/>
        <v>10000</v>
      </c>
      <c r="CS44" s="195"/>
      <c r="CT44" s="195"/>
      <c r="CV44" s="199">
        <f t="shared" si="118"/>
        <v>45.72079406456787</v>
      </c>
      <c r="CW44" s="199">
        <f t="shared" si="119"/>
        <v>9.609625025065169</v>
      </c>
      <c r="CX44" s="199">
        <f t="shared" si="120"/>
        <v>21.655023059955887</v>
      </c>
      <c r="CY44" s="199">
        <f t="shared" si="121"/>
        <v>0</v>
      </c>
      <c r="CZ44" s="199">
        <f t="shared" si="122"/>
        <v>0</v>
      </c>
      <c r="DA44" s="199">
        <f t="shared" si="123"/>
        <v>0</v>
      </c>
      <c r="DB44" s="199">
        <f t="shared" si="124"/>
        <v>0</v>
      </c>
      <c r="DC44" s="199">
        <f t="shared" si="125"/>
        <v>0</v>
      </c>
      <c r="DD44" s="199">
        <f t="shared" si="126"/>
        <v>0</v>
      </c>
      <c r="DE44" s="199">
        <f t="shared" si="127"/>
        <v>0</v>
      </c>
      <c r="DF44" s="199">
        <f t="shared" si="128"/>
        <v>0</v>
      </c>
      <c r="DG44" s="199">
        <f t="shared" si="129"/>
        <v>0</v>
      </c>
      <c r="DH44" s="199">
        <f t="shared" si="130"/>
        <v>31.831882895528373</v>
      </c>
      <c r="DI44" s="199">
        <f t="shared" si="131"/>
        <v>0</v>
      </c>
      <c r="DJ44" s="199">
        <f t="shared" si="132"/>
        <v>3.8258319631040703</v>
      </c>
      <c r="DK44" s="199">
        <f t="shared" si="133"/>
        <v>0</v>
      </c>
      <c r="DL44" s="199">
        <f t="shared" si="134"/>
        <v>0</v>
      </c>
      <c r="DM44" s="199">
        <f t="shared" si="135"/>
        <v>0</v>
      </c>
      <c r="DN44" s="199">
        <f t="shared" si="136"/>
        <v>0</v>
      </c>
      <c r="DO44" s="199">
        <f t="shared" si="137"/>
        <v>0</v>
      </c>
      <c r="DP44" s="199">
        <f t="shared" si="138"/>
        <v>0</v>
      </c>
      <c r="DQ44" s="199">
        <f t="shared" si="139"/>
        <v>2.9513560858231402</v>
      </c>
      <c r="DR44" s="199">
        <f t="shared" si="140"/>
        <v>0</v>
      </c>
      <c r="DS44" s="199">
        <f t="shared" si="141"/>
        <v>0</v>
      </c>
      <c r="DT44" s="199">
        <f t="shared" si="142"/>
        <v>0</v>
      </c>
      <c r="DU44" s="199">
        <f t="shared" si="143"/>
        <v>0.0002627631842791257</v>
      </c>
      <c r="DV44" s="199">
        <f t="shared" si="144"/>
        <v>0</v>
      </c>
      <c r="DW44" s="199">
        <f t="shared" si="145"/>
        <v>7.590936434730298</v>
      </c>
      <c r="DX44" s="199">
        <f t="shared" si="146"/>
        <v>0.1262264287146581</v>
      </c>
      <c r="DY44" s="199">
        <f t="shared" si="147"/>
        <v>0</v>
      </c>
      <c r="DZ44" s="199">
        <f t="shared" si="148"/>
        <v>0</v>
      </c>
      <c r="EA44" s="199">
        <f t="shared" si="149"/>
        <v>38.09556550497961</v>
      </c>
      <c r="EB44" s="199">
        <f t="shared" si="150"/>
        <v>4.72403990677985</v>
      </c>
      <c r="EC44" s="202">
        <f t="shared" si="51"/>
        <v>166.13154413243316</v>
      </c>
      <c r="ED44" s="202">
        <f>SUM(CV44:DI44,DS44:DT44,DW44,DY44,EA44:EB44)</f>
        <v>159.22786689160702</v>
      </c>
      <c r="EE44" s="203">
        <f t="shared" si="52"/>
        <v>26.357447353939484</v>
      </c>
      <c r="EF44" s="199"/>
      <c r="EI44" s="1">
        <f t="shared" si="151"/>
        <v>0.5699766927982697</v>
      </c>
      <c r="EJ44" s="1">
        <f t="shared" si="152"/>
        <v>0.010606863429336002</v>
      </c>
      <c r="EK44" s="1">
        <f t="shared" si="153"/>
        <v>0.24682268761392</v>
      </c>
      <c r="EL44" s="1">
        <f t="shared" si="154"/>
        <v>0</v>
      </c>
      <c r="EM44" s="1">
        <f t="shared" si="155"/>
        <v>0</v>
      </c>
      <c r="EN44" s="1">
        <f t="shared" si="156"/>
        <v>0</v>
      </c>
      <c r="EO44" s="1">
        <f t="shared" si="157"/>
        <v>0</v>
      </c>
      <c r="EP44" s="1">
        <f t="shared" si="158"/>
        <v>0</v>
      </c>
      <c r="EQ44" s="1">
        <f t="shared" si="159"/>
        <v>0</v>
      </c>
      <c r="ER44" s="1">
        <f t="shared" si="160"/>
        <v>0</v>
      </c>
      <c r="ES44" s="1">
        <f t="shared" si="161"/>
        <v>0</v>
      </c>
      <c r="ET44" s="1">
        <f t="shared" si="162"/>
        <v>0</v>
      </c>
      <c r="EU44" s="1">
        <f t="shared" si="163"/>
        <v>0.14589546715944002</v>
      </c>
      <c r="EV44" s="1">
        <f t="shared" si="164"/>
        <v>0</v>
      </c>
      <c r="EW44" s="1">
        <f t="shared" si="165"/>
        <v>0.059350736407200004</v>
      </c>
      <c r="EX44" s="1">
        <f t="shared" si="166"/>
        <v>0</v>
      </c>
      <c r="EY44" s="1">
        <f t="shared" si="167"/>
        <v>0</v>
      </c>
      <c r="EZ44" s="1">
        <f t="shared" si="168"/>
        <v>0</v>
      </c>
      <c r="FA44" s="1">
        <f t="shared" si="169"/>
        <v>0</v>
      </c>
      <c r="FB44" s="1">
        <f t="shared" si="170"/>
        <v>0</v>
      </c>
      <c r="FC44" s="1">
        <f t="shared" si="171"/>
        <v>0</v>
      </c>
      <c r="FD44" s="1">
        <f t="shared" si="172"/>
        <v>0.059350736407200004</v>
      </c>
      <c r="FE44" s="1">
        <f t="shared" si="173"/>
        <v>0</v>
      </c>
      <c r="FF44" s="1">
        <f t="shared" si="174"/>
        <v>0</v>
      </c>
      <c r="FG44" s="1">
        <f t="shared" si="175"/>
        <v>0</v>
      </c>
      <c r="FH44" s="1">
        <f t="shared" si="176"/>
        <v>0</v>
      </c>
      <c r="FI44" s="1">
        <f t="shared" si="177"/>
        <v>0</v>
      </c>
      <c r="FJ44" s="1">
        <f t="shared" si="178"/>
        <v>0</v>
      </c>
      <c r="FK44" s="1">
        <f t="shared" si="179"/>
        <v>0</v>
      </c>
      <c r="FL44" s="1">
        <f t="shared" si="180"/>
        <v>0</v>
      </c>
      <c r="FM44" s="1">
        <f t="shared" si="181"/>
        <v>0</v>
      </c>
      <c r="FN44" s="1">
        <f t="shared" si="182"/>
        <v>7.46760736344</v>
      </c>
      <c r="FO44" s="1">
        <f>IF(O44=0,0,SUM(EI44:FN44))</f>
        <v>8.559610547255366</v>
      </c>
    </row>
    <row r="45" spans="1:171" ht="12.75">
      <c r="A45" s="33">
        <v>103</v>
      </c>
      <c r="B45" s="34" t="s">
        <v>167</v>
      </c>
      <c r="C45" s="34" t="s">
        <v>168</v>
      </c>
      <c r="D45" s="35" t="s">
        <v>162</v>
      </c>
      <c r="E45" s="35">
        <v>2</v>
      </c>
      <c r="F45" s="35" t="s">
        <v>155</v>
      </c>
      <c r="G45" s="35" t="s">
        <v>74</v>
      </c>
      <c r="H45" s="35" t="s">
        <v>75</v>
      </c>
      <c r="I45" s="35">
        <v>3</v>
      </c>
      <c r="J45" s="35"/>
      <c r="K45" s="26">
        <f t="shared" si="85"/>
        <v>1</v>
      </c>
      <c r="L45" s="26">
        <f t="shared" si="86"/>
        <v>1</v>
      </c>
      <c r="M45" s="33">
        <v>341200</v>
      </c>
      <c r="N45" s="33">
        <v>970600</v>
      </c>
      <c r="O45" s="27">
        <f t="shared" si="87"/>
        <v>83640</v>
      </c>
      <c r="P45" s="30">
        <v>83640</v>
      </c>
      <c r="Q45" s="30">
        <v>92000</v>
      </c>
      <c r="R45" s="30">
        <v>32000</v>
      </c>
      <c r="S45" s="31">
        <v>0</v>
      </c>
      <c r="T45" s="31">
        <v>0</v>
      </c>
      <c r="U45" s="31">
        <v>0</v>
      </c>
      <c r="V45" s="31">
        <v>0</v>
      </c>
      <c r="W45" s="30">
        <v>30000</v>
      </c>
      <c r="X45" s="31">
        <v>0</v>
      </c>
      <c r="Y45" s="30">
        <v>9000</v>
      </c>
      <c r="Z45" s="30">
        <v>0</v>
      </c>
      <c r="AA45" s="30">
        <v>0</v>
      </c>
      <c r="AB45" s="30">
        <v>21350</v>
      </c>
      <c r="AC45" s="30">
        <v>0</v>
      </c>
      <c r="AD45" s="30">
        <v>0</v>
      </c>
      <c r="AE45" s="30">
        <v>26500</v>
      </c>
      <c r="AF45" s="30">
        <v>0</v>
      </c>
      <c r="AG45" s="30">
        <v>0</v>
      </c>
      <c r="AH45" s="30">
        <v>33176</v>
      </c>
      <c r="AI45" s="30">
        <v>0</v>
      </c>
      <c r="AJ45" s="30">
        <v>0</v>
      </c>
      <c r="AK45" s="30">
        <v>32000</v>
      </c>
      <c r="AL45" s="30">
        <v>0</v>
      </c>
      <c r="AM45" s="30">
        <v>7012</v>
      </c>
      <c r="AN45" s="31">
        <v>0</v>
      </c>
      <c r="AO45" s="30">
        <v>14000</v>
      </c>
      <c r="AP45" s="31">
        <v>0</v>
      </c>
      <c r="AQ45" s="31">
        <v>0</v>
      </c>
      <c r="AR45" s="31">
        <v>0</v>
      </c>
      <c r="AS45" s="31">
        <v>0</v>
      </c>
      <c r="AT45" s="31">
        <v>26</v>
      </c>
      <c r="AU45" s="30">
        <v>243</v>
      </c>
      <c r="AX45" s="2">
        <f t="shared" si="0"/>
        <v>68640</v>
      </c>
      <c r="AY45" s="32">
        <f t="shared" si="105"/>
        <v>62402.71304347826</v>
      </c>
      <c r="AZ45" s="186">
        <f t="shared" si="106"/>
        <v>0.49458230849470936</v>
      </c>
      <c r="BA45" s="186">
        <f t="shared" si="107"/>
        <v>0.02535826048799639</v>
      </c>
      <c r="BB45" s="186">
        <f t="shared" si="108"/>
        <v>0.37271408060909095</v>
      </c>
      <c r="BC45" s="53">
        <f t="shared" si="88"/>
        <v>83640</v>
      </c>
      <c r="BD45" s="53">
        <f t="shared" si="5"/>
        <v>34574.712502186485</v>
      </c>
      <c r="BE45" s="53">
        <f t="shared" si="6"/>
        <v>1772.7172017059909</v>
      </c>
      <c r="BF45" s="53">
        <f t="shared" si="7"/>
        <v>26055.28333958578</v>
      </c>
      <c r="BG45" s="53"/>
      <c r="BH45" s="53">
        <f t="shared" si="89"/>
        <v>4</v>
      </c>
      <c r="BI45" s="53">
        <f t="shared" si="90"/>
        <v>4</v>
      </c>
      <c r="BJ45" s="53">
        <f t="shared" si="91"/>
        <v>3</v>
      </c>
      <c r="BK45" s="53">
        <f t="shared" si="92"/>
        <v>3</v>
      </c>
      <c r="BL45" s="53"/>
      <c r="BM45" s="53">
        <f t="shared" si="93"/>
        <v>2</v>
      </c>
      <c r="BN45" s="53">
        <f t="shared" si="94"/>
        <v>2</v>
      </c>
      <c r="BO45" s="53">
        <f t="shared" si="95"/>
        <v>2</v>
      </c>
      <c r="BP45" s="53">
        <f t="shared" si="96"/>
        <v>0</v>
      </c>
      <c r="BQ45" s="53"/>
      <c r="BR45" s="53">
        <f t="shared" si="97"/>
        <v>6.5</v>
      </c>
      <c r="BS45" s="53">
        <f t="shared" si="98"/>
        <v>34.2</v>
      </c>
      <c r="BT45" s="53">
        <f t="shared" si="99"/>
        <v>11</v>
      </c>
      <c r="BU45" s="53">
        <f t="shared" si="109"/>
        <v>24816</v>
      </c>
      <c r="BV45" s="53"/>
      <c r="BW45" s="53">
        <f t="shared" si="183"/>
        <v>15600</v>
      </c>
      <c r="BX45" s="53">
        <f t="shared" si="101"/>
        <v>-21036</v>
      </c>
      <c r="BY45" s="53">
        <f t="shared" si="110"/>
        <v>-18814.91095745311</v>
      </c>
      <c r="BZ45" s="240">
        <f t="shared" si="102"/>
        <v>5.791300000000001</v>
      </c>
      <c r="CC45" s="1">
        <f t="shared" si="111"/>
        <v>0</v>
      </c>
      <c r="CD45" s="195">
        <f t="shared" si="112"/>
        <v>5746.4</v>
      </c>
      <c r="CE45" s="195">
        <f t="shared" si="113"/>
        <v>5746.4</v>
      </c>
      <c r="CF45" s="239">
        <f t="shared" si="114"/>
        <v>2.9</v>
      </c>
      <c r="CG45" s="239">
        <f t="shared" si="114"/>
        <v>19.92</v>
      </c>
      <c r="CH45" s="1">
        <f t="shared" si="103"/>
        <v>9561.6</v>
      </c>
      <c r="CK45" s="211">
        <f t="shared" si="115"/>
        <v>0</v>
      </c>
      <c r="CL45" s="211">
        <f t="shared" si="116"/>
        <v>0</v>
      </c>
      <c r="CM45" s="211">
        <f t="shared" si="117"/>
        <v>0</v>
      </c>
      <c r="CQ45" s="1">
        <f t="shared" si="104"/>
        <v>1</v>
      </c>
      <c r="CR45" s="195">
        <f t="shared" si="17"/>
        <v>10000</v>
      </c>
      <c r="CS45" s="195"/>
      <c r="CT45" s="195"/>
      <c r="CV45" s="199">
        <f t="shared" si="118"/>
        <v>46.73681171044716</v>
      </c>
      <c r="CW45" s="199">
        <f t="shared" si="119"/>
        <v>9.609625025065169</v>
      </c>
      <c r="CX45" s="199">
        <f t="shared" si="120"/>
        <v>0</v>
      </c>
      <c r="CY45" s="199">
        <f t="shared" si="121"/>
        <v>0</v>
      </c>
      <c r="CZ45" s="199">
        <f t="shared" si="122"/>
        <v>0</v>
      </c>
      <c r="DA45" s="199">
        <f t="shared" si="123"/>
        <v>0</v>
      </c>
      <c r="DB45" s="199">
        <f t="shared" si="124"/>
        <v>7.807820332865449</v>
      </c>
      <c r="DC45" s="199">
        <f t="shared" si="125"/>
        <v>0</v>
      </c>
      <c r="DD45" s="199">
        <f t="shared" si="126"/>
        <v>2.732737116502907</v>
      </c>
      <c r="DE45" s="199">
        <f t="shared" si="127"/>
        <v>0</v>
      </c>
      <c r="DF45" s="199">
        <f t="shared" si="128"/>
        <v>0</v>
      </c>
      <c r="DG45" s="199">
        <f t="shared" si="129"/>
        <v>28.317112492480447</v>
      </c>
      <c r="DH45" s="199">
        <f t="shared" si="130"/>
        <v>0</v>
      </c>
      <c r="DI45" s="199">
        <f t="shared" si="131"/>
        <v>0</v>
      </c>
      <c r="DJ45" s="199">
        <f t="shared" si="132"/>
        <v>3.620876679366352</v>
      </c>
      <c r="DK45" s="199">
        <f t="shared" si="133"/>
        <v>0</v>
      </c>
      <c r="DL45" s="199">
        <f t="shared" si="134"/>
        <v>0</v>
      </c>
      <c r="DM45" s="199">
        <f t="shared" si="135"/>
        <v>4.533064328855023</v>
      </c>
      <c r="DN45" s="199">
        <f t="shared" si="136"/>
        <v>0</v>
      </c>
      <c r="DO45" s="199">
        <f t="shared" si="137"/>
        <v>0</v>
      </c>
      <c r="DP45" s="199">
        <f t="shared" si="138"/>
        <v>4.372379386404651</v>
      </c>
      <c r="DQ45" s="199">
        <f t="shared" si="139"/>
        <v>0</v>
      </c>
      <c r="DR45" s="199">
        <f t="shared" si="140"/>
        <v>1.0528545418087025</v>
      </c>
      <c r="DS45" s="199">
        <f t="shared" si="141"/>
        <v>0</v>
      </c>
      <c r="DT45" s="199">
        <f t="shared" si="142"/>
        <v>40.173571285341886</v>
      </c>
      <c r="DU45" s="199">
        <f t="shared" si="143"/>
        <v>0</v>
      </c>
      <c r="DV45" s="199">
        <f t="shared" si="144"/>
        <v>0</v>
      </c>
      <c r="DW45" s="199">
        <f t="shared" si="145"/>
        <v>0</v>
      </c>
      <c r="DX45" s="199">
        <f t="shared" si="146"/>
        <v>0</v>
      </c>
      <c r="DY45" s="199">
        <f t="shared" si="147"/>
        <v>1.075744134750351</v>
      </c>
      <c r="DZ45" s="199">
        <f t="shared" si="148"/>
        <v>0.015729754962903547</v>
      </c>
      <c r="EA45" s="199">
        <f t="shared" si="149"/>
        <v>36.22986148738022</v>
      </c>
      <c r="EB45" s="199">
        <f t="shared" si="150"/>
        <v>4.580592942331801</v>
      </c>
      <c r="EC45" s="202">
        <f t="shared" si="51"/>
        <v>190.858781218563</v>
      </c>
      <c r="ED45" s="202">
        <f>SUM(CV45:DI45,DS45:DT45,DW45,DY45,EA45:EB45)</f>
        <v>177.2638765271654</v>
      </c>
      <c r="EE45" s="203">
        <f t="shared" si="52"/>
        <v>29.342999969349375</v>
      </c>
      <c r="EF45" s="199"/>
      <c r="EI45" s="1">
        <f t="shared" si="151"/>
        <v>0.5699766927982697</v>
      </c>
      <c r="EJ45" s="1">
        <f t="shared" si="152"/>
        <v>0.010606863429336002</v>
      </c>
      <c r="EK45" s="1">
        <f t="shared" si="153"/>
        <v>0</v>
      </c>
      <c r="EL45" s="1">
        <f t="shared" si="154"/>
        <v>0</v>
      </c>
      <c r="EM45" s="1">
        <f t="shared" si="155"/>
        <v>0</v>
      </c>
      <c r="EN45" s="1">
        <f t="shared" si="156"/>
        <v>0</v>
      </c>
      <c r="EO45" s="1">
        <f t="shared" si="157"/>
        <v>0.2644897670328</v>
      </c>
      <c r="EP45" s="1">
        <f t="shared" si="158"/>
        <v>0</v>
      </c>
      <c r="EQ45" s="1">
        <f t="shared" si="159"/>
        <v>0.21621849683808003</v>
      </c>
      <c r="ER45" s="1">
        <f t="shared" si="160"/>
        <v>0</v>
      </c>
      <c r="ES45" s="1">
        <f t="shared" si="161"/>
        <v>0</v>
      </c>
      <c r="ET45" s="1">
        <f t="shared" si="162"/>
        <v>0.14589546715944002</v>
      </c>
      <c r="EU45" s="1">
        <f t="shared" si="163"/>
        <v>0</v>
      </c>
      <c r="EV45" s="1">
        <f t="shared" si="164"/>
        <v>0</v>
      </c>
      <c r="EW45" s="1">
        <f t="shared" si="165"/>
        <v>0.059350736407200004</v>
      </c>
      <c r="EX45" s="1">
        <f t="shared" si="166"/>
        <v>0</v>
      </c>
      <c r="EY45" s="1">
        <f t="shared" si="167"/>
        <v>0</v>
      </c>
      <c r="EZ45" s="1">
        <f t="shared" si="168"/>
        <v>0.059350736407200004</v>
      </c>
      <c r="FA45" s="1">
        <f t="shared" si="169"/>
        <v>0</v>
      </c>
      <c r="FB45" s="1">
        <f t="shared" si="170"/>
        <v>0</v>
      </c>
      <c r="FC45" s="1">
        <f t="shared" si="171"/>
        <v>0.059350736407200004</v>
      </c>
      <c r="FD45" s="1">
        <f t="shared" si="172"/>
        <v>0</v>
      </c>
      <c r="FE45" s="1">
        <f t="shared" si="173"/>
        <v>0.059350736407200004</v>
      </c>
      <c r="FF45" s="1">
        <f t="shared" si="174"/>
        <v>0</v>
      </c>
      <c r="FG45" s="1">
        <f t="shared" si="175"/>
        <v>0.059350736407200004</v>
      </c>
      <c r="FH45" s="1">
        <f t="shared" si="176"/>
        <v>0</v>
      </c>
      <c r="FI45" s="1">
        <f t="shared" si="177"/>
        <v>0</v>
      </c>
      <c r="FJ45" s="1">
        <f t="shared" si="178"/>
        <v>0</v>
      </c>
      <c r="FK45" s="1">
        <f t="shared" si="179"/>
        <v>0</v>
      </c>
      <c r="FL45" s="1">
        <f t="shared" si="180"/>
        <v>4.263919336981805</v>
      </c>
      <c r="FM45" s="1">
        <f t="shared" si="181"/>
        <v>0.0057571153094400015</v>
      </c>
      <c r="FN45" s="1">
        <f t="shared" si="182"/>
        <v>7.46760736344</v>
      </c>
      <c r="FO45" s="1">
        <f>IF(O45=0,0,SUM(EI45:FN45))</f>
        <v>13.241224785025171</v>
      </c>
    </row>
    <row r="46" spans="1:171" ht="12.75">
      <c r="A46" s="33">
        <v>110</v>
      </c>
      <c r="B46" s="34" t="s">
        <v>169</v>
      </c>
      <c r="C46" s="34" t="s">
        <v>170</v>
      </c>
      <c r="D46" s="35" t="s">
        <v>171</v>
      </c>
      <c r="E46" s="35">
        <v>3</v>
      </c>
      <c r="F46" s="35" t="s">
        <v>172</v>
      </c>
      <c r="G46" s="35" t="s">
        <v>74</v>
      </c>
      <c r="H46" s="35" t="s">
        <v>75</v>
      </c>
      <c r="I46" s="35">
        <v>3</v>
      </c>
      <c r="J46" s="35"/>
      <c r="K46" s="26">
        <f t="shared" si="85"/>
        <v>0</v>
      </c>
      <c r="L46" s="26">
        <f t="shared" si="86"/>
        <v>0</v>
      </c>
      <c r="M46" s="33">
        <v>292000</v>
      </c>
      <c r="N46" s="33">
        <v>982700</v>
      </c>
      <c r="O46" s="27">
        <f t="shared" si="87"/>
        <v>12200</v>
      </c>
      <c r="P46" s="30">
        <v>12200</v>
      </c>
      <c r="Q46" s="30">
        <v>13500</v>
      </c>
      <c r="R46" s="30">
        <v>0</v>
      </c>
      <c r="S46" s="31">
        <v>0</v>
      </c>
      <c r="T46" s="31">
        <v>0</v>
      </c>
      <c r="U46" s="31">
        <v>0</v>
      </c>
      <c r="V46" s="31">
        <v>0</v>
      </c>
      <c r="W46" s="30">
        <v>0</v>
      </c>
      <c r="X46" s="31">
        <v>0</v>
      </c>
      <c r="Y46" s="31">
        <v>0</v>
      </c>
      <c r="Z46" s="30">
        <v>0</v>
      </c>
      <c r="AA46" s="31">
        <v>0</v>
      </c>
      <c r="AB46" s="30">
        <v>0</v>
      </c>
      <c r="AC46" s="30">
        <v>0</v>
      </c>
      <c r="AD46" s="30">
        <v>0</v>
      </c>
      <c r="AE46" s="30">
        <v>0</v>
      </c>
      <c r="AF46" s="30">
        <v>0</v>
      </c>
      <c r="AG46" s="30">
        <v>0</v>
      </c>
      <c r="AH46" s="30">
        <v>0</v>
      </c>
      <c r="AI46" s="30">
        <v>0</v>
      </c>
      <c r="AJ46" s="30">
        <v>0</v>
      </c>
      <c r="AK46" s="30">
        <v>0</v>
      </c>
      <c r="AL46" s="30">
        <v>0</v>
      </c>
      <c r="AM46" s="30">
        <v>0</v>
      </c>
      <c r="AN46" s="30">
        <v>0</v>
      </c>
      <c r="AO46" s="30">
        <v>0</v>
      </c>
      <c r="AP46" s="30">
        <v>0</v>
      </c>
      <c r="AQ46" s="30">
        <v>0</v>
      </c>
      <c r="AR46" s="30">
        <v>0</v>
      </c>
      <c r="AS46" s="30">
        <v>0</v>
      </c>
      <c r="AT46" s="30">
        <v>0</v>
      </c>
      <c r="AU46" s="30">
        <v>0</v>
      </c>
      <c r="AX46" s="2">
        <f t="shared" si="0"/>
        <v>11880</v>
      </c>
      <c r="AY46" s="32">
        <f t="shared" si="105"/>
        <v>10736</v>
      </c>
      <c r="AZ46" s="186">
        <f t="shared" si="106"/>
        <v>0.5276262678779056</v>
      </c>
      <c r="BA46" s="186">
        <f t="shared" si="107"/>
        <v>0.04989507217332942</v>
      </c>
      <c r="BB46" s="186">
        <f t="shared" si="108"/>
        <v>0.3170687324529479</v>
      </c>
      <c r="BC46" s="53">
        <f t="shared" si="88"/>
        <v>12200</v>
      </c>
      <c r="BD46" s="53">
        <f t="shared" si="5"/>
        <v>6332.057314341265</v>
      </c>
      <c r="BE46" s="53">
        <f t="shared" si="6"/>
        <v>598.7921298448794</v>
      </c>
      <c r="BF46" s="53">
        <f t="shared" si="7"/>
        <v>3805.1505558138556</v>
      </c>
      <c r="BG46" s="53"/>
      <c r="BH46" s="53">
        <f t="shared" si="89"/>
        <v>2</v>
      </c>
      <c r="BI46" s="53">
        <f t="shared" si="90"/>
        <v>3</v>
      </c>
      <c r="BJ46" s="53">
        <f t="shared" si="91"/>
        <v>3</v>
      </c>
      <c r="BK46" s="53">
        <f t="shared" si="92"/>
        <v>2</v>
      </c>
      <c r="BL46" s="53"/>
      <c r="BM46" s="53">
        <f t="shared" si="93"/>
        <v>1</v>
      </c>
      <c r="BN46" s="53">
        <f t="shared" si="94"/>
        <v>2</v>
      </c>
      <c r="BO46" s="53">
        <f t="shared" si="95"/>
        <v>2</v>
      </c>
      <c r="BP46" s="53">
        <f t="shared" si="96"/>
        <v>0</v>
      </c>
      <c r="BQ46" s="53"/>
      <c r="BR46" s="53">
        <f t="shared" si="97"/>
        <v>3.25</v>
      </c>
      <c r="BS46" s="53">
        <f t="shared" si="98"/>
        <v>34.2</v>
      </c>
      <c r="BT46" s="53">
        <f t="shared" si="99"/>
        <v>11</v>
      </c>
      <c r="BU46" s="53">
        <f t="shared" si="109"/>
        <v>23256</v>
      </c>
      <c r="BV46" s="53"/>
      <c r="BW46" s="53">
        <f t="shared" si="183"/>
        <v>13000</v>
      </c>
      <c r="BX46" s="53">
        <f t="shared" si="101"/>
        <v>-20106</v>
      </c>
      <c r="BY46" s="53">
        <f t="shared" si="110"/>
        <v>-18255.092464544257</v>
      </c>
      <c r="BZ46" s="240">
        <f t="shared" si="102"/>
        <v>5.5020500000000006</v>
      </c>
      <c r="CC46" s="1">
        <f t="shared" si="111"/>
        <v>0</v>
      </c>
      <c r="CD46" s="195">
        <f t="shared" si="112"/>
        <v>2873.2</v>
      </c>
      <c r="CE46" s="195">
        <f t="shared" si="113"/>
        <v>2873.2</v>
      </c>
      <c r="CF46" s="239">
        <f t="shared" si="114"/>
        <v>1.45</v>
      </c>
      <c r="CG46" s="239">
        <f t="shared" si="114"/>
        <v>9.96</v>
      </c>
      <c r="CH46" s="1">
        <f t="shared" si="103"/>
        <v>4780.8</v>
      </c>
      <c r="CK46" s="211">
        <f t="shared" si="115"/>
        <v>0</v>
      </c>
      <c r="CL46" s="211">
        <f t="shared" si="116"/>
        <v>0</v>
      </c>
      <c r="CM46" s="211">
        <f t="shared" si="117"/>
        <v>0</v>
      </c>
      <c r="CQ46" s="1">
        <f t="shared" si="104"/>
        <v>0</v>
      </c>
      <c r="CR46" s="195">
        <f t="shared" si="17"/>
        <v>0</v>
      </c>
      <c r="CS46" s="195"/>
      <c r="CT46" s="195"/>
      <c r="CV46" s="199">
        <f t="shared" si="118"/>
        <v>6.85811910968518</v>
      </c>
      <c r="CW46" s="199">
        <f t="shared" si="119"/>
        <v>0</v>
      </c>
      <c r="CX46" s="199">
        <f t="shared" si="120"/>
        <v>0</v>
      </c>
      <c r="CY46" s="199">
        <f t="shared" si="121"/>
        <v>0</v>
      </c>
      <c r="CZ46" s="199">
        <f t="shared" si="122"/>
        <v>0</v>
      </c>
      <c r="DA46" s="199">
        <f t="shared" si="123"/>
        <v>0</v>
      </c>
      <c r="DB46" s="199">
        <f t="shared" si="124"/>
        <v>0</v>
      </c>
      <c r="DC46" s="199">
        <f t="shared" si="125"/>
        <v>0</v>
      </c>
      <c r="DD46" s="199">
        <f t="shared" si="126"/>
        <v>0</v>
      </c>
      <c r="DE46" s="199">
        <f t="shared" si="127"/>
        <v>0</v>
      </c>
      <c r="DF46" s="199">
        <f t="shared" si="128"/>
        <v>0</v>
      </c>
      <c r="DG46" s="199">
        <f t="shared" si="129"/>
        <v>0</v>
      </c>
      <c r="DH46" s="199">
        <f t="shared" si="130"/>
        <v>0</v>
      </c>
      <c r="DI46" s="199">
        <f t="shared" si="131"/>
        <v>0</v>
      </c>
      <c r="DJ46" s="199">
        <f t="shared" si="132"/>
        <v>0</v>
      </c>
      <c r="DK46" s="199">
        <f t="shared" si="133"/>
        <v>0</v>
      </c>
      <c r="DL46" s="199">
        <f t="shared" si="134"/>
        <v>0</v>
      </c>
      <c r="DM46" s="199">
        <f t="shared" si="135"/>
        <v>0</v>
      </c>
      <c r="DN46" s="199">
        <f t="shared" si="136"/>
        <v>0</v>
      </c>
      <c r="DO46" s="199">
        <f t="shared" si="137"/>
        <v>0</v>
      </c>
      <c r="DP46" s="199">
        <f t="shared" si="138"/>
        <v>0</v>
      </c>
      <c r="DQ46" s="199">
        <f t="shared" si="139"/>
        <v>0</v>
      </c>
      <c r="DR46" s="199">
        <f t="shared" si="140"/>
        <v>0</v>
      </c>
      <c r="DS46" s="199">
        <f t="shared" si="141"/>
        <v>0</v>
      </c>
      <c r="DT46" s="199">
        <f t="shared" si="142"/>
        <v>0</v>
      </c>
      <c r="DU46" s="199">
        <f t="shared" si="143"/>
        <v>0</v>
      </c>
      <c r="DV46" s="199">
        <f t="shared" si="144"/>
        <v>0</v>
      </c>
      <c r="DW46" s="199">
        <f t="shared" si="145"/>
        <v>0</v>
      </c>
      <c r="DX46" s="199">
        <f t="shared" si="146"/>
        <v>0</v>
      </c>
      <c r="DY46" s="199">
        <f t="shared" si="147"/>
        <v>0</v>
      </c>
      <c r="DZ46" s="199">
        <f t="shared" si="148"/>
        <v>0</v>
      </c>
      <c r="EA46" s="199">
        <f t="shared" si="149"/>
        <v>6.2331231120914365</v>
      </c>
      <c r="EB46" s="199">
        <f t="shared" si="150"/>
        <v>0.7193818680569479</v>
      </c>
      <c r="EC46" s="202">
        <f t="shared" si="51"/>
        <v>13.810624089833565</v>
      </c>
      <c r="ED46" s="202">
        <f>SUM(CV46:DI46,DS46:DT46,DW46,DY46,EA46:EB46)</f>
        <v>13.810624089833565</v>
      </c>
      <c r="EE46" s="203">
        <f t="shared" si="52"/>
        <v>2.2861123776822003</v>
      </c>
      <c r="EF46" s="199"/>
      <c r="EI46" s="1">
        <f t="shared" si="151"/>
        <v>0.18495710758393283</v>
      </c>
      <c r="EJ46" s="1">
        <f t="shared" si="152"/>
        <v>0</v>
      </c>
      <c r="EK46" s="1">
        <f t="shared" si="153"/>
        <v>0</v>
      </c>
      <c r="EL46" s="1">
        <f t="shared" si="154"/>
        <v>0</v>
      </c>
      <c r="EM46" s="1">
        <f t="shared" si="155"/>
        <v>0</v>
      </c>
      <c r="EN46" s="1">
        <f t="shared" si="156"/>
        <v>0</v>
      </c>
      <c r="EO46" s="1">
        <f t="shared" si="157"/>
        <v>0</v>
      </c>
      <c r="EP46" s="1">
        <f t="shared" si="158"/>
        <v>0</v>
      </c>
      <c r="EQ46" s="1">
        <f t="shared" si="159"/>
        <v>0</v>
      </c>
      <c r="ER46" s="1">
        <f t="shared" si="160"/>
        <v>0</v>
      </c>
      <c r="ES46" s="1">
        <f t="shared" si="161"/>
        <v>0</v>
      </c>
      <c r="ET46" s="1">
        <f t="shared" si="162"/>
        <v>0</v>
      </c>
      <c r="EU46" s="1">
        <f t="shared" si="163"/>
        <v>0</v>
      </c>
      <c r="EV46" s="1">
        <f t="shared" si="164"/>
        <v>0</v>
      </c>
      <c r="EW46" s="1">
        <f t="shared" si="165"/>
        <v>0</v>
      </c>
      <c r="EX46" s="1">
        <f t="shared" si="166"/>
        <v>0</v>
      </c>
      <c r="EY46" s="1">
        <f t="shared" si="167"/>
        <v>0</v>
      </c>
      <c r="EZ46" s="1">
        <f t="shared" si="168"/>
        <v>0</v>
      </c>
      <c r="FA46" s="1">
        <f t="shared" si="169"/>
        <v>0</v>
      </c>
      <c r="FB46" s="1">
        <f t="shared" si="170"/>
        <v>0</v>
      </c>
      <c r="FC46" s="1">
        <f t="shared" si="171"/>
        <v>0</v>
      </c>
      <c r="FD46" s="1">
        <f t="shared" si="172"/>
        <v>0</v>
      </c>
      <c r="FE46" s="1">
        <f t="shared" si="173"/>
        <v>0</v>
      </c>
      <c r="FF46" s="1">
        <f t="shared" si="174"/>
        <v>0</v>
      </c>
      <c r="FG46" s="1">
        <f t="shared" si="175"/>
        <v>0</v>
      </c>
      <c r="FH46" s="1">
        <f t="shared" si="176"/>
        <v>0</v>
      </c>
      <c r="FI46" s="1">
        <f t="shared" si="177"/>
        <v>0</v>
      </c>
      <c r="FJ46" s="1">
        <f t="shared" si="178"/>
        <v>0</v>
      </c>
      <c r="FK46" s="1">
        <f t="shared" si="179"/>
        <v>0</v>
      </c>
      <c r="FL46" s="1">
        <f t="shared" si="180"/>
        <v>0</v>
      </c>
      <c r="FM46" s="1">
        <f t="shared" si="181"/>
        <v>0</v>
      </c>
      <c r="FN46" s="1">
        <f t="shared" si="182"/>
        <v>4.472293968912</v>
      </c>
      <c r="FO46" s="1">
        <f>IF(O46=0,0,SUM(EI46:FN46))</f>
        <v>4.657251076495933</v>
      </c>
    </row>
    <row r="47" spans="1:171" ht="12.75">
      <c r="A47" s="33">
        <v>111</v>
      </c>
      <c r="B47" s="34" t="s">
        <v>173</v>
      </c>
      <c r="C47" s="34" t="s">
        <v>174</v>
      </c>
      <c r="D47" s="35" t="s">
        <v>171</v>
      </c>
      <c r="E47" s="35">
        <v>3</v>
      </c>
      <c r="F47" s="35" t="s">
        <v>172</v>
      </c>
      <c r="G47" s="35" t="s">
        <v>74</v>
      </c>
      <c r="H47" s="35" t="s">
        <v>75</v>
      </c>
      <c r="I47" s="35">
        <v>3</v>
      </c>
      <c r="J47" s="35"/>
      <c r="K47" s="26">
        <f t="shared" si="85"/>
        <v>1</v>
      </c>
      <c r="L47" s="26">
        <f t="shared" si="86"/>
        <v>1</v>
      </c>
      <c r="M47" s="33">
        <v>321704</v>
      </c>
      <c r="N47" s="33">
        <v>1012453</v>
      </c>
      <c r="O47" s="27">
        <f t="shared" si="87"/>
        <v>67000</v>
      </c>
      <c r="P47" s="30">
        <v>67000</v>
      </c>
      <c r="Q47" s="30">
        <v>70000</v>
      </c>
      <c r="R47" s="30">
        <v>24000</v>
      </c>
      <c r="S47" s="31">
        <v>0</v>
      </c>
      <c r="T47" s="31">
        <v>0</v>
      </c>
      <c r="U47" s="31">
        <v>0</v>
      </c>
      <c r="V47" s="31">
        <v>0</v>
      </c>
      <c r="W47" s="30">
        <v>25000</v>
      </c>
      <c r="X47" s="31">
        <v>0</v>
      </c>
      <c r="Y47" s="31">
        <v>0</v>
      </c>
      <c r="Z47" s="30">
        <v>0</v>
      </c>
      <c r="AA47" s="31">
        <v>0</v>
      </c>
      <c r="AB47" s="30">
        <v>21000</v>
      </c>
      <c r="AC47" s="30">
        <v>0</v>
      </c>
      <c r="AD47" s="30">
        <v>10000</v>
      </c>
      <c r="AE47" s="30">
        <v>25500</v>
      </c>
      <c r="AF47" s="30">
        <v>0</v>
      </c>
      <c r="AG47" s="30">
        <v>5000</v>
      </c>
      <c r="AH47" s="30">
        <v>22750</v>
      </c>
      <c r="AI47" s="30">
        <v>0</v>
      </c>
      <c r="AJ47" s="30">
        <v>0</v>
      </c>
      <c r="AK47" s="30">
        <v>6500</v>
      </c>
      <c r="AL47" s="30">
        <v>0</v>
      </c>
      <c r="AM47" s="30">
        <v>5000</v>
      </c>
      <c r="AN47" s="30">
        <v>1000</v>
      </c>
      <c r="AO47" s="30">
        <v>7600</v>
      </c>
      <c r="AP47" s="30">
        <v>0</v>
      </c>
      <c r="AQ47" s="30">
        <v>0</v>
      </c>
      <c r="AR47" s="30">
        <v>0</v>
      </c>
      <c r="AS47" s="30">
        <v>0</v>
      </c>
      <c r="AT47" s="30">
        <v>0</v>
      </c>
      <c r="AU47" s="30">
        <v>150</v>
      </c>
      <c r="AX47" s="2">
        <f t="shared" si="0"/>
        <v>54032</v>
      </c>
      <c r="AY47" s="32">
        <f t="shared" si="105"/>
        <v>51716.34285714286</v>
      </c>
      <c r="AZ47" s="186">
        <f t="shared" si="106"/>
        <v>0.5276262678779056</v>
      </c>
      <c r="BA47" s="186">
        <f t="shared" si="107"/>
        <v>0.04989507217332942</v>
      </c>
      <c r="BB47" s="186">
        <f t="shared" si="108"/>
        <v>0.3170687324529479</v>
      </c>
      <c r="BC47" s="53">
        <f t="shared" si="88"/>
        <v>67000</v>
      </c>
      <c r="BD47" s="53">
        <f t="shared" si="5"/>
        <v>30502.12807931745</v>
      </c>
      <c r="BE47" s="53">
        <f t="shared" si="6"/>
        <v>2884.4391847258366</v>
      </c>
      <c r="BF47" s="53">
        <f t="shared" si="7"/>
        <v>18329.775593099577</v>
      </c>
      <c r="BG47" s="53"/>
      <c r="BH47" s="53">
        <f t="shared" si="89"/>
        <v>4</v>
      </c>
      <c r="BI47" s="53">
        <f t="shared" si="90"/>
        <v>4</v>
      </c>
      <c r="BJ47" s="53">
        <f t="shared" si="91"/>
        <v>3</v>
      </c>
      <c r="BK47" s="53">
        <f t="shared" si="92"/>
        <v>3</v>
      </c>
      <c r="BL47" s="53"/>
      <c r="BM47" s="53">
        <f t="shared" si="93"/>
        <v>2</v>
      </c>
      <c r="BN47" s="53">
        <f t="shared" si="94"/>
        <v>2</v>
      </c>
      <c r="BO47" s="53">
        <f t="shared" si="95"/>
        <v>2</v>
      </c>
      <c r="BP47" s="53">
        <f t="shared" si="96"/>
        <v>0</v>
      </c>
      <c r="BQ47" s="53"/>
      <c r="BR47" s="53">
        <f t="shared" si="97"/>
        <v>6.5</v>
      </c>
      <c r="BS47" s="53">
        <f t="shared" si="98"/>
        <v>34.2</v>
      </c>
      <c r="BT47" s="53">
        <f t="shared" si="99"/>
        <v>11</v>
      </c>
      <c r="BU47" s="53">
        <f t="shared" si="109"/>
        <v>24816</v>
      </c>
      <c r="BV47" s="53"/>
      <c r="BW47" s="53">
        <f t="shared" si="183"/>
        <v>15600</v>
      </c>
      <c r="BX47" s="53">
        <f t="shared" si="101"/>
        <v>-21036</v>
      </c>
      <c r="BY47" s="53">
        <f t="shared" si="110"/>
        <v>-18814.91095745311</v>
      </c>
      <c r="BZ47" s="240">
        <f t="shared" si="102"/>
        <v>5.791300000000001</v>
      </c>
      <c r="CC47" s="1">
        <f t="shared" si="111"/>
        <v>0</v>
      </c>
      <c r="CD47" s="195">
        <f t="shared" si="112"/>
        <v>2873.2</v>
      </c>
      <c r="CE47" s="195">
        <f t="shared" si="113"/>
        <v>2873.2</v>
      </c>
      <c r="CF47" s="239">
        <f t="shared" si="114"/>
        <v>1.45</v>
      </c>
      <c r="CG47" s="239">
        <f t="shared" si="114"/>
        <v>9.96</v>
      </c>
      <c r="CH47" s="1">
        <f t="shared" si="103"/>
        <v>4780.8</v>
      </c>
      <c r="CK47" s="211">
        <f t="shared" si="115"/>
        <v>0</v>
      </c>
      <c r="CL47" s="211">
        <f t="shared" si="116"/>
        <v>0</v>
      </c>
      <c r="CM47" s="211">
        <f t="shared" si="117"/>
        <v>0</v>
      </c>
      <c r="CQ47" s="1">
        <f t="shared" si="104"/>
        <v>1</v>
      </c>
      <c r="CR47" s="195">
        <f t="shared" si="17"/>
        <v>10000</v>
      </c>
      <c r="CS47" s="195"/>
      <c r="CT47" s="195"/>
      <c r="CV47" s="199">
        <f t="shared" si="118"/>
        <v>35.560617605775015</v>
      </c>
      <c r="CW47" s="199">
        <f t="shared" si="119"/>
        <v>7.207218768798876</v>
      </c>
      <c r="CX47" s="199">
        <f t="shared" si="120"/>
        <v>0</v>
      </c>
      <c r="CY47" s="199">
        <f t="shared" si="121"/>
        <v>0</v>
      </c>
      <c r="CZ47" s="199">
        <f t="shared" si="122"/>
        <v>0</v>
      </c>
      <c r="DA47" s="199">
        <f t="shared" si="123"/>
        <v>0</v>
      </c>
      <c r="DB47" s="199">
        <f t="shared" si="124"/>
        <v>6.506516944054542</v>
      </c>
      <c r="DC47" s="199">
        <f t="shared" si="125"/>
        <v>0</v>
      </c>
      <c r="DD47" s="199">
        <f t="shared" si="126"/>
        <v>0</v>
      </c>
      <c r="DE47" s="199">
        <f t="shared" si="127"/>
        <v>0</v>
      </c>
      <c r="DF47" s="199">
        <f t="shared" si="128"/>
        <v>0</v>
      </c>
      <c r="DG47" s="199">
        <f t="shared" si="129"/>
        <v>27.852897533587324</v>
      </c>
      <c r="DH47" s="199">
        <f t="shared" si="130"/>
        <v>0</v>
      </c>
      <c r="DI47" s="199">
        <f t="shared" si="131"/>
        <v>28.69540806095849</v>
      </c>
      <c r="DJ47" s="199">
        <f t="shared" si="132"/>
        <v>3.484239823541207</v>
      </c>
      <c r="DK47" s="199">
        <f t="shared" si="133"/>
        <v>0</v>
      </c>
      <c r="DL47" s="199">
        <f t="shared" si="134"/>
        <v>0.6831842791257268</v>
      </c>
      <c r="DM47" s="199">
        <f t="shared" si="135"/>
        <v>3.108488470022057</v>
      </c>
      <c r="DN47" s="199">
        <f t="shared" si="136"/>
        <v>0</v>
      </c>
      <c r="DO47" s="199">
        <f t="shared" si="137"/>
        <v>0</v>
      </c>
      <c r="DP47" s="199">
        <f t="shared" si="138"/>
        <v>0.8881395628634449</v>
      </c>
      <c r="DQ47" s="199">
        <f t="shared" si="139"/>
        <v>0</v>
      </c>
      <c r="DR47" s="199">
        <f t="shared" si="140"/>
        <v>0.7507519550832163</v>
      </c>
      <c r="DS47" s="199">
        <f t="shared" si="141"/>
        <v>2.6526569079606976</v>
      </c>
      <c r="DT47" s="199">
        <f t="shared" si="142"/>
        <v>21.808510126328454</v>
      </c>
      <c r="DU47" s="199">
        <f t="shared" si="143"/>
        <v>0</v>
      </c>
      <c r="DV47" s="199">
        <f t="shared" si="144"/>
        <v>0</v>
      </c>
      <c r="DW47" s="199">
        <f t="shared" si="145"/>
        <v>0</v>
      </c>
      <c r="DX47" s="199">
        <f t="shared" si="146"/>
        <v>0</v>
      </c>
      <c r="DY47" s="199">
        <f t="shared" si="147"/>
        <v>0</v>
      </c>
      <c r="DZ47" s="199">
        <f t="shared" si="148"/>
        <v>0.00970972528574293</v>
      </c>
      <c r="EA47" s="199">
        <f t="shared" si="149"/>
        <v>30.025552527543038</v>
      </c>
      <c r="EB47" s="199">
        <f t="shared" si="150"/>
        <v>3.7235082182359847</v>
      </c>
      <c r="EC47" s="202">
        <f t="shared" si="51"/>
        <v>172.9574005091638</v>
      </c>
      <c r="ED47" s="202">
        <f>SUM(CV47:DI47,DS47:DT47,DW47,DY47,EA47:EB47)</f>
        <v>164.0328866932424</v>
      </c>
      <c r="EE47" s="203">
        <f t="shared" si="52"/>
        <v>27.15283611928956</v>
      </c>
      <c r="EF47" s="199"/>
      <c r="EI47" s="1">
        <f t="shared" si="151"/>
        <v>0.5699766927982697</v>
      </c>
      <c r="EJ47" s="1">
        <f t="shared" si="152"/>
        <v>0.002442336444552</v>
      </c>
      <c r="EK47" s="1">
        <f t="shared" si="153"/>
        <v>0</v>
      </c>
      <c r="EL47" s="1">
        <f t="shared" si="154"/>
        <v>0</v>
      </c>
      <c r="EM47" s="1">
        <f t="shared" si="155"/>
        <v>0</v>
      </c>
      <c r="EN47" s="1">
        <f t="shared" si="156"/>
        <v>0</v>
      </c>
      <c r="EO47" s="1">
        <f t="shared" si="157"/>
        <v>0.2644897670328</v>
      </c>
      <c r="EP47" s="1">
        <f t="shared" si="158"/>
        <v>0</v>
      </c>
      <c r="EQ47" s="1">
        <f t="shared" si="159"/>
        <v>0</v>
      </c>
      <c r="ER47" s="1">
        <f t="shared" si="160"/>
        <v>0</v>
      </c>
      <c r="ES47" s="1">
        <f t="shared" si="161"/>
        <v>0</v>
      </c>
      <c r="ET47" s="1">
        <f t="shared" si="162"/>
        <v>0.14589546715944002</v>
      </c>
      <c r="EU47" s="1">
        <f t="shared" si="163"/>
        <v>0</v>
      </c>
      <c r="EV47" s="1">
        <f t="shared" si="164"/>
        <v>0</v>
      </c>
      <c r="EW47" s="1">
        <f t="shared" si="165"/>
        <v>0.059350736407200004</v>
      </c>
      <c r="EX47" s="1">
        <f t="shared" si="166"/>
        <v>0</v>
      </c>
      <c r="EY47" s="1">
        <f t="shared" si="167"/>
        <v>0.059350736407200004</v>
      </c>
      <c r="EZ47" s="1">
        <f t="shared" si="168"/>
        <v>0.059350736407200004</v>
      </c>
      <c r="FA47" s="1">
        <f t="shared" si="169"/>
        <v>0</v>
      </c>
      <c r="FB47" s="1">
        <f t="shared" si="170"/>
        <v>0</v>
      </c>
      <c r="FC47" s="1">
        <f t="shared" si="171"/>
        <v>0.059350736407200004</v>
      </c>
      <c r="FD47" s="1">
        <f t="shared" si="172"/>
        <v>0</v>
      </c>
      <c r="FE47" s="1">
        <f t="shared" si="173"/>
        <v>0.059350736407200004</v>
      </c>
      <c r="FF47" s="1">
        <f t="shared" si="174"/>
        <v>0.059350736407200004</v>
      </c>
      <c r="FG47" s="1">
        <f t="shared" si="175"/>
        <v>0.059350736407200004</v>
      </c>
      <c r="FH47" s="1">
        <f t="shared" si="176"/>
        <v>0</v>
      </c>
      <c r="FI47" s="1">
        <f t="shared" si="177"/>
        <v>0</v>
      </c>
      <c r="FJ47" s="1">
        <f t="shared" si="178"/>
        <v>0</v>
      </c>
      <c r="FK47" s="1">
        <f t="shared" si="179"/>
        <v>0</v>
      </c>
      <c r="FL47" s="1">
        <f t="shared" si="180"/>
        <v>0</v>
      </c>
      <c r="FM47" s="1">
        <f t="shared" si="181"/>
        <v>0.0057571153094400015</v>
      </c>
      <c r="FN47" s="1">
        <f t="shared" si="182"/>
        <v>7.46760736344</v>
      </c>
      <c r="FO47" s="1">
        <f>IF(O47=0,0,SUM(EI47:FN47))</f>
        <v>8.871623897034901</v>
      </c>
    </row>
    <row r="48" spans="1:171" ht="12.75">
      <c r="A48" s="33">
        <v>114</v>
      </c>
      <c r="B48" s="34" t="s">
        <v>175</v>
      </c>
      <c r="C48" s="34" t="s">
        <v>176</v>
      </c>
      <c r="D48" s="35" t="s">
        <v>171</v>
      </c>
      <c r="E48" s="35">
        <v>3</v>
      </c>
      <c r="F48" s="35" t="s">
        <v>172</v>
      </c>
      <c r="G48" s="35" t="s">
        <v>74</v>
      </c>
      <c r="H48" s="35" t="s">
        <v>75</v>
      </c>
      <c r="I48" s="35">
        <v>3</v>
      </c>
      <c r="J48" s="35"/>
      <c r="K48" s="26">
        <f t="shared" si="85"/>
        <v>1</v>
      </c>
      <c r="L48" s="26">
        <f t="shared" si="86"/>
        <v>1</v>
      </c>
      <c r="M48" s="33">
        <v>314603</v>
      </c>
      <c r="N48" s="33">
        <v>1062343</v>
      </c>
      <c r="O48" s="27">
        <f t="shared" si="87"/>
        <v>116000</v>
      </c>
      <c r="P48" s="30">
        <v>116000</v>
      </c>
      <c r="Q48" s="30">
        <v>118000</v>
      </c>
      <c r="R48" s="30">
        <v>47000</v>
      </c>
      <c r="S48" s="31">
        <v>0</v>
      </c>
      <c r="T48" s="31">
        <v>0</v>
      </c>
      <c r="U48" s="31">
        <v>0</v>
      </c>
      <c r="V48" s="31">
        <v>0</v>
      </c>
      <c r="W48" s="30">
        <v>34000</v>
      </c>
      <c r="X48" s="31">
        <v>0</v>
      </c>
      <c r="Y48" s="31">
        <v>0</v>
      </c>
      <c r="Z48" s="30">
        <v>0</v>
      </c>
      <c r="AA48" s="31">
        <v>0</v>
      </c>
      <c r="AB48" s="30">
        <v>25000</v>
      </c>
      <c r="AC48" s="30">
        <v>0</v>
      </c>
      <c r="AD48" s="30">
        <v>0</v>
      </c>
      <c r="AE48" s="30">
        <v>25500</v>
      </c>
      <c r="AF48" s="30">
        <v>0</v>
      </c>
      <c r="AG48" s="30">
        <v>9000</v>
      </c>
      <c r="AH48" s="30">
        <v>22000</v>
      </c>
      <c r="AI48" s="30">
        <v>0</v>
      </c>
      <c r="AJ48" s="30">
        <v>0</v>
      </c>
      <c r="AK48" s="30">
        <v>0</v>
      </c>
      <c r="AL48" s="30">
        <v>0</v>
      </c>
      <c r="AM48" s="30">
        <v>11500</v>
      </c>
      <c r="AN48" s="31">
        <v>0</v>
      </c>
      <c r="AO48" s="30">
        <v>6500</v>
      </c>
      <c r="AP48" s="31">
        <v>5000</v>
      </c>
      <c r="AQ48" s="31">
        <v>0</v>
      </c>
      <c r="AR48" s="31">
        <v>0</v>
      </c>
      <c r="AS48" s="31">
        <v>0</v>
      </c>
      <c r="AT48" s="31">
        <v>0</v>
      </c>
      <c r="AU48" s="30">
        <v>40</v>
      </c>
      <c r="AX48" s="2">
        <f t="shared" si="0"/>
        <v>98120</v>
      </c>
      <c r="AY48" s="32">
        <f t="shared" si="105"/>
        <v>96456.94915254238</v>
      </c>
      <c r="AZ48" s="186">
        <f t="shared" si="106"/>
        <v>0.5276262678779056</v>
      </c>
      <c r="BA48" s="186">
        <f t="shared" si="107"/>
        <v>0.04989507217332942</v>
      </c>
      <c r="BB48" s="186">
        <f t="shared" si="108"/>
        <v>0.3170687324529479</v>
      </c>
      <c r="BC48" s="53">
        <f t="shared" si="88"/>
        <v>116000</v>
      </c>
      <c r="BD48" s="53">
        <f t="shared" si="5"/>
        <v>56889.9897913934</v>
      </c>
      <c r="BE48" s="53">
        <f t="shared" si="6"/>
        <v>5379.812036269567</v>
      </c>
      <c r="BF48" s="53">
        <f t="shared" si="7"/>
        <v>34187.14732487942</v>
      </c>
      <c r="BG48" s="53"/>
      <c r="BH48" s="53">
        <f t="shared" si="89"/>
        <v>5</v>
      </c>
      <c r="BI48" s="53">
        <f t="shared" si="90"/>
        <v>5</v>
      </c>
      <c r="BJ48" s="53">
        <f t="shared" si="91"/>
        <v>3</v>
      </c>
      <c r="BK48" s="53">
        <f t="shared" si="92"/>
        <v>4</v>
      </c>
      <c r="BL48" s="53"/>
      <c r="BM48" s="53">
        <f t="shared" si="93"/>
        <v>2</v>
      </c>
      <c r="BN48" s="53">
        <f t="shared" si="94"/>
        <v>2</v>
      </c>
      <c r="BO48" s="53">
        <f t="shared" si="95"/>
        <v>2</v>
      </c>
      <c r="BP48" s="53">
        <f t="shared" si="96"/>
        <v>0</v>
      </c>
      <c r="BQ48" s="53"/>
      <c r="BR48" s="53">
        <f t="shared" si="97"/>
        <v>6.5</v>
      </c>
      <c r="BS48" s="53">
        <f t="shared" si="98"/>
        <v>34.2</v>
      </c>
      <c r="BT48" s="53">
        <f t="shared" si="99"/>
        <v>11</v>
      </c>
      <c r="BU48" s="53">
        <f t="shared" si="109"/>
        <v>24816</v>
      </c>
      <c r="BV48" s="53"/>
      <c r="BW48" s="53">
        <f t="shared" si="183"/>
        <v>15600</v>
      </c>
      <c r="BX48" s="53">
        <f t="shared" si="101"/>
        <v>-21036</v>
      </c>
      <c r="BY48" s="53">
        <f t="shared" si="110"/>
        <v>-18814.91095745311</v>
      </c>
      <c r="BZ48" s="240">
        <f t="shared" si="102"/>
        <v>5.791300000000001</v>
      </c>
      <c r="CC48" s="1">
        <f t="shared" si="111"/>
        <v>0</v>
      </c>
      <c r="CD48" s="195">
        <f t="shared" si="112"/>
        <v>5746.4</v>
      </c>
      <c r="CE48" s="195">
        <f t="shared" si="113"/>
        <v>5746.4</v>
      </c>
      <c r="CF48" s="239">
        <f t="shared" si="114"/>
        <v>2.9</v>
      </c>
      <c r="CG48" s="239">
        <f t="shared" si="114"/>
        <v>19.92</v>
      </c>
      <c r="CH48" s="1">
        <f t="shared" si="103"/>
        <v>9561.6</v>
      </c>
      <c r="CK48" s="211">
        <f t="shared" si="115"/>
        <v>0</v>
      </c>
      <c r="CL48" s="211">
        <f t="shared" si="116"/>
        <v>0</v>
      </c>
      <c r="CM48" s="211">
        <f t="shared" si="117"/>
        <v>0</v>
      </c>
      <c r="CQ48" s="1">
        <f t="shared" si="104"/>
        <v>1</v>
      </c>
      <c r="CR48" s="195">
        <f t="shared" si="17"/>
        <v>10000</v>
      </c>
      <c r="CS48" s="195"/>
      <c r="CT48" s="195"/>
      <c r="CV48" s="199">
        <f t="shared" si="118"/>
        <v>59.94504110687788</v>
      </c>
      <c r="CW48" s="199">
        <f t="shared" si="119"/>
        <v>14.114136755564466</v>
      </c>
      <c r="CX48" s="199">
        <f t="shared" si="120"/>
        <v>0</v>
      </c>
      <c r="CY48" s="199">
        <f t="shared" si="121"/>
        <v>0</v>
      </c>
      <c r="CZ48" s="199">
        <f t="shared" si="122"/>
        <v>0</v>
      </c>
      <c r="DA48" s="199">
        <f t="shared" si="123"/>
        <v>0</v>
      </c>
      <c r="DB48" s="199">
        <f t="shared" si="124"/>
        <v>8.848863043914177</v>
      </c>
      <c r="DC48" s="199">
        <f t="shared" si="125"/>
        <v>0</v>
      </c>
      <c r="DD48" s="199">
        <f t="shared" si="126"/>
        <v>0</v>
      </c>
      <c r="DE48" s="199">
        <f t="shared" si="127"/>
        <v>0</v>
      </c>
      <c r="DF48" s="199">
        <f t="shared" si="128"/>
        <v>0</v>
      </c>
      <c r="DG48" s="199">
        <f t="shared" si="129"/>
        <v>33.15821134950872</v>
      </c>
      <c r="DH48" s="199">
        <f t="shared" si="130"/>
        <v>0</v>
      </c>
      <c r="DI48" s="199">
        <f t="shared" si="131"/>
        <v>0</v>
      </c>
      <c r="DJ48" s="199">
        <f t="shared" si="132"/>
        <v>3.484239823541207</v>
      </c>
      <c r="DK48" s="199">
        <f t="shared" si="133"/>
        <v>0</v>
      </c>
      <c r="DL48" s="199">
        <f t="shared" si="134"/>
        <v>1.2297317024263084</v>
      </c>
      <c r="DM48" s="199">
        <f t="shared" si="135"/>
        <v>3.0060108281531983</v>
      </c>
      <c r="DN48" s="199">
        <f t="shared" si="136"/>
        <v>0</v>
      </c>
      <c r="DO48" s="199">
        <f t="shared" si="137"/>
        <v>0</v>
      </c>
      <c r="DP48" s="199">
        <f t="shared" si="138"/>
        <v>0</v>
      </c>
      <c r="DQ48" s="199">
        <f t="shared" si="139"/>
        <v>0</v>
      </c>
      <c r="DR48" s="199">
        <f t="shared" si="140"/>
        <v>1.7267294966913973</v>
      </c>
      <c r="DS48" s="199">
        <f t="shared" si="141"/>
        <v>0</v>
      </c>
      <c r="DT48" s="199">
        <f t="shared" si="142"/>
        <v>18.65201523962302</v>
      </c>
      <c r="DU48" s="199">
        <f t="shared" si="143"/>
        <v>0.001459795468217365</v>
      </c>
      <c r="DV48" s="199">
        <f t="shared" si="144"/>
        <v>0</v>
      </c>
      <c r="DW48" s="199">
        <f t="shared" si="145"/>
        <v>0</v>
      </c>
      <c r="DX48" s="199">
        <f t="shared" si="146"/>
        <v>0</v>
      </c>
      <c r="DY48" s="199">
        <f t="shared" si="147"/>
        <v>0</v>
      </c>
      <c r="DZ48" s="199">
        <f t="shared" si="148"/>
        <v>0.0025892600761981154</v>
      </c>
      <c r="EA48" s="199">
        <f t="shared" si="149"/>
        <v>56.00112137523662</v>
      </c>
      <c r="EB48" s="199">
        <f t="shared" si="150"/>
        <v>6.6636587444644215</v>
      </c>
      <c r="EC48" s="202">
        <f t="shared" si="51"/>
        <v>206.83380852154582</v>
      </c>
      <c r="ED48" s="202">
        <f>SUM(CV48:DI48,DS48:DT48,DW48,DY48,EA48:EB48)</f>
        <v>197.38304761518927</v>
      </c>
      <c r="EE48" s="203">
        <f t="shared" si="52"/>
        <v>32.67338429911296</v>
      </c>
      <c r="EF48" s="199"/>
      <c r="EI48" s="1">
        <f t="shared" si="151"/>
        <v>0.5699766927982697</v>
      </c>
      <c r="EJ48" s="1">
        <f t="shared" si="152"/>
        <v>0.010606863429336002</v>
      </c>
      <c r="EK48" s="1">
        <f t="shared" si="153"/>
        <v>0</v>
      </c>
      <c r="EL48" s="1">
        <f t="shared" si="154"/>
        <v>0</v>
      </c>
      <c r="EM48" s="1">
        <f t="shared" si="155"/>
        <v>0</v>
      </c>
      <c r="EN48" s="1">
        <f t="shared" si="156"/>
        <v>0</v>
      </c>
      <c r="EO48" s="1">
        <f t="shared" si="157"/>
        <v>0.2644897670328</v>
      </c>
      <c r="EP48" s="1">
        <f t="shared" si="158"/>
        <v>0</v>
      </c>
      <c r="EQ48" s="1">
        <f t="shared" si="159"/>
        <v>0</v>
      </c>
      <c r="ER48" s="1">
        <f t="shared" si="160"/>
        <v>0</v>
      </c>
      <c r="ES48" s="1">
        <f t="shared" si="161"/>
        <v>0</v>
      </c>
      <c r="ET48" s="1">
        <f t="shared" si="162"/>
        <v>0.14589546715944002</v>
      </c>
      <c r="EU48" s="1">
        <f t="shared" si="163"/>
        <v>0</v>
      </c>
      <c r="EV48" s="1">
        <f t="shared" si="164"/>
        <v>0</v>
      </c>
      <c r="EW48" s="1">
        <f t="shared" si="165"/>
        <v>0.059350736407200004</v>
      </c>
      <c r="EX48" s="1">
        <f t="shared" si="166"/>
        <v>0</v>
      </c>
      <c r="EY48" s="1">
        <f t="shared" si="167"/>
        <v>0.059350736407200004</v>
      </c>
      <c r="EZ48" s="1">
        <f t="shared" si="168"/>
        <v>0.059350736407200004</v>
      </c>
      <c r="FA48" s="1">
        <f t="shared" si="169"/>
        <v>0</v>
      </c>
      <c r="FB48" s="1">
        <f t="shared" si="170"/>
        <v>0</v>
      </c>
      <c r="FC48" s="1">
        <f t="shared" si="171"/>
        <v>0</v>
      </c>
      <c r="FD48" s="1">
        <f t="shared" si="172"/>
        <v>0</v>
      </c>
      <c r="FE48" s="1">
        <f t="shared" si="173"/>
        <v>0.059350736407200004</v>
      </c>
      <c r="FF48" s="1">
        <f t="shared" si="174"/>
        <v>0</v>
      </c>
      <c r="FG48" s="1">
        <f t="shared" si="175"/>
        <v>0.059350736407200004</v>
      </c>
      <c r="FH48" s="1">
        <f t="shared" si="176"/>
        <v>0</v>
      </c>
      <c r="FI48" s="1">
        <f t="shared" si="177"/>
        <v>0</v>
      </c>
      <c r="FJ48" s="1">
        <f t="shared" si="178"/>
        <v>0</v>
      </c>
      <c r="FK48" s="1">
        <f t="shared" si="179"/>
        <v>0</v>
      </c>
      <c r="FL48" s="1">
        <f t="shared" si="180"/>
        <v>0</v>
      </c>
      <c r="FM48" s="1">
        <f t="shared" si="181"/>
        <v>0.0034234991863440005</v>
      </c>
      <c r="FN48" s="1">
        <f t="shared" si="182"/>
        <v>7.46760736344</v>
      </c>
      <c r="FO48" s="1">
        <f>IF(O48=0,0,SUM(EI48:FN48))</f>
        <v>8.75875333508219</v>
      </c>
    </row>
    <row r="49" spans="1:171" ht="12.75">
      <c r="A49" s="33">
        <v>121</v>
      </c>
      <c r="B49" s="42" t="s">
        <v>177</v>
      </c>
      <c r="C49" s="34" t="s">
        <v>178</v>
      </c>
      <c r="D49" s="35" t="s">
        <v>171</v>
      </c>
      <c r="E49" s="35">
        <v>3</v>
      </c>
      <c r="F49" s="35" t="s">
        <v>172</v>
      </c>
      <c r="G49" s="35" t="s">
        <v>74</v>
      </c>
      <c r="H49" s="35" t="s">
        <v>75</v>
      </c>
      <c r="I49" s="35">
        <v>3</v>
      </c>
      <c r="J49" s="35"/>
      <c r="K49" s="26">
        <f t="shared" si="85"/>
        <v>1</v>
      </c>
      <c r="L49" s="26">
        <f t="shared" si="86"/>
        <v>1</v>
      </c>
      <c r="M49" s="33">
        <v>322145</v>
      </c>
      <c r="N49" s="33">
        <v>951645</v>
      </c>
      <c r="O49" s="27">
        <f t="shared" si="87"/>
        <v>58000</v>
      </c>
      <c r="P49" s="30">
        <v>58000</v>
      </c>
      <c r="Q49" s="30">
        <v>60000</v>
      </c>
      <c r="R49" s="30">
        <v>15000</v>
      </c>
      <c r="S49" s="31">
        <v>6000</v>
      </c>
      <c r="T49" s="31">
        <v>0</v>
      </c>
      <c r="U49" s="31">
        <v>0</v>
      </c>
      <c r="V49" s="31">
        <v>0</v>
      </c>
      <c r="W49" s="30">
        <v>20250</v>
      </c>
      <c r="X49" s="31">
        <v>0</v>
      </c>
      <c r="Y49" s="31">
        <v>0</v>
      </c>
      <c r="Z49" s="30">
        <v>0</v>
      </c>
      <c r="AA49" s="31">
        <v>0</v>
      </c>
      <c r="AB49" s="30">
        <v>13000</v>
      </c>
      <c r="AC49" s="30">
        <v>4500</v>
      </c>
      <c r="AD49" s="30">
        <v>0</v>
      </c>
      <c r="AE49" s="30">
        <v>20000</v>
      </c>
      <c r="AF49" s="30">
        <v>0</v>
      </c>
      <c r="AG49" s="30">
        <v>0</v>
      </c>
      <c r="AH49" s="30">
        <v>12000</v>
      </c>
      <c r="AI49" s="30">
        <v>0</v>
      </c>
      <c r="AJ49" s="30">
        <v>0</v>
      </c>
      <c r="AK49" s="30">
        <v>0</v>
      </c>
      <c r="AL49" s="30">
        <v>0</v>
      </c>
      <c r="AM49" s="30">
        <v>4700</v>
      </c>
      <c r="AN49" s="31">
        <v>0</v>
      </c>
      <c r="AO49" s="30">
        <v>0</v>
      </c>
      <c r="AP49" s="31">
        <v>500</v>
      </c>
      <c r="AQ49" s="31">
        <v>0</v>
      </c>
      <c r="AR49" s="31">
        <v>0</v>
      </c>
      <c r="AS49" s="31">
        <v>1500</v>
      </c>
      <c r="AT49" s="31">
        <v>0</v>
      </c>
      <c r="AU49" s="30">
        <v>15</v>
      </c>
      <c r="AX49" s="2">
        <f t="shared" si="0"/>
        <v>51480</v>
      </c>
      <c r="AY49" s="32">
        <f t="shared" si="105"/>
        <v>49764</v>
      </c>
      <c r="AZ49" s="186">
        <f t="shared" si="106"/>
        <v>0.5276262678779056</v>
      </c>
      <c r="BA49" s="186">
        <f t="shared" si="107"/>
        <v>0.04989507217332942</v>
      </c>
      <c r="BB49" s="186">
        <f t="shared" si="108"/>
        <v>0.3170687324529479</v>
      </c>
      <c r="BC49" s="53">
        <f t="shared" si="88"/>
        <v>58000</v>
      </c>
      <c r="BD49" s="53">
        <f t="shared" si="5"/>
        <v>29350.642715245784</v>
      </c>
      <c r="BE49" s="53">
        <f t="shared" si="6"/>
        <v>2775.548765797371</v>
      </c>
      <c r="BF49" s="53">
        <f t="shared" si="7"/>
        <v>17637.80851895685</v>
      </c>
      <c r="BG49" s="53"/>
      <c r="BH49" s="53">
        <f t="shared" si="89"/>
        <v>3</v>
      </c>
      <c r="BI49" s="53">
        <f t="shared" si="90"/>
        <v>4</v>
      </c>
      <c r="BJ49" s="53">
        <f t="shared" si="91"/>
        <v>3</v>
      </c>
      <c r="BK49" s="53">
        <f t="shared" si="92"/>
        <v>3</v>
      </c>
      <c r="BL49" s="53"/>
      <c r="BM49" s="53">
        <f t="shared" si="93"/>
        <v>2</v>
      </c>
      <c r="BN49" s="53">
        <f t="shared" si="94"/>
        <v>2</v>
      </c>
      <c r="BO49" s="53">
        <f t="shared" si="95"/>
        <v>2</v>
      </c>
      <c r="BP49" s="53">
        <f t="shared" si="96"/>
        <v>0</v>
      </c>
      <c r="BQ49" s="53"/>
      <c r="BR49" s="53">
        <f t="shared" si="97"/>
        <v>6.5</v>
      </c>
      <c r="BS49" s="53">
        <f t="shared" si="98"/>
        <v>34.2</v>
      </c>
      <c r="BT49" s="53">
        <f t="shared" si="99"/>
        <v>11</v>
      </c>
      <c r="BU49" s="53">
        <f t="shared" si="109"/>
        <v>24816</v>
      </c>
      <c r="BV49" s="53"/>
      <c r="BW49" s="53">
        <f t="shared" si="183"/>
        <v>15600</v>
      </c>
      <c r="BX49" s="53">
        <f t="shared" si="101"/>
        <v>-21036</v>
      </c>
      <c r="BY49" s="53">
        <f t="shared" si="110"/>
        <v>-18814.91095745311</v>
      </c>
      <c r="BZ49" s="240">
        <f t="shared" si="102"/>
        <v>5.791300000000001</v>
      </c>
      <c r="CC49" s="1">
        <f t="shared" si="111"/>
        <v>0</v>
      </c>
      <c r="CD49" s="195">
        <f t="shared" si="112"/>
        <v>2873.2</v>
      </c>
      <c r="CE49" s="195">
        <f t="shared" si="113"/>
        <v>2873.2</v>
      </c>
      <c r="CF49" s="239">
        <f t="shared" si="114"/>
        <v>1.45</v>
      </c>
      <c r="CG49" s="239">
        <f t="shared" si="114"/>
        <v>9.96</v>
      </c>
      <c r="CH49" s="1">
        <f t="shared" si="103"/>
        <v>4780.8</v>
      </c>
      <c r="CK49" s="211">
        <f t="shared" si="115"/>
        <v>0</v>
      </c>
      <c r="CL49" s="211">
        <f t="shared" si="116"/>
        <v>0</v>
      </c>
      <c r="CM49" s="211">
        <f t="shared" si="117"/>
        <v>0</v>
      </c>
      <c r="CQ49" s="1">
        <f t="shared" si="104"/>
        <v>1</v>
      </c>
      <c r="CR49" s="195">
        <f t="shared" si="17"/>
        <v>10000</v>
      </c>
      <c r="CS49" s="195"/>
      <c r="CT49" s="195"/>
      <c r="CV49" s="199">
        <f t="shared" si="118"/>
        <v>30.48052937637858</v>
      </c>
      <c r="CW49" s="199">
        <f t="shared" si="119"/>
        <v>4.504511730499297</v>
      </c>
      <c r="CX49" s="199">
        <f t="shared" si="120"/>
        <v>11.811830759975937</v>
      </c>
      <c r="CY49" s="199">
        <f t="shared" si="121"/>
        <v>0</v>
      </c>
      <c r="CZ49" s="199">
        <f t="shared" si="122"/>
        <v>0</v>
      </c>
      <c r="DA49" s="199">
        <f t="shared" si="123"/>
        <v>0</v>
      </c>
      <c r="DB49" s="199">
        <f t="shared" si="124"/>
        <v>5.270278724684179</v>
      </c>
      <c r="DC49" s="199">
        <f t="shared" si="125"/>
        <v>0</v>
      </c>
      <c r="DD49" s="199">
        <f t="shared" si="126"/>
        <v>0</v>
      </c>
      <c r="DE49" s="199">
        <f t="shared" si="127"/>
        <v>0</v>
      </c>
      <c r="DF49" s="199">
        <f t="shared" si="128"/>
        <v>0</v>
      </c>
      <c r="DG49" s="199">
        <f t="shared" si="129"/>
        <v>17.242269901744532</v>
      </c>
      <c r="DH49" s="199">
        <f t="shared" si="130"/>
        <v>5.96847804291157</v>
      </c>
      <c r="DI49" s="199">
        <f t="shared" si="131"/>
        <v>0</v>
      </c>
      <c r="DJ49" s="199">
        <f t="shared" si="132"/>
        <v>2.732737116502907</v>
      </c>
      <c r="DK49" s="199">
        <f t="shared" si="133"/>
        <v>0</v>
      </c>
      <c r="DL49" s="199">
        <f t="shared" si="134"/>
        <v>0</v>
      </c>
      <c r="DM49" s="199">
        <f t="shared" si="135"/>
        <v>1.6396422699017443</v>
      </c>
      <c r="DN49" s="199">
        <f t="shared" si="136"/>
        <v>0</v>
      </c>
      <c r="DO49" s="199">
        <f t="shared" si="137"/>
        <v>0</v>
      </c>
      <c r="DP49" s="199">
        <f t="shared" si="138"/>
        <v>0</v>
      </c>
      <c r="DQ49" s="199">
        <f t="shared" si="139"/>
        <v>0</v>
      </c>
      <c r="DR49" s="199">
        <f t="shared" si="140"/>
        <v>0.7057068377782233</v>
      </c>
      <c r="DS49" s="199">
        <f t="shared" si="141"/>
        <v>0</v>
      </c>
      <c r="DT49" s="199">
        <f t="shared" si="142"/>
        <v>0</v>
      </c>
      <c r="DU49" s="199">
        <f t="shared" si="143"/>
        <v>0.0001459795468217365</v>
      </c>
      <c r="DV49" s="199">
        <f t="shared" si="144"/>
        <v>0</v>
      </c>
      <c r="DW49" s="199">
        <f t="shared" si="145"/>
        <v>0</v>
      </c>
      <c r="DX49" s="199">
        <f t="shared" si="146"/>
        <v>0.09709725285742932</v>
      </c>
      <c r="DY49" s="199">
        <f t="shared" si="147"/>
        <v>0</v>
      </c>
      <c r="DZ49" s="199">
        <f t="shared" si="148"/>
        <v>0.0009709725285742931</v>
      </c>
      <c r="EA49" s="199">
        <f t="shared" si="149"/>
        <v>28.892058359735312</v>
      </c>
      <c r="EB49" s="199">
        <f t="shared" si="150"/>
        <v>3.379990740725887</v>
      </c>
      <c r="EC49" s="202">
        <f t="shared" si="51"/>
        <v>112.72624806577099</v>
      </c>
      <c r="ED49" s="202">
        <f>SUM(CV49:DI49,DS49:DT49,DW49,DY49,EA49:EB49)</f>
        <v>107.5499476366553</v>
      </c>
      <c r="EE49" s="203">
        <f t="shared" si="52"/>
        <v>17.80305255663455</v>
      </c>
      <c r="EF49" s="199"/>
      <c r="EI49" s="1">
        <f t="shared" si="151"/>
        <v>0.5699766927982697</v>
      </c>
      <c r="EJ49" s="1">
        <f t="shared" si="152"/>
        <v>0.002442336444552</v>
      </c>
      <c r="EK49" s="1">
        <f t="shared" si="153"/>
        <v>0.12505080147648</v>
      </c>
      <c r="EL49" s="1">
        <f t="shared" si="154"/>
        <v>0</v>
      </c>
      <c r="EM49" s="1">
        <f t="shared" si="155"/>
        <v>0</v>
      </c>
      <c r="EN49" s="1">
        <f t="shared" si="156"/>
        <v>0</v>
      </c>
      <c r="EO49" s="1">
        <f t="shared" si="157"/>
        <v>0.2644897670328</v>
      </c>
      <c r="EP49" s="1">
        <f t="shared" si="158"/>
        <v>0</v>
      </c>
      <c r="EQ49" s="1">
        <f t="shared" si="159"/>
        <v>0</v>
      </c>
      <c r="ER49" s="1">
        <f t="shared" si="160"/>
        <v>0</v>
      </c>
      <c r="ES49" s="1">
        <f t="shared" si="161"/>
        <v>0</v>
      </c>
      <c r="ET49" s="1">
        <f t="shared" si="162"/>
        <v>0.14589546715944002</v>
      </c>
      <c r="EU49" s="1">
        <f t="shared" si="163"/>
        <v>0.07346601658824001</v>
      </c>
      <c r="EV49" s="1">
        <f t="shared" si="164"/>
        <v>0</v>
      </c>
      <c r="EW49" s="1">
        <f t="shared" si="165"/>
        <v>0.059350736407200004</v>
      </c>
      <c r="EX49" s="1">
        <f t="shared" si="166"/>
        <v>0</v>
      </c>
      <c r="EY49" s="1">
        <f t="shared" si="167"/>
        <v>0</v>
      </c>
      <c r="EZ49" s="1">
        <f t="shared" si="168"/>
        <v>0.059350736407200004</v>
      </c>
      <c r="FA49" s="1">
        <f t="shared" si="169"/>
        <v>0</v>
      </c>
      <c r="FB49" s="1">
        <f t="shared" si="170"/>
        <v>0</v>
      </c>
      <c r="FC49" s="1">
        <f t="shared" si="171"/>
        <v>0</v>
      </c>
      <c r="FD49" s="1">
        <f t="shared" si="172"/>
        <v>0</v>
      </c>
      <c r="FE49" s="1">
        <f t="shared" si="173"/>
        <v>0.059350736407200004</v>
      </c>
      <c r="FF49" s="1">
        <f t="shared" si="174"/>
        <v>0</v>
      </c>
      <c r="FG49" s="1">
        <f t="shared" si="175"/>
        <v>0</v>
      </c>
      <c r="FH49" s="1">
        <f t="shared" si="176"/>
        <v>0</v>
      </c>
      <c r="FI49" s="1">
        <f t="shared" si="177"/>
        <v>0</v>
      </c>
      <c r="FJ49" s="1">
        <f t="shared" si="178"/>
        <v>0</v>
      </c>
      <c r="FK49" s="1">
        <f t="shared" si="179"/>
        <v>0</v>
      </c>
      <c r="FL49" s="1">
        <f t="shared" si="180"/>
        <v>0</v>
      </c>
      <c r="FM49" s="1">
        <f t="shared" si="181"/>
        <v>0.0034234991863440005</v>
      </c>
      <c r="FN49" s="1">
        <f t="shared" si="182"/>
        <v>7.46760736344</v>
      </c>
      <c r="FO49" s="1">
        <f>IF(O49=0,0,SUM(EI49:FN49))</f>
        <v>8.830404153347725</v>
      </c>
    </row>
    <row r="50" spans="1:171" ht="12.75">
      <c r="A50" s="33">
        <v>125</v>
      </c>
      <c r="B50" s="34" t="s">
        <v>179</v>
      </c>
      <c r="C50" s="34" t="s">
        <v>180</v>
      </c>
      <c r="D50" s="35" t="s">
        <v>171</v>
      </c>
      <c r="E50" s="35">
        <v>3</v>
      </c>
      <c r="F50" s="35" t="s">
        <v>172</v>
      </c>
      <c r="G50" s="35" t="s">
        <v>74</v>
      </c>
      <c r="H50" s="35" t="s">
        <v>75</v>
      </c>
      <c r="I50" s="35">
        <v>3</v>
      </c>
      <c r="J50" s="35"/>
      <c r="K50" s="26">
        <f t="shared" si="85"/>
        <v>1</v>
      </c>
      <c r="L50" s="26">
        <f t="shared" si="86"/>
        <v>1</v>
      </c>
      <c r="M50" s="33">
        <v>354200</v>
      </c>
      <c r="N50" s="33">
        <v>1012144</v>
      </c>
      <c r="O50" s="27">
        <f t="shared" si="87"/>
        <v>146000</v>
      </c>
      <c r="P50" s="30">
        <v>146000</v>
      </c>
      <c r="Q50" s="30">
        <v>156000</v>
      </c>
      <c r="R50" s="30">
        <v>0</v>
      </c>
      <c r="S50" s="31">
        <v>0</v>
      </c>
      <c r="T50" s="31">
        <v>0</v>
      </c>
      <c r="U50" s="31">
        <v>0</v>
      </c>
      <c r="V50" s="31">
        <v>0</v>
      </c>
      <c r="W50" s="30">
        <v>67100</v>
      </c>
      <c r="X50" s="31">
        <v>5200</v>
      </c>
      <c r="Y50" s="31">
        <v>0</v>
      </c>
      <c r="Z50" s="30">
        <v>0</v>
      </c>
      <c r="AA50" s="31">
        <v>0</v>
      </c>
      <c r="AB50" s="30">
        <v>0</v>
      </c>
      <c r="AC50" s="30">
        <v>26900</v>
      </c>
      <c r="AD50" s="30">
        <v>0</v>
      </c>
      <c r="AE50" s="30">
        <v>26500</v>
      </c>
      <c r="AF50" s="30">
        <v>0</v>
      </c>
      <c r="AG50" s="30">
        <v>0</v>
      </c>
      <c r="AH50" s="30">
        <v>45000</v>
      </c>
      <c r="AI50" s="30">
        <v>0</v>
      </c>
      <c r="AJ50" s="30">
        <v>66000</v>
      </c>
      <c r="AK50" s="30">
        <v>0</v>
      </c>
      <c r="AL50" s="30">
        <v>0</v>
      </c>
      <c r="AM50" s="30">
        <v>14000</v>
      </c>
      <c r="AN50" s="31">
        <v>0</v>
      </c>
      <c r="AO50" s="30">
        <v>0</v>
      </c>
      <c r="AP50" s="31">
        <v>11000</v>
      </c>
      <c r="AQ50" s="31">
        <v>16000</v>
      </c>
      <c r="AR50" s="31">
        <v>0</v>
      </c>
      <c r="AS50" s="31">
        <v>0</v>
      </c>
      <c r="AT50" s="31">
        <v>91</v>
      </c>
      <c r="AU50" s="30">
        <v>340</v>
      </c>
      <c r="AX50" s="2">
        <f t="shared" si="0"/>
        <v>137280</v>
      </c>
      <c r="AY50" s="32">
        <f t="shared" si="105"/>
        <v>128480</v>
      </c>
      <c r="AZ50" s="186">
        <f t="shared" si="106"/>
        <v>0.5276262678779056</v>
      </c>
      <c r="BA50" s="186">
        <f t="shared" si="107"/>
        <v>0.04989507217332942</v>
      </c>
      <c r="BB50" s="186">
        <f t="shared" si="108"/>
        <v>0.3170687324529479</v>
      </c>
      <c r="BC50" s="53">
        <f t="shared" si="88"/>
        <v>146000</v>
      </c>
      <c r="BD50" s="53">
        <f t="shared" si="5"/>
        <v>75777.07933555939</v>
      </c>
      <c r="BE50" s="53">
        <f t="shared" si="6"/>
        <v>7165.873029291178</v>
      </c>
      <c r="BF50" s="53">
        <f t="shared" si="7"/>
        <v>45537.04763514942</v>
      </c>
      <c r="BG50" s="53"/>
      <c r="BH50" s="53">
        <f t="shared" si="89"/>
        <v>6</v>
      </c>
      <c r="BI50" s="53">
        <f t="shared" si="90"/>
        <v>6</v>
      </c>
      <c r="BJ50" s="53">
        <f t="shared" si="91"/>
        <v>3</v>
      </c>
      <c r="BK50" s="53">
        <f t="shared" si="92"/>
        <v>5</v>
      </c>
      <c r="BL50" s="53"/>
      <c r="BM50" s="53">
        <f t="shared" si="93"/>
        <v>3</v>
      </c>
      <c r="BN50" s="53">
        <f t="shared" si="94"/>
        <v>3</v>
      </c>
      <c r="BO50" s="53">
        <f t="shared" si="95"/>
        <v>2</v>
      </c>
      <c r="BP50" s="53">
        <f t="shared" si="96"/>
        <v>0</v>
      </c>
      <c r="BQ50" s="53"/>
      <c r="BR50" s="53">
        <f t="shared" si="97"/>
        <v>9.75</v>
      </c>
      <c r="BS50" s="53">
        <f t="shared" si="98"/>
        <v>51.300000000000004</v>
      </c>
      <c r="BT50" s="53">
        <f t="shared" si="99"/>
        <v>11</v>
      </c>
      <c r="BU50" s="53">
        <f t="shared" si="109"/>
        <v>34584.00000000001</v>
      </c>
      <c r="BV50" s="53"/>
      <c r="BW50" s="53">
        <f t="shared" si="183"/>
        <v>20800</v>
      </c>
      <c r="BX50" s="53">
        <f t="shared" si="101"/>
        <v>-29544.000000000007</v>
      </c>
      <c r="BY50" s="53">
        <f t="shared" si="110"/>
        <v>-26582.54794327082</v>
      </c>
      <c r="BZ50" s="240">
        <f t="shared" si="102"/>
        <v>7.944450000000001</v>
      </c>
      <c r="CC50" s="1">
        <f t="shared" si="111"/>
        <v>0</v>
      </c>
      <c r="CD50" s="195">
        <f t="shared" si="112"/>
        <v>5746.4</v>
      </c>
      <c r="CE50" s="195">
        <f t="shared" si="113"/>
        <v>5746.4</v>
      </c>
      <c r="CF50" s="239">
        <f t="shared" si="114"/>
        <v>2.9</v>
      </c>
      <c r="CG50" s="239">
        <f t="shared" si="114"/>
        <v>19.92</v>
      </c>
      <c r="CH50" s="1">
        <f t="shared" si="103"/>
        <v>9561.6</v>
      </c>
      <c r="CK50" s="211">
        <f t="shared" si="115"/>
        <v>0</v>
      </c>
      <c r="CL50" s="211">
        <f t="shared" si="116"/>
        <v>0</v>
      </c>
      <c r="CM50" s="211">
        <f t="shared" si="117"/>
        <v>0</v>
      </c>
      <c r="CQ50" s="1">
        <f t="shared" si="104"/>
        <v>1</v>
      </c>
      <c r="CR50" s="195">
        <f t="shared" si="17"/>
        <v>10000</v>
      </c>
      <c r="CS50" s="195"/>
      <c r="CT50" s="195"/>
      <c r="CV50" s="199">
        <f t="shared" si="118"/>
        <v>79.24937637858432</v>
      </c>
      <c r="CW50" s="199">
        <f t="shared" si="119"/>
        <v>0</v>
      </c>
      <c r="CX50" s="199">
        <f t="shared" si="120"/>
        <v>0</v>
      </c>
      <c r="CY50" s="199">
        <f t="shared" si="121"/>
        <v>0</v>
      </c>
      <c r="CZ50" s="199">
        <f t="shared" si="122"/>
        <v>0</v>
      </c>
      <c r="DA50" s="199">
        <f t="shared" si="123"/>
        <v>0</v>
      </c>
      <c r="DB50" s="199">
        <f t="shared" si="124"/>
        <v>17.463491477842386</v>
      </c>
      <c r="DC50" s="199">
        <f t="shared" si="125"/>
        <v>1.3533555243633446</v>
      </c>
      <c r="DD50" s="199">
        <f t="shared" si="126"/>
        <v>0</v>
      </c>
      <c r="DE50" s="199">
        <f t="shared" si="127"/>
        <v>0</v>
      </c>
      <c r="DF50" s="199">
        <f t="shared" si="128"/>
        <v>0</v>
      </c>
      <c r="DG50" s="199">
        <f t="shared" si="129"/>
        <v>0</v>
      </c>
      <c r="DH50" s="199">
        <f t="shared" si="130"/>
        <v>35.67823541207139</v>
      </c>
      <c r="DI50" s="199">
        <f t="shared" si="131"/>
        <v>0</v>
      </c>
      <c r="DJ50" s="199">
        <f t="shared" si="132"/>
        <v>3.620876679366352</v>
      </c>
      <c r="DK50" s="199">
        <f t="shared" si="133"/>
        <v>0</v>
      </c>
      <c r="DL50" s="199">
        <f t="shared" si="134"/>
        <v>0</v>
      </c>
      <c r="DM50" s="199">
        <f t="shared" si="135"/>
        <v>6.148658512131541</v>
      </c>
      <c r="DN50" s="199">
        <f t="shared" si="136"/>
        <v>0</v>
      </c>
      <c r="DO50" s="199">
        <f t="shared" si="137"/>
        <v>9.018032484459594</v>
      </c>
      <c r="DP50" s="199">
        <f t="shared" si="138"/>
        <v>0</v>
      </c>
      <c r="DQ50" s="199">
        <f t="shared" si="139"/>
        <v>0</v>
      </c>
      <c r="DR50" s="199">
        <f t="shared" si="140"/>
        <v>2.1021054742330056</v>
      </c>
      <c r="DS50" s="199">
        <f t="shared" si="141"/>
        <v>0</v>
      </c>
      <c r="DT50" s="199">
        <f t="shared" si="142"/>
        <v>0</v>
      </c>
      <c r="DU50" s="199">
        <f t="shared" si="143"/>
        <v>0.003211550030078203</v>
      </c>
      <c r="DV50" s="199">
        <f t="shared" si="144"/>
        <v>0.004671345498295568</v>
      </c>
      <c r="DW50" s="199">
        <f t="shared" si="145"/>
        <v>0</v>
      </c>
      <c r="DX50" s="199">
        <f t="shared" si="146"/>
        <v>0</v>
      </c>
      <c r="DY50" s="199">
        <f t="shared" si="147"/>
        <v>3.765104471626228</v>
      </c>
      <c r="DZ50" s="199">
        <f t="shared" si="148"/>
        <v>0.022008710647683973</v>
      </c>
      <c r="EA50" s="199">
        <f t="shared" si="149"/>
        <v>74.59311265289752</v>
      </c>
      <c r="EB50" s="199">
        <f t="shared" si="150"/>
        <v>8.60899612592741</v>
      </c>
      <c r="EC50" s="202">
        <f t="shared" si="51"/>
        <v>241.63123679967916</v>
      </c>
      <c r="ED50" s="202">
        <f>SUM(CV50:DI50,DS50:DT50,DW50,DY50,EA50:EB50)</f>
        <v>220.71167204331257</v>
      </c>
      <c r="EE50" s="203">
        <f t="shared" si="52"/>
        <v>36.53503868290662</v>
      </c>
      <c r="EF50" s="199"/>
      <c r="EI50" s="1">
        <f t="shared" si="151"/>
        <v>0.5699766927982697</v>
      </c>
      <c r="EJ50" s="1">
        <f t="shared" si="152"/>
        <v>0</v>
      </c>
      <c r="EK50" s="1">
        <f t="shared" si="153"/>
        <v>0</v>
      </c>
      <c r="EL50" s="1">
        <f t="shared" si="154"/>
        <v>0</v>
      </c>
      <c r="EM50" s="1">
        <f t="shared" si="155"/>
        <v>0</v>
      </c>
      <c r="EN50" s="1">
        <f t="shared" si="156"/>
        <v>0</v>
      </c>
      <c r="EO50" s="1">
        <f t="shared" si="157"/>
        <v>0.2644897670328</v>
      </c>
      <c r="EP50" s="1">
        <f t="shared" si="158"/>
        <v>0</v>
      </c>
      <c r="EQ50" s="1">
        <f t="shared" si="159"/>
        <v>0</v>
      </c>
      <c r="ER50" s="1">
        <f t="shared" si="160"/>
        <v>0</v>
      </c>
      <c r="ES50" s="1">
        <f t="shared" si="161"/>
        <v>0</v>
      </c>
      <c r="ET50" s="1">
        <f t="shared" si="162"/>
        <v>0</v>
      </c>
      <c r="EU50" s="1">
        <f t="shared" si="163"/>
        <v>0.14589546715944002</v>
      </c>
      <c r="EV50" s="1">
        <f t="shared" si="164"/>
        <v>0</v>
      </c>
      <c r="EW50" s="1">
        <f t="shared" si="165"/>
        <v>0.059350736407200004</v>
      </c>
      <c r="EX50" s="1">
        <f t="shared" si="166"/>
        <v>0</v>
      </c>
      <c r="EY50" s="1">
        <f t="shared" si="167"/>
        <v>0</v>
      </c>
      <c r="EZ50" s="1">
        <f t="shared" si="168"/>
        <v>0.10099701098903999</v>
      </c>
      <c r="FA50" s="1">
        <f t="shared" si="169"/>
        <v>0</v>
      </c>
      <c r="FB50" s="1">
        <f t="shared" si="170"/>
        <v>0.10099701098903999</v>
      </c>
      <c r="FC50" s="1">
        <f t="shared" si="171"/>
        <v>0</v>
      </c>
      <c r="FD50" s="1">
        <f t="shared" si="172"/>
        <v>0</v>
      </c>
      <c r="FE50" s="1">
        <f t="shared" si="173"/>
        <v>0.059350736407200004</v>
      </c>
      <c r="FF50" s="1">
        <f t="shared" si="174"/>
        <v>0</v>
      </c>
      <c r="FG50" s="1">
        <f t="shared" si="175"/>
        <v>0</v>
      </c>
      <c r="FH50" s="1">
        <f t="shared" si="176"/>
        <v>0</v>
      </c>
      <c r="FI50" s="1">
        <f t="shared" si="177"/>
        <v>0</v>
      </c>
      <c r="FJ50" s="1">
        <f t="shared" si="178"/>
        <v>0</v>
      </c>
      <c r="FK50" s="1">
        <f t="shared" si="179"/>
        <v>0</v>
      </c>
      <c r="FL50" s="1">
        <f t="shared" si="180"/>
        <v>4.263919336981805</v>
      </c>
      <c r="FM50" s="1">
        <f t="shared" si="181"/>
        <v>0.0057571153094400015</v>
      </c>
      <c r="FN50" s="1">
        <f t="shared" si="182"/>
        <v>7.46760736344</v>
      </c>
      <c r="FO50" s="1">
        <f>IF(O50=0,0,SUM(EI50:FN50))</f>
        <v>13.038341237514235</v>
      </c>
    </row>
    <row r="51" spans="1:171" ht="12.75">
      <c r="A51" s="33">
        <v>130</v>
      </c>
      <c r="B51" s="34" t="s">
        <v>181</v>
      </c>
      <c r="C51" s="34" t="s">
        <v>182</v>
      </c>
      <c r="D51" s="35" t="s">
        <v>171</v>
      </c>
      <c r="E51" s="35">
        <v>3</v>
      </c>
      <c r="F51" s="35" t="s">
        <v>172</v>
      </c>
      <c r="G51" s="35" t="s">
        <v>74</v>
      </c>
      <c r="H51" s="35" t="s">
        <v>75</v>
      </c>
      <c r="I51" s="35">
        <v>3</v>
      </c>
      <c r="J51" s="35"/>
      <c r="K51" s="26">
        <f t="shared" si="85"/>
        <v>1</v>
      </c>
      <c r="L51" s="26">
        <f t="shared" si="86"/>
        <v>1</v>
      </c>
      <c r="M51" s="33">
        <v>282724</v>
      </c>
      <c r="N51" s="33">
        <v>981125</v>
      </c>
      <c r="O51" s="27">
        <f t="shared" si="87"/>
        <v>90000</v>
      </c>
      <c r="P51" s="30">
        <v>90000</v>
      </c>
      <c r="Q51" s="30">
        <v>97000</v>
      </c>
      <c r="R51" s="30">
        <v>35000</v>
      </c>
      <c r="S51" s="31">
        <v>0</v>
      </c>
      <c r="T51" s="31">
        <v>0</v>
      </c>
      <c r="U51" s="31">
        <v>0</v>
      </c>
      <c r="V51" s="31">
        <v>0</v>
      </c>
      <c r="W51" s="30">
        <v>24000</v>
      </c>
      <c r="X51" s="31">
        <v>0</v>
      </c>
      <c r="Y51" s="31">
        <v>0</v>
      </c>
      <c r="Z51" s="30">
        <v>30000</v>
      </c>
      <c r="AA51" s="31">
        <v>0</v>
      </c>
      <c r="AB51" s="30">
        <v>22000</v>
      </c>
      <c r="AC51" s="30">
        <v>11000</v>
      </c>
      <c r="AD51" s="30">
        <v>10000</v>
      </c>
      <c r="AE51" s="30">
        <v>22000</v>
      </c>
      <c r="AF51" s="30">
        <v>0</v>
      </c>
      <c r="AG51" s="30">
        <v>0</v>
      </c>
      <c r="AH51" s="30">
        <v>31000</v>
      </c>
      <c r="AI51" s="30">
        <v>0</v>
      </c>
      <c r="AJ51" s="30">
        <v>0</v>
      </c>
      <c r="AK51" s="30">
        <v>20000</v>
      </c>
      <c r="AL51" s="30">
        <v>0</v>
      </c>
      <c r="AM51" s="30">
        <v>6500</v>
      </c>
      <c r="AN51" s="31">
        <v>10500</v>
      </c>
      <c r="AO51" s="30">
        <v>0</v>
      </c>
      <c r="AP51" s="31">
        <v>3000</v>
      </c>
      <c r="AQ51" s="31">
        <v>0</v>
      </c>
      <c r="AR51" s="31">
        <v>1800</v>
      </c>
      <c r="AS51" s="31">
        <v>0</v>
      </c>
      <c r="AT51" s="31">
        <v>12</v>
      </c>
      <c r="AU51" s="30">
        <v>62</v>
      </c>
      <c r="AX51" s="2">
        <f t="shared" si="0"/>
        <v>74536</v>
      </c>
      <c r="AY51" s="32">
        <f t="shared" si="105"/>
        <v>69157.11340206186</v>
      </c>
      <c r="AZ51" s="186">
        <f t="shared" si="106"/>
        <v>0.5276262678779056</v>
      </c>
      <c r="BA51" s="186">
        <f t="shared" si="107"/>
        <v>0.04989507217332942</v>
      </c>
      <c r="BB51" s="186">
        <f t="shared" si="108"/>
        <v>0.3170687324529479</v>
      </c>
      <c r="BC51" s="53">
        <f t="shared" si="88"/>
        <v>90000</v>
      </c>
      <c r="BD51" s="53">
        <f t="shared" si="5"/>
        <v>40788.63689980013</v>
      </c>
      <c r="BE51" s="53">
        <f t="shared" si="6"/>
        <v>3857.184726894977</v>
      </c>
      <c r="BF51" s="53">
        <f t="shared" si="7"/>
        <v>24511.29177536676</v>
      </c>
      <c r="BG51" s="53"/>
      <c r="BH51" s="53">
        <f t="shared" si="89"/>
        <v>4</v>
      </c>
      <c r="BI51" s="53">
        <f t="shared" si="90"/>
        <v>5</v>
      </c>
      <c r="BJ51" s="53">
        <f t="shared" si="91"/>
        <v>3</v>
      </c>
      <c r="BK51" s="53">
        <f t="shared" si="92"/>
        <v>3</v>
      </c>
      <c r="BL51" s="53"/>
      <c r="BM51" s="53">
        <f t="shared" si="93"/>
        <v>2</v>
      </c>
      <c r="BN51" s="53">
        <f t="shared" si="94"/>
        <v>2</v>
      </c>
      <c r="BO51" s="53">
        <f t="shared" si="95"/>
        <v>2</v>
      </c>
      <c r="BP51" s="53">
        <f t="shared" si="96"/>
        <v>0</v>
      </c>
      <c r="BQ51" s="53"/>
      <c r="BR51" s="53">
        <f t="shared" si="97"/>
        <v>6.5</v>
      </c>
      <c r="BS51" s="53">
        <f t="shared" si="98"/>
        <v>34.2</v>
      </c>
      <c r="BT51" s="53">
        <f t="shared" si="99"/>
        <v>11</v>
      </c>
      <c r="BU51" s="53">
        <f t="shared" si="109"/>
        <v>24816</v>
      </c>
      <c r="BV51" s="53"/>
      <c r="BW51" s="53">
        <f t="shared" si="183"/>
        <v>15600</v>
      </c>
      <c r="BX51" s="53">
        <f t="shared" si="101"/>
        <v>-21036</v>
      </c>
      <c r="BY51" s="53">
        <f t="shared" si="110"/>
        <v>-18814.91095745311</v>
      </c>
      <c r="BZ51" s="240">
        <f t="shared" si="102"/>
        <v>5.791300000000001</v>
      </c>
      <c r="CC51" s="1">
        <f t="shared" si="111"/>
        <v>0</v>
      </c>
      <c r="CD51" s="195">
        <f t="shared" si="112"/>
        <v>5746.4</v>
      </c>
      <c r="CE51" s="195">
        <f t="shared" si="113"/>
        <v>5746.4</v>
      </c>
      <c r="CF51" s="239">
        <f t="shared" si="114"/>
        <v>2.9</v>
      </c>
      <c r="CG51" s="239">
        <f t="shared" si="114"/>
        <v>19.92</v>
      </c>
      <c r="CH51" s="1">
        <f t="shared" si="103"/>
        <v>9561.6</v>
      </c>
      <c r="CK51" s="211">
        <f t="shared" si="115"/>
        <v>0</v>
      </c>
      <c r="CL51" s="211">
        <f t="shared" si="116"/>
        <v>0</v>
      </c>
      <c r="CM51" s="211">
        <f t="shared" si="117"/>
        <v>0</v>
      </c>
      <c r="CQ51" s="1">
        <f t="shared" si="104"/>
        <v>1</v>
      </c>
      <c r="CR51" s="195">
        <f t="shared" si="17"/>
        <v>10000</v>
      </c>
      <c r="CS51" s="195"/>
      <c r="CT51" s="195"/>
      <c r="CV51" s="199">
        <f t="shared" si="118"/>
        <v>49.27685582514537</v>
      </c>
      <c r="CW51" s="199">
        <f t="shared" si="119"/>
        <v>10.510527371165027</v>
      </c>
      <c r="CX51" s="199">
        <f t="shared" si="120"/>
        <v>0</v>
      </c>
      <c r="CY51" s="199">
        <f t="shared" si="121"/>
        <v>0</v>
      </c>
      <c r="CZ51" s="199">
        <f t="shared" si="122"/>
        <v>0</v>
      </c>
      <c r="DA51" s="199">
        <f t="shared" si="123"/>
        <v>0</v>
      </c>
      <c r="DB51" s="199">
        <f t="shared" si="124"/>
        <v>6.2462562662923595</v>
      </c>
      <c r="DC51" s="199">
        <f t="shared" si="125"/>
        <v>0</v>
      </c>
      <c r="DD51" s="199">
        <f t="shared" si="126"/>
        <v>0</v>
      </c>
      <c r="DE51" s="199">
        <f t="shared" si="127"/>
        <v>9.109123721676356</v>
      </c>
      <c r="DF51" s="199">
        <f t="shared" si="128"/>
        <v>0</v>
      </c>
      <c r="DG51" s="199">
        <f t="shared" si="129"/>
        <v>29.179225987567673</v>
      </c>
      <c r="DH51" s="199">
        <f t="shared" si="130"/>
        <v>14.589612993783836</v>
      </c>
      <c r="DI51" s="199">
        <f t="shared" si="131"/>
        <v>28.69540806095849</v>
      </c>
      <c r="DJ51" s="199">
        <f t="shared" si="132"/>
        <v>3.0060108281531983</v>
      </c>
      <c r="DK51" s="199">
        <f t="shared" si="133"/>
        <v>0</v>
      </c>
      <c r="DL51" s="199">
        <f t="shared" si="134"/>
        <v>0</v>
      </c>
      <c r="DM51" s="199">
        <f t="shared" si="135"/>
        <v>4.235742530579507</v>
      </c>
      <c r="DN51" s="199">
        <f t="shared" si="136"/>
        <v>0</v>
      </c>
      <c r="DO51" s="199">
        <f t="shared" si="137"/>
        <v>0</v>
      </c>
      <c r="DP51" s="199">
        <f t="shared" si="138"/>
        <v>2.732737116502907</v>
      </c>
      <c r="DQ51" s="199">
        <f t="shared" si="139"/>
        <v>0</v>
      </c>
      <c r="DR51" s="199">
        <f t="shared" si="140"/>
        <v>0.9759775416081812</v>
      </c>
      <c r="DS51" s="199">
        <f t="shared" si="141"/>
        <v>27.852897533587324</v>
      </c>
      <c r="DT51" s="199">
        <f t="shared" si="142"/>
        <v>0</v>
      </c>
      <c r="DU51" s="199">
        <f t="shared" si="143"/>
        <v>0.0008758772809304191</v>
      </c>
      <c r="DV51" s="199">
        <f t="shared" si="144"/>
        <v>0</v>
      </c>
      <c r="DW51" s="199">
        <f t="shared" si="145"/>
        <v>1.5015039101664327</v>
      </c>
      <c r="DX51" s="199">
        <f t="shared" si="146"/>
        <v>0</v>
      </c>
      <c r="DY51" s="199">
        <f t="shared" si="147"/>
        <v>0.49649729296170036</v>
      </c>
      <c r="DZ51" s="199">
        <f t="shared" si="148"/>
        <v>0.004013353118107078</v>
      </c>
      <c r="EA51" s="199">
        <f t="shared" si="149"/>
        <v>40.15134145975412</v>
      </c>
      <c r="EB51" s="199">
        <f t="shared" si="150"/>
        <v>4.991922809283518</v>
      </c>
      <c r="EC51" s="202">
        <f t="shared" si="51"/>
        <v>233.55653047958498</v>
      </c>
      <c r="ED51" s="202">
        <f>SUM(CV51:DI51,DS51:DT51,DW51,DY51,EA51:EB51)</f>
        <v>222.60117323234218</v>
      </c>
      <c r="EE51" s="203">
        <f t="shared" si="52"/>
        <v>36.84781325614735</v>
      </c>
      <c r="EF51" s="199"/>
      <c r="EI51" s="1">
        <f t="shared" si="151"/>
        <v>0.5699766927982697</v>
      </c>
      <c r="EJ51" s="1">
        <f t="shared" si="152"/>
        <v>0.010606863429336002</v>
      </c>
      <c r="EK51" s="1">
        <f t="shared" si="153"/>
        <v>0</v>
      </c>
      <c r="EL51" s="1">
        <f t="shared" si="154"/>
        <v>0</v>
      </c>
      <c r="EM51" s="1">
        <f t="shared" si="155"/>
        <v>0</v>
      </c>
      <c r="EN51" s="1">
        <f t="shared" si="156"/>
        <v>0</v>
      </c>
      <c r="EO51" s="1">
        <f t="shared" si="157"/>
        <v>0.2644897670328</v>
      </c>
      <c r="EP51" s="1">
        <f t="shared" si="158"/>
        <v>0</v>
      </c>
      <c r="EQ51" s="1">
        <f t="shared" si="159"/>
        <v>0.21621849683808003</v>
      </c>
      <c r="ER51" s="1">
        <f t="shared" si="160"/>
        <v>0</v>
      </c>
      <c r="ES51" s="1">
        <f t="shared" si="161"/>
        <v>0</v>
      </c>
      <c r="ET51" s="1">
        <f t="shared" si="162"/>
        <v>0.14589546715944002</v>
      </c>
      <c r="EU51" s="1">
        <f t="shared" si="163"/>
        <v>0.14589546715944002</v>
      </c>
      <c r="EV51" s="1">
        <f t="shared" si="164"/>
        <v>0</v>
      </c>
      <c r="EW51" s="1">
        <f t="shared" si="165"/>
        <v>0.059350736407200004</v>
      </c>
      <c r="EX51" s="1">
        <f t="shared" si="166"/>
        <v>0</v>
      </c>
      <c r="EY51" s="1">
        <f t="shared" si="167"/>
        <v>0</v>
      </c>
      <c r="EZ51" s="1">
        <f t="shared" si="168"/>
        <v>0.059350736407200004</v>
      </c>
      <c r="FA51" s="1">
        <f t="shared" si="169"/>
        <v>0</v>
      </c>
      <c r="FB51" s="1">
        <f t="shared" si="170"/>
        <v>0</v>
      </c>
      <c r="FC51" s="1">
        <f t="shared" si="171"/>
        <v>0.059350736407200004</v>
      </c>
      <c r="FD51" s="1">
        <f t="shared" si="172"/>
        <v>0</v>
      </c>
      <c r="FE51" s="1">
        <f t="shared" si="173"/>
        <v>0.059350736407200004</v>
      </c>
      <c r="FF51" s="1">
        <f t="shared" si="174"/>
        <v>0.059350736407200004</v>
      </c>
      <c r="FG51" s="1">
        <f t="shared" si="175"/>
        <v>0</v>
      </c>
      <c r="FH51" s="1">
        <f t="shared" si="176"/>
        <v>0</v>
      </c>
      <c r="FI51" s="1">
        <f t="shared" si="177"/>
        <v>0</v>
      </c>
      <c r="FJ51" s="1">
        <f t="shared" si="178"/>
        <v>0</v>
      </c>
      <c r="FK51" s="1">
        <f t="shared" si="179"/>
        <v>0</v>
      </c>
      <c r="FL51" s="1">
        <f t="shared" si="180"/>
        <v>4.263919336981805</v>
      </c>
      <c r="FM51" s="1">
        <f t="shared" si="181"/>
        <v>0.0034234991863440005</v>
      </c>
      <c r="FN51" s="1">
        <f t="shared" si="182"/>
        <v>7.46760736344</v>
      </c>
      <c r="FO51" s="1">
        <f>IF(O51=0,0,SUM(EI51:FN51))</f>
        <v>13.384786636061515</v>
      </c>
    </row>
    <row r="52" spans="1:171" ht="12.75">
      <c r="A52" s="33">
        <v>131</v>
      </c>
      <c r="B52" s="34" t="s">
        <v>181</v>
      </c>
      <c r="C52" s="34" t="s">
        <v>183</v>
      </c>
      <c r="D52" s="35" t="s">
        <v>171</v>
      </c>
      <c r="E52" s="35">
        <v>3</v>
      </c>
      <c r="F52" s="35" t="s">
        <v>172</v>
      </c>
      <c r="G52" s="35" t="s">
        <v>74</v>
      </c>
      <c r="H52" s="35" t="s">
        <v>75</v>
      </c>
      <c r="I52" s="35">
        <v>3</v>
      </c>
      <c r="J52" s="35"/>
      <c r="K52" s="26">
        <f t="shared" si="85"/>
        <v>1</v>
      </c>
      <c r="L52" s="26">
        <f t="shared" si="86"/>
        <v>1</v>
      </c>
      <c r="M52" s="33">
        <v>355739</v>
      </c>
      <c r="N52" s="33">
        <v>1015257</v>
      </c>
      <c r="O52" s="27">
        <f t="shared" si="87"/>
        <v>158327</v>
      </c>
      <c r="P52" s="30">
        <v>158327</v>
      </c>
      <c r="Q52" s="30">
        <v>166660</v>
      </c>
      <c r="R52" s="30">
        <v>53200</v>
      </c>
      <c r="S52" s="31">
        <v>0</v>
      </c>
      <c r="T52" s="31">
        <v>0</v>
      </c>
      <c r="U52" s="31">
        <v>0</v>
      </c>
      <c r="V52" s="31">
        <v>0</v>
      </c>
      <c r="W52" s="30">
        <v>54465</v>
      </c>
      <c r="X52" s="31">
        <v>0</v>
      </c>
      <c r="Y52" s="31">
        <v>10500</v>
      </c>
      <c r="Z52" s="30">
        <v>29500</v>
      </c>
      <c r="AA52" s="31">
        <v>0</v>
      </c>
      <c r="AB52" s="30">
        <v>28900</v>
      </c>
      <c r="AC52" s="30">
        <v>18500</v>
      </c>
      <c r="AD52" s="30">
        <v>16500</v>
      </c>
      <c r="AE52" s="30">
        <v>39844</v>
      </c>
      <c r="AF52" s="30">
        <v>3400</v>
      </c>
      <c r="AG52" s="30">
        <v>4000</v>
      </c>
      <c r="AH52" s="30">
        <v>32368</v>
      </c>
      <c r="AI52" s="30">
        <v>0</v>
      </c>
      <c r="AJ52" s="30">
        <v>0</v>
      </c>
      <c r="AK52" s="30">
        <v>0</v>
      </c>
      <c r="AL52" s="30">
        <v>0</v>
      </c>
      <c r="AM52" s="30">
        <v>9500</v>
      </c>
      <c r="AN52" s="31">
        <v>0</v>
      </c>
      <c r="AO52" s="30">
        <v>12000</v>
      </c>
      <c r="AP52" s="31">
        <v>3000</v>
      </c>
      <c r="AQ52" s="31">
        <v>0</v>
      </c>
      <c r="AR52" s="31">
        <v>0</v>
      </c>
      <c r="AS52" s="31">
        <v>0</v>
      </c>
      <c r="AT52" s="31">
        <v>0</v>
      </c>
      <c r="AU52" s="30">
        <v>60</v>
      </c>
      <c r="AX52" s="2">
        <f t="shared" si="0"/>
        <v>136100.8</v>
      </c>
      <c r="AY52" s="32">
        <f t="shared" si="105"/>
        <v>129295.75999999998</v>
      </c>
      <c r="AZ52" s="186">
        <f t="shared" si="106"/>
        <v>0.5276262678779056</v>
      </c>
      <c r="BA52" s="186">
        <f t="shared" si="107"/>
        <v>0.04989507217332942</v>
      </c>
      <c r="BB52" s="186">
        <f t="shared" si="108"/>
        <v>0.3170687324529479</v>
      </c>
      <c r="BC52" s="53">
        <f t="shared" si="88"/>
        <v>158327</v>
      </c>
      <c r="BD52" s="53">
        <f t="shared" si="5"/>
        <v>76258.21188723105</v>
      </c>
      <c r="BE52" s="53">
        <f t="shared" si="6"/>
        <v>7211.371414894964</v>
      </c>
      <c r="BF52" s="53">
        <f t="shared" si="7"/>
        <v>45826.17669787396</v>
      </c>
      <c r="BG52" s="53"/>
      <c r="BH52" s="53">
        <f t="shared" si="89"/>
        <v>7</v>
      </c>
      <c r="BI52" s="53">
        <f t="shared" si="90"/>
        <v>6</v>
      </c>
      <c r="BJ52" s="53">
        <f t="shared" si="91"/>
        <v>3</v>
      </c>
      <c r="BK52" s="53">
        <f t="shared" si="92"/>
        <v>5</v>
      </c>
      <c r="BL52" s="53"/>
      <c r="BM52" s="53">
        <f t="shared" si="93"/>
        <v>3</v>
      </c>
      <c r="BN52" s="53">
        <f t="shared" si="94"/>
        <v>3</v>
      </c>
      <c r="BO52" s="53">
        <f t="shared" si="95"/>
        <v>2</v>
      </c>
      <c r="BP52" s="53">
        <f t="shared" si="96"/>
        <v>0</v>
      </c>
      <c r="BQ52" s="53"/>
      <c r="BR52" s="53">
        <f t="shared" si="97"/>
        <v>9.75</v>
      </c>
      <c r="BS52" s="53">
        <f t="shared" si="98"/>
        <v>51.300000000000004</v>
      </c>
      <c r="BT52" s="53">
        <f t="shared" si="99"/>
        <v>11</v>
      </c>
      <c r="BU52" s="53">
        <f t="shared" si="109"/>
        <v>34584.00000000001</v>
      </c>
      <c r="BV52" s="53"/>
      <c r="BW52" s="53">
        <f t="shared" si="183"/>
        <v>20800</v>
      </c>
      <c r="BX52" s="53">
        <f t="shared" si="101"/>
        <v>-29544.000000000007</v>
      </c>
      <c r="BY52" s="53">
        <f t="shared" si="110"/>
        <v>-26582.54794327082</v>
      </c>
      <c r="BZ52" s="240">
        <f t="shared" si="102"/>
        <v>7.944450000000001</v>
      </c>
      <c r="CC52" s="1">
        <f t="shared" si="111"/>
        <v>0</v>
      </c>
      <c r="CD52" s="195">
        <f t="shared" si="112"/>
        <v>5746.4</v>
      </c>
      <c r="CE52" s="195">
        <f t="shared" si="113"/>
        <v>5746.4</v>
      </c>
      <c r="CF52" s="239">
        <f t="shared" si="114"/>
        <v>2.9</v>
      </c>
      <c r="CG52" s="239">
        <f t="shared" si="114"/>
        <v>19.92</v>
      </c>
      <c r="CH52" s="1">
        <f t="shared" si="103"/>
        <v>9561.6</v>
      </c>
      <c r="CK52" s="211">
        <f t="shared" si="115"/>
        <v>0</v>
      </c>
      <c r="CL52" s="211">
        <f t="shared" si="116"/>
        <v>0</v>
      </c>
      <c r="CM52" s="211">
        <f t="shared" si="117"/>
        <v>0</v>
      </c>
      <c r="CQ52" s="1">
        <f t="shared" si="104"/>
        <v>1</v>
      </c>
      <c r="CR52" s="195">
        <f t="shared" si="17"/>
        <v>10000</v>
      </c>
      <c r="CS52" s="195"/>
      <c r="CT52" s="195"/>
      <c r="CV52" s="199">
        <f t="shared" si="118"/>
        <v>84.66475043112091</v>
      </c>
      <c r="CW52" s="199">
        <f t="shared" si="119"/>
        <v>15.976001604170841</v>
      </c>
      <c r="CX52" s="199">
        <f t="shared" si="120"/>
        <v>0</v>
      </c>
      <c r="CY52" s="199">
        <f t="shared" si="121"/>
        <v>0</v>
      </c>
      <c r="CZ52" s="199">
        <f t="shared" si="122"/>
        <v>0</v>
      </c>
      <c r="DA52" s="199">
        <f t="shared" si="123"/>
        <v>0</v>
      </c>
      <c r="DB52" s="199">
        <f t="shared" si="124"/>
        <v>14.175097814317223</v>
      </c>
      <c r="DC52" s="199">
        <f t="shared" si="125"/>
        <v>0</v>
      </c>
      <c r="DD52" s="199">
        <f t="shared" si="126"/>
        <v>3.188193302586725</v>
      </c>
      <c r="DE52" s="199">
        <f t="shared" si="127"/>
        <v>8.957304992981753</v>
      </c>
      <c r="DF52" s="199">
        <f t="shared" si="128"/>
        <v>0</v>
      </c>
      <c r="DG52" s="199">
        <f t="shared" si="129"/>
        <v>38.330892320032085</v>
      </c>
      <c r="DH52" s="199">
        <f t="shared" si="130"/>
        <v>24.537076398636454</v>
      </c>
      <c r="DI52" s="199">
        <f t="shared" si="131"/>
        <v>47.34742330058151</v>
      </c>
      <c r="DJ52" s="199">
        <f t="shared" si="132"/>
        <v>5.444158883497093</v>
      </c>
      <c r="DK52" s="199">
        <f t="shared" si="133"/>
        <v>0.46456530980549426</v>
      </c>
      <c r="DL52" s="199">
        <f t="shared" si="134"/>
        <v>0.5465474233005814</v>
      </c>
      <c r="DM52" s="199">
        <f t="shared" si="135"/>
        <v>4.422661749348305</v>
      </c>
      <c r="DN52" s="199">
        <f t="shared" si="136"/>
        <v>0</v>
      </c>
      <c r="DO52" s="199">
        <f t="shared" si="137"/>
        <v>0</v>
      </c>
      <c r="DP52" s="199">
        <f t="shared" si="138"/>
        <v>0</v>
      </c>
      <c r="DQ52" s="199">
        <f t="shared" si="139"/>
        <v>0</v>
      </c>
      <c r="DR52" s="199">
        <f t="shared" si="140"/>
        <v>1.426428714658111</v>
      </c>
      <c r="DS52" s="199">
        <f t="shared" si="141"/>
        <v>0</v>
      </c>
      <c r="DT52" s="199">
        <f t="shared" si="142"/>
        <v>34.43448967315019</v>
      </c>
      <c r="DU52" s="199">
        <f t="shared" si="143"/>
        <v>0.0008758772809304191</v>
      </c>
      <c r="DV52" s="199">
        <f t="shared" si="144"/>
        <v>0</v>
      </c>
      <c r="DW52" s="199">
        <f t="shared" si="145"/>
        <v>0</v>
      </c>
      <c r="DX52" s="199">
        <f t="shared" si="146"/>
        <v>0</v>
      </c>
      <c r="DY52" s="199">
        <f t="shared" si="147"/>
        <v>0</v>
      </c>
      <c r="DZ52" s="199">
        <f t="shared" si="148"/>
        <v>0.0038838901142971725</v>
      </c>
      <c r="EA52" s="199">
        <f t="shared" si="149"/>
        <v>75.06672782707035</v>
      </c>
      <c r="EB52" s="199">
        <f t="shared" si="150"/>
        <v>9.021215485895326</v>
      </c>
      <c r="EC52" s="202">
        <f t="shared" si="51"/>
        <v>368.00829499854814</v>
      </c>
      <c r="ED52" s="202">
        <f>SUM(CV52:DI52,DS52:DT52,DW52,DY52,EA52:EB52)</f>
        <v>355.69917315054334</v>
      </c>
      <c r="EE52" s="203">
        <f t="shared" si="52"/>
        <v>58.87990848070219</v>
      </c>
      <c r="EF52" s="199"/>
      <c r="EI52" s="1">
        <f t="shared" si="151"/>
        <v>0.5699766927982697</v>
      </c>
      <c r="EJ52" s="1">
        <f t="shared" si="152"/>
        <v>0.010606863429336002</v>
      </c>
      <c r="EK52" s="1">
        <f t="shared" si="153"/>
        <v>0</v>
      </c>
      <c r="EL52" s="1">
        <f t="shared" si="154"/>
        <v>0</v>
      </c>
      <c r="EM52" s="1">
        <f t="shared" si="155"/>
        <v>0</v>
      </c>
      <c r="EN52" s="1">
        <f t="shared" si="156"/>
        <v>0</v>
      </c>
      <c r="EO52" s="1">
        <f t="shared" si="157"/>
        <v>0.2644897670328</v>
      </c>
      <c r="EP52" s="1">
        <f t="shared" si="158"/>
        <v>0</v>
      </c>
      <c r="EQ52" s="1">
        <f t="shared" si="159"/>
        <v>0.21621849683808003</v>
      </c>
      <c r="ER52" s="1">
        <f t="shared" si="160"/>
        <v>0</v>
      </c>
      <c r="ES52" s="1">
        <f t="shared" si="161"/>
        <v>0</v>
      </c>
      <c r="ET52" s="1">
        <f t="shared" si="162"/>
        <v>0.14589546715944002</v>
      </c>
      <c r="EU52" s="1">
        <f t="shared" si="163"/>
        <v>0.14589546715944002</v>
      </c>
      <c r="EV52" s="1">
        <f t="shared" si="164"/>
        <v>0</v>
      </c>
      <c r="EW52" s="1">
        <f t="shared" si="165"/>
        <v>0.10099701098903999</v>
      </c>
      <c r="EX52" s="1">
        <f t="shared" si="166"/>
        <v>0.059350736407200004</v>
      </c>
      <c r="EY52" s="1">
        <f t="shared" si="167"/>
        <v>0.059350736407200004</v>
      </c>
      <c r="EZ52" s="1">
        <f t="shared" si="168"/>
        <v>0.059350736407200004</v>
      </c>
      <c r="FA52" s="1">
        <f t="shared" si="169"/>
        <v>0</v>
      </c>
      <c r="FB52" s="1">
        <f t="shared" si="170"/>
        <v>0</v>
      </c>
      <c r="FC52" s="1">
        <f t="shared" si="171"/>
        <v>0</v>
      </c>
      <c r="FD52" s="1">
        <f t="shared" si="172"/>
        <v>0</v>
      </c>
      <c r="FE52" s="1">
        <f t="shared" si="173"/>
        <v>0.059350736407200004</v>
      </c>
      <c r="FF52" s="1">
        <f t="shared" si="174"/>
        <v>0</v>
      </c>
      <c r="FG52" s="1">
        <f t="shared" si="175"/>
        <v>0.059350736407200004</v>
      </c>
      <c r="FH52" s="1">
        <f t="shared" si="176"/>
        <v>0</v>
      </c>
      <c r="FI52" s="1">
        <f t="shared" si="177"/>
        <v>0</v>
      </c>
      <c r="FJ52" s="1">
        <f t="shared" si="178"/>
        <v>0</v>
      </c>
      <c r="FK52" s="1">
        <f t="shared" si="179"/>
        <v>0</v>
      </c>
      <c r="FL52" s="1">
        <f t="shared" si="180"/>
        <v>0</v>
      </c>
      <c r="FM52" s="1">
        <f t="shared" si="181"/>
        <v>0.0034234991863440005</v>
      </c>
      <c r="FN52" s="1">
        <f t="shared" si="182"/>
        <v>7.46760736344</v>
      </c>
      <c r="FO52" s="1">
        <f>IF(O52=0,0,SUM(EI52:FN52))</f>
        <v>9.22186431006875</v>
      </c>
    </row>
    <row r="53" spans="1:171" ht="12.75">
      <c r="A53" s="33">
        <v>112</v>
      </c>
      <c r="B53" s="34" t="s">
        <v>184</v>
      </c>
      <c r="C53" s="34" t="s">
        <v>185</v>
      </c>
      <c r="D53" s="35" t="s">
        <v>171</v>
      </c>
      <c r="E53" s="35">
        <v>3</v>
      </c>
      <c r="F53" s="35" t="s">
        <v>186</v>
      </c>
      <c r="G53" s="35" t="s">
        <v>74</v>
      </c>
      <c r="H53" s="35" t="s">
        <v>75</v>
      </c>
      <c r="I53" s="35">
        <v>3</v>
      </c>
      <c r="J53" s="35"/>
      <c r="K53" s="26">
        <f t="shared" si="85"/>
        <v>1</v>
      </c>
      <c r="L53" s="26">
        <f t="shared" si="86"/>
        <v>1</v>
      </c>
      <c r="M53" s="33">
        <v>295745</v>
      </c>
      <c r="N53" s="33">
        <v>935335</v>
      </c>
      <c r="O53" s="27">
        <f t="shared" si="87"/>
        <v>232000</v>
      </c>
      <c r="P53" s="30">
        <v>232000</v>
      </c>
      <c r="Q53" s="30">
        <v>240000</v>
      </c>
      <c r="R53" s="30">
        <v>52000</v>
      </c>
      <c r="S53" s="31">
        <v>0</v>
      </c>
      <c r="T53" s="31">
        <v>0</v>
      </c>
      <c r="U53" s="31">
        <v>0</v>
      </c>
      <c r="V53" s="31">
        <v>0</v>
      </c>
      <c r="W53" s="30">
        <v>75000</v>
      </c>
      <c r="X53" s="31">
        <v>0</v>
      </c>
      <c r="Y53" s="31">
        <v>11000</v>
      </c>
      <c r="Z53" s="30">
        <v>0</v>
      </c>
      <c r="AA53" s="31">
        <v>0</v>
      </c>
      <c r="AB53" s="30">
        <v>39600</v>
      </c>
      <c r="AC53" s="30">
        <v>0</v>
      </c>
      <c r="AD53" s="30">
        <v>19500</v>
      </c>
      <c r="AE53" s="30">
        <v>45500</v>
      </c>
      <c r="AF53" s="30">
        <v>33300</v>
      </c>
      <c r="AG53" s="30">
        <v>0</v>
      </c>
      <c r="AH53" s="30">
        <v>42000</v>
      </c>
      <c r="AI53" s="30">
        <v>0</v>
      </c>
      <c r="AJ53" s="30">
        <v>0</v>
      </c>
      <c r="AK53" s="30">
        <v>30700</v>
      </c>
      <c r="AL53" s="30">
        <v>0</v>
      </c>
      <c r="AM53" s="30">
        <v>5500</v>
      </c>
      <c r="AN53" s="31">
        <v>13600</v>
      </c>
      <c r="AO53" s="30">
        <v>4000</v>
      </c>
      <c r="AP53" s="31">
        <v>0</v>
      </c>
      <c r="AQ53" s="31">
        <v>9333</v>
      </c>
      <c r="AR53" s="31">
        <v>0</v>
      </c>
      <c r="AS53" s="31">
        <v>0</v>
      </c>
      <c r="AT53" s="31">
        <v>0</v>
      </c>
      <c r="AU53" s="30">
        <v>300</v>
      </c>
      <c r="AX53" s="2">
        <f t="shared" si="0"/>
        <v>195712</v>
      </c>
      <c r="AY53" s="32">
        <f t="shared" si="105"/>
        <v>189188.26666666666</v>
      </c>
      <c r="AZ53" s="186">
        <f t="shared" si="106"/>
        <v>0.4365833993075444</v>
      </c>
      <c r="BA53" s="186">
        <f t="shared" si="107"/>
        <v>0.09071934388191041</v>
      </c>
      <c r="BB53" s="186">
        <f t="shared" si="108"/>
        <v>0.2968784773273695</v>
      </c>
      <c r="BC53" s="53">
        <f t="shared" si="88"/>
        <v>232000</v>
      </c>
      <c r="BD53" s="53">
        <f t="shared" si="5"/>
        <v>100216.3777993404</v>
      </c>
      <c r="BE53" s="53">
        <f t="shared" si="6"/>
        <v>20824.346630214863</v>
      </c>
      <c r="BF53" s="53">
        <f t="shared" si="7"/>
        <v>68147.54223711143</v>
      </c>
      <c r="BG53" s="53"/>
      <c r="BH53" s="53">
        <f t="shared" si="89"/>
        <v>9</v>
      </c>
      <c r="BI53" s="53">
        <f t="shared" si="90"/>
        <v>8</v>
      </c>
      <c r="BJ53" s="53">
        <f t="shared" si="91"/>
        <v>5</v>
      </c>
      <c r="BK53" s="53">
        <f t="shared" si="92"/>
        <v>6</v>
      </c>
      <c r="BL53" s="53"/>
      <c r="BM53" s="53">
        <f t="shared" si="93"/>
        <v>4</v>
      </c>
      <c r="BN53" s="53">
        <f t="shared" si="94"/>
        <v>4</v>
      </c>
      <c r="BO53" s="53">
        <f t="shared" si="95"/>
        <v>2</v>
      </c>
      <c r="BP53" s="53">
        <f t="shared" si="96"/>
        <v>0</v>
      </c>
      <c r="BQ53" s="53"/>
      <c r="BR53" s="53">
        <f t="shared" si="97"/>
        <v>13</v>
      </c>
      <c r="BS53" s="53">
        <f t="shared" si="98"/>
        <v>68.4</v>
      </c>
      <c r="BT53" s="53">
        <f t="shared" si="99"/>
        <v>11</v>
      </c>
      <c r="BU53" s="53">
        <f t="shared" si="109"/>
        <v>44352</v>
      </c>
      <c r="BV53" s="53"/>
      <c r="BW53" s="53">
        <f t="shared" si="183"/>
        <v>26000</v>
      </c>
      <c r="BX53" s="53">
        <f t="shared" si="101"/>
        <v>-38052</v>
      </c>
      <c r="BY53" s="53">
        <f t="shared" si="110"/>
        <v>-34350.184929088515</v>
      </c>
      <c r="BZ53" s="240">
        <f t="shared" si="102"/>
        <v>10.0976</v>
      </c>
      <c r="CC53" s="1">
        <f t="shared" si="111"/>
        <v>0</v>
      </c>
      <c r="CD53" s="195">
        <f t="shared" si="112"/>
        <v>8619.599999999999</v>
      </c>
      <c r="CE53" s="195">
        <f t="shared" si="113"/>
        <v>8619.599999999999</v>
      </c>
      <c r="CF53" s="239">
        <f t="shared" si="114"/>
        <v>4.35</v>
      </c>
      <c r="CG53" s="239">
        <f t="shared" si="114"/>
        <v>29.880000000000003</v>
      </c>
      <c r="CH53" s="1">
        <f t="shared" si="103"/>
        <v>14342.400000000001</v>
      </c>
      <c r="CK53" s="211">
        <f t="shared" si="115"/>
        <v>0</v>
      </c>
      <c r="CL53" s="211">
        <f t="shared" si="116"/>
        <v>0</v>
      </c>
      <c r="CM53" s="211">
        <f t="shared" si="117"/>
        <v>0</v>
      </c>
      <c r="CQ53" s="1">
        <f t="shared" si="104"/>
        <v>1</v>
      </c>
      <c r="CR53" s="195">
        <f t="shared" si="17"/>
        <v>10000</v>
      </c>
      <c r="CS53" s="195"/>
      <c r="CT53" s="195"/>
      <c r="CV53" s="199">
        <f t="shared" si="118"/>
        <v>121.92211750551432</v>
      </c>
      <c r="CW53" s="199">
        <f t="shared" si="119"/>
        <v>15.615640665730899</v>
      </c>
      <c r="CX53" s="199">
        <f t="shared" si="120"/>
        <v>0</v>
      </c>
      <c r="CY53" s="199">
        <f t="shared" si="121"/>
        <v>0</v>
      </c>
      <c r="CZ53" s="199">
        <f t="shared" si="122"/>
        <v>0</v>
      </c>
      <c r="DA53" s="199">
        <f t="shared" si="123"/>
        <v>0</v>
      </c>
      <c r="DB53" s="199">
        <f t="shared" si="124"/>
        <v>19.519550832163624</v>
      </c>
      <c r="DC53" s="199">
        <f t="shared" si="125"/>
        <v>0</v>
      </c>
      <c r="DD53" s="199">
        <f t="shared" si="126"/>
        <v>3.340012031281331</v>
      </c>
      <c r="DE53" s="199">
        <f t="shared" si="127"/>
        <v>0</v>
      </c>
      <c r="DF53" s="199">
        <f t="shared" si="128"/>
        <v>0</v>
      </c>
      <c r="DG53" s="199">
        <f t="shared" si="129"/>
        <v>52.52260677762181</v>
      </c>
      <c r="DH53" s="199">
        <f t="shared" si="130"/>
        <v>0</v>
      </c>
      <c r="DI53" s="199">
        <f t="shared" si="131"/>
        <v>55.956045718869056</v>
      </c>
      <c r="DJ53" s="199">
        <f t="shared" si="132"/>
        <v>6.216976940044114</v>
      </c>
      <c r="DK53" s="199">
        <f t="shared" si="133"/>
        <v>4.550007298977341</v>
      </c>
      <c r="DL53" s="199">
        <f t="shared" si="134"/>
        <v>0</v>
      </c>
      <c r="DM53" s="199">
        <f t="shared" si="135"/>
        <v>5.738747944656105</v>
      </c>
      <c r="DN53" s="199">
        <f t="shared" si="136"/>
        <v>0</v>
      </c>
      <c r="DO53" s="199">
        <f t="shared" si="137"/>
        <v>0</v>
      </c>
      <c r="DP53" s="199">
        <f t="shared" si="138"/>
        <v>4.194751473831963</v>
      </c>
      <c r="DQ53" s="199">
        <f t="shared" si="139"/>
        <v>0</v>
      </c>
      <c r="DR53" s="199">
        <f t="shared" si="140"/>
        <v>0.8258271505915379</v>
      </c>
      <c r="DS53" s="199">
        <f t="shared" si="141"/>
        <v>36.076133948265486</v>
      </c>
      <c r="DT53" s="199">
        <f t="shared" si="142"/>
        <v>11.478163224383396</v>
      </c>
      <c r="DU53" s="199">
        <f t="shared" si="143"/>
        <v>0</v>
      </c>
      <c r="DV53" s="199">
        <f t="shared" si="144"/>
        <v>0.002724854220974534</v>
      </c>
      <c r="DW53" s="199">
        <f t="shared" si="145"/>
        <v>0</v>
      </c>
      <c r="DX53" s="199">
        <f t="shared" si="146"/>
        <v>0</v>
      </c>
      <c r="DY53" s="199">
        <f t="shared" si="147"/>
        <v>0</v>
      </c>
      <c r="DZ53" s="199">
        <f t="shared" si="148"/>
        <v>0.01941945057148586</v>
      </c>
      <c r="EA53" s="199">
        <f t="shared" si="149"/>
        <v>109.83920990094244</v>
      </c>
      <c r="EB53" s="199">
        <f t="shared" si="150"/>
        <v>13.210463990161085</v>
      </c>
      <c r="EC53" s="202">
        <f t="shared" si="51"/>
        <v>461.0283997078269</v>
      </c>
      <c r="ED53" s="202">
        <f>SUM(CV53:DI53,DS53:DT53,DW53,DY53,EA53:EB53)</f>
        <v>439.47994459493344</v>
      </c>
      <c r="EE53" s="203">
        <f t="shared" si="52"/>
        <v>72.74838085131552</v>
      </c>
      <c r="EF53" s="199"/>
      <c r="EI53" s="1">
        <f t="shared" si="151"/>
        <v>0.5699766927982697</v>
      </c>
      <c r="EJ53" s="1">
        <f t="shared" si="152"/>
        <v>0.010606863429336002</v>
      </c>
      <c r="EK53" s="1">
        <f t="shared" si="153"/>
        <v>0</v>
      </c>
      <c r="EL53" s="1">
        <f t="shared" si="154"/>
        <v>0</v>
      </c>
      <c r="EM53" s="1">
        <f t="shared" si="155"/>
        <v>0</v>
      </c>
      <c r="EN53" s="1">
        <f t="shared" si="156"/>
        <v>0</v>
      </c>
      <c r="EO53" s="1">
        <f t="shared" si="157"/>
        <v>0.2644897670328</v>
      </c>
      <c r="EP53" s="1">
        <f t="shared" si="158"/>
        <v>0</v>
      </c>
      <c r="EQ53" s="1">
        <f t="shared" si="159"/>
        <v>0.21621849683808003</v>
      </c>
      <c r="ER53" s="1">
        <f t="shared" si="160"/>
        <v>0</v>
      </c>
      <c r="ES53" s="1">
        <f t="shared" si="161"/>
        <v>0</v>
      </c>
      <c r="ET53" s="1">
        <f t="shared" si="162"/>
        <v>0.14589546715944002</v>
      </c>
      <c r="EU53" s="1">
        <f t="shared" si="163"/>
        <v>0</v>
      </c>
      <c r="EV53" s="1">
        <f t="shared" si="164"/>
        <v>0</v>
      </c>
      <c r="EW53" s="1">
        <f t="shared" si="165"/>
        <v>0.10099701098903999</v>
      </c>
      <c r="EX53" s="1">
        <f t="shared" si="166"/>
        <v>0.059350736407200004</v>
      </c>
      <c r="EY53" s="1">
        <f t="shared" si="167"/>
        <v>0</v>
      </c>
      <c r="EZ53" s="1">
        <f t="shared" si="168"/>
        <v>0.10099701098903999</v>
      </c>
      <c r="FA53" s="1">
        <f t="shared" si="169"/>
        <v>0</v>
      </c>
      <c r="FB53" s="1">
        <f t="shared" si="170"/>
        <v>0</v>
      </c>
      <c r="FC53" s="1">
        <f t="shared" si="171"/>
        <v>0.059350736407200004</v>
      </c>
      <c r="FD53" s="1">
        <f t="shared" si="172"/>
        <v>0</v>
      </c>
      <c r="FE53" s="1">
        <f t="shared" si="173"/>
        <v>0.059350736407200004</v>
      </c>
      <c r="FF53" s="1">
        <f t="shared" si="174"/>
        <v>0.059350736407200004</v>
      </c>
      <c r="FG53" s="1">
        <f t="shared" si="175"/>
        <v>0.059350736407200004</v>
      </c>
      <c r="FH53" s="1">
        <f t="shared" si="176"/>
        <v>0</v>
      </c>
      <c r="FI53" s="1">
        <f t="shared" si="177"/>
        <v>0</v>
      </c>
      <c r="FJ53" s="1">
        <f t="shared" si="178"/>
        <v>0</v>
      </c>
      <c r="FK53" s="1">
        <f t="shared" si="179"/>
        <v>0</v>
      </c>
      <c r="FL53" s="1">
        <f t="shared" si="180"/>
        <v>0</v>
      </c>
      <c r="FM53" s="1">
        <f t="shared" si="181"/>
        <v>0.0057571153094400015</v>
      </c>
      <c r="FN53" s="1">
        <f t="shared" si="182"/>
        <v>7.46760736344</v>
      </c>
      <c r="FO53" s="1">
        <f>IF(O53=0,0,SUM(EI53:FN53))</f>
        <v>9.179299470021444</v>
      </c>
    </row>
    <row r="54" spans="1:171" ht="12.75">
      <c r="A54" s="33">
        <v>113</v>
      </c>
      <c r="B54" s="34" t="s">
        <v>121</v>
      </c>
      <c r="C54" s="34" t="s">
        <v>187</v>
      </c>
      <c r="D54" s="35" t="s">
        <v>171</v>
      </c>
      <c r="E54" s="35">
        <v>3</v>
      </c>
      <c r="F54" s="35" t="s">
        <v>186</v>
      </c>
      <c r="G54" s="35" t="s">
        <v>74</v>
      </c>
      <c r="H54" s="35" t="s">
        <v>75</v>
      </c>
      <c r="I54" s="35">
        <v>3</v>
      </c>
      <c r="J54" s="35"/>
      <c r="K54" s="26">
        <f t="shared" si="85"/>
        <v>1</v>
      </c>
      <c r="L54" s="26">
        <f t="shared" si="86"/>
        <v>1</v>
      </c>
      <c r="M54" s="33">
        <v>292228</v>
      </c>
      <c r="N54" s="33">
        <v>945530</v>
      </c>
      <c r="O54" s="27">
        <f t="shared" si="87"/>
        <v>437000</v>
      </c>
      <c r="P54" s="30">
        <v>437000</v>
      </c>
      <c r="Q54" s="30">
        <v>475000</v>
      </c>
      <c r="R54" s="30">
        <v>237000</v>
      </c>
      <c r="S54" s="31">
        <v>43000</v>
      </c>
      <c r="T54" s="31">
        <v>0</v>
      </c>
      <c r="U54" s="31">
        <v>0</v>
      </c>
      <c r="V54" s="31">
        <v>0</v>
      </c>
      <c r="W54" s="30">
        <v>185000</v>
      </c>
      <c r="X54" s="31">
        <v>4300</v>
      </c>
      <c r="Y54" s="31">
        <v>60000</v>
      </c>
      <c r="Z54" s="30">
        <v>0</v>
      </c>
      <c r="AA54" s="31">
        <v>61400</v>
      </c>
      <c r="AB54" s="30">
        <v>63000</v>
      </c>
      <c r="AC54" s="30">
        <v>75000</v>
      </c>
      <c r="AD54" s="30">
        <v>17000</v>
      </c>
      <c r="AE54" s="30">
        <v>114000</v>
      </c>
      <c r="AF54" s="30">
        <v>110000</v>
      </c>
      <c r="AG54" s="30">
        <v>40000</v>
      </c>
      <c r="AH54" s="30">
        <v>98000</v>
      </c>
      <c r="AI54" s="30">
        <v>0</v>
      </c>
      <c r="AJ54" s="30">
        <v>0</v>
      </c>
      <c r="AK54" s="30">
        <v>105000</v>
      </c>
      <c r="AL54" s="30">
        <v>0</v>
      </c>
      <c r="AM54" s="30">
        <v>55000</v>
      </c>
      <c r="AN54" s="30">
        <v>45000</v>
      </c>
      <c r="AO54" s="30">
        <v>0</v>
      </c>
      <c r="AP54" s="30">
        <v>18000</v>
      </c>
      <c r="AQ54" s="30">
        <v>24000</v>
      </c>
      <c r="AR54" s="30">
        <v>0</v>
      </c>
      <c r="AS54" s="30">
        <v>20800</v>
      </c>
      <c r="AT54" s="30">
        <v>0</v>
      </c>
      <c r="AU54" s="30">
        <v>1400</v>
      </c>
      <c r="AX54" s="2">
        <f t="shared" si="0"/>
        <v>360096</v>
      </c>
      <c r="AY54" s="32">
        <f t="shared" si="105"/>
        <v>331288.32</v>
      </c>
      <c r="AZ54" s="186">
        <f t="shared" si="106"/>
        <v>0.4365833993075444</v>
      </c>
      <c r="BA54" s="186">
        <f t="shared" si="107"/>
        <v>0.09071934388191041</v>
      </c>
      <c r="BB54" s="186">
        <f t="shared" si="108"/>
        <v>0.2968784773273695</v>
      </c>
      <c r="BC54" s="53">
        <f t="shared" si="88"/>
        <v>437000</v>
      </c>
      <c r="BD54" s="53">
        <f t="shared" si="5"/>
        <v>175489.29446097842</v>
      </c>
      <c r="BE54" s="53">
        <f t="shared" si="6"/>
        <v>36465.595524360615</v>
      </c>
      <c r="BF54" s="53">
        <f t="shared" si="7"/>
        <v>119333.43001466099</v>
      </c>
      <c r="BG54" s="53"/>
      <c r="BH54" s="53">
        <f t="shared" si="89"/>
        <v>16</v>
      </c>
      <c r="BI54" s="53">
        <f t="shared" si="90"/>
        <v>11</v>
      </c>
      <c r="BJ54" s="53">
        <f t="shared" si="91"/>
        <v>6</v>
      </c>
      <c r="BK54" s="53">
        <f t="shared" si="92"/>
        <v>9</v>
      </c>
      <c r="BL54" s="53"/>
      <c r="BM54" s="53">
        <f t="shared" si="93"/>
        <v>7</v>
      </c>
      <c r="BN54" s="53">
        <f t="shared" si="94"/>
        <v>5</v>
      </c>
      <c r="BO54" s="53">
        <f t="shared" si="95"/>
        <v>3</v>
      </c>
      <c r="BP54" s="53">
        <f t="shared" si="96"/>
        <v>0</v>
      </c>
      <c r="BQ54" s="53"/>
      <c r="BR54" s="53">
        <f t="shared" si="97"/>
        <v>22.75</v>
      </c>
      <c r="BS54" s="53">
        <f t="shared" si="98"/>
        <v>85.5</v>
      </c>
      <c r="BT54" s="53">
        <f t="shared" si="99"/>
        <v>16.5</v>
      </c>
      <c r="BU54" s="53">
        <f t="shared" si="109"/>
        <v>59880</v>
      </c>
      <c r="BV54" s="53"/>
      <c r="BW54" s="53">
        <f t="shared" si="183"/>
        <v>39000</v>
      </c>
      <c r="BX54" s="53">
        <f t="shared" si="101"/>
        <v>-50430</v>
      </c>
      <c r="BY54" s="53">
        <f t="shared" si="110"/>
        <v>-44877.27739363277</v>
      </c>
      <c r="BZ54" s="240">
        <f t="shared" si="102"/>
        <v>13.571749999999998</v>
      </c>
      <c r="CC54" s="1">
        <f t="shared" si="111"/>
        <v>0</v>
      </c>
      <c r="CD54" s="195">
        <f t="shared" si="112"/>
        <v>8619.599999999999</v>
      </c>
      <c r="CE54" s="195">
        <f t="shared" si="113"/>
        <v>8619.599999999999</v>
      </c>
      <c r="CF54" s="239">
        <f t="shared" si="114"/>
        <v>4.35</v>
      </c>
      <c r="CG54" s="239">
        <f t="shared" si="114"/>
        <v>29.880000000000003</v>
      </c>
      <c r="CH54" s="1">
        <f t="shared" si="103"/>
        <v>14342.400000000001</v>
      </c>
      <c r="CK54" s="211">
        <f t="shared" si="115"/>
        <v>0</v>
      </c>
      <c r="CL54" s="211">
        <f t="shared" si="116"/>
        <v>0</v>
      </c>
      <c r="CM54" s="211">
        <f t="shared" si="117"/>
        <v>0</v>
      </c>
      <c r="CQ54" s="1">
        <f>IF(EF54&lt;10,0,1)</f>
        <v>0</v>
      </c>
      <c r="CR54" s="195">
        <f t="shared" si="17"/>
        <v>0</v>
      </c>
      <c r="CS54" s="195"/>
      <c r="CT54" s="195"/>
      <c r="CV54" s="199">
        <f t="shared" si="118"/>
        <v>241.30419089633045</v>
      </c>
      <c r="CW54" s="199">
        <f t="shared" si="119"/>
        <v>71.1712853418889</v>
      </c>
      <c r="CX54" s="199">
        <f t="shared" si="120"/>
        <v>84.65145377982756</v>
      </c>
      <c r="CY54" s="199">
        <f t="shared" si="121"/>
        <v>0</v>
      </c>
      <c r="CZ54" s="199">
        <f t="shared" si="122"/>
        <v>0</v>
      </c>
      <c r="DA54" s="199">
        <f t="shared" si="123"/>
        <v>0</v>
      </c>
      <c r="DB54" s="199">
        <f t="shared" si="124"/>
        <v>48.14822538600361</v>
      </c>
      <c r="DC54" s="199">
        <f t="shared" si="125"/>
        <v>1.119120914377381</v>
      </c>
      <c r="DD54" s="199">
        <f t="shared" si="126"/>
        <v>18.218247443352713</v>
      </c>
      <c r="DE54" s="199">
        <f t="shared" si="127"/>
        <v>0</v>
      </c>
      <c r="DF54" s="199">
        <f t="shared" si="128"/>
        <v>18.64333988369761</v>
      </c>
      <c r="DG54" s="199">
        <f t="shared" si="129"/>
        <v>83.55869260076199</v>
      </c>
      <c r="DH54" s="199">
        <f t="shared" si="130"/>
        <v>99.47463404852616</v>
      </c>
      <c r="DI54" s="199">
        <f t="shared" si="131"/>
        <v>48.78219370362943</v>
      </c>
      <c r="DJ54" s="199">
        <f t="shared" si="132"/>
        <v>15.576601564066571</v>
      </c>
      <c r="DK54" s="199">
        <f t="shared" si="133"/>
        <v>15.03005414076599</v>
      </c>
      <c r="DL54" s="199">
        <f t="shared" si="134"/>
        <v>5.465474233005814</v>
      </c>
      <c r="DM54" s="199">
        <f t="shared" si="135"/>
        <v>13.390411870864247</v>
      </c>
      <c r="DN54" s="199">
        <f t="shared" si="136"/>
        <v>0</v>
      </c>
      <c r="DO54" s="199">
        <f t="shared" si="137"/>
        <v>0</v>
      </c>
      <c r="DP54" s="199">
        <f t="shared" si="138"/>
        <v>14.346869861640263</v>
      </c>
      <c r="DQ54" s="199">
        <f t="shared" si="139"/>
        <v>0</v>
      </c>
      <c r="DR54" s="199">
        <f t="shared" si="140"/>
        <v>8.25827150591538</v>
      </c>
      <c r="DS54" s="199">
        <f t="shared" si="141"/>
        <v>119.3695608582314</v>
      </c>
      <c r="DT54" s="199">
        <f t="shared" si="142"/>
        <v>0</v>
      </c>
      <c r="DU54" s="199">
        <f t="shared" si="143"/>
        <v>0.005255263685582514</v>
      </c>
      <c r="DV54" s="199">
        <f t="shared" si="144"/>
        <v>0.0070070182474433525</v>
      </c>
      <c r="DW54" s="199">
        <f t="shared" si="145"/>
        <v>0</v>
      </c>
      <c r="DX54" s="199">
        <f t="shared" si="146"/>
        <v>1.3464152396230198</v>
      </c>
      <c r="DY54" s="199">
        <f t="shared" si="147"/>
        <v>0</v>
      </c>
      <c r="DZ54" s="199">
        <f t="shared" si="148"/>
        <v>0.09062410266693402</v>
      </c>
      <c r="EA54" s="199">
        <f t="shared" si="149"/>
        <v>192.33987371068778</v>
      </c>
      <c r="EB54" s="199">
        <f t="shared" si="150"/>
        <v>24.097169813739725</v>
      </c>
      <c r="EC54" s="202">
        <f t="shared" si="51"/>
        <v>1124.3949731815358</v>
      </c>
      <c r="ED54" s="202">
        <f>SUM(CV54:DI54,DS54:DT54,DW54,DY54,EA54:EB54)</f>
        <v>1050.8779883810546</v>
      </c>
      <c r="EE54" s="203">
        <f t="shared" si="52"/>
        <v>173.95485975468702</v>
      </c>
      <c r="EF54" s="203"/>
      <c r="EI54" s="1">
        <f t="shared" si="151"/>
        <v>0.5699766927982697</v>
      </c>
      <c r="EJ54" s="1">
        <f t="shared" si="152"/>
        <v>0.010606863429336002</v>
      </c>
      <c r="EK54" s="1">
        <f t="shared" si="153"/>
        <v>0.24682268761392</v>
      </c>
      <c r="EL54" s="1">
        <f t="shared" si="154"/>
        <v>0</v>
      </c>
      <c r="EM54" s="1">
        <f t="shared" si="155"/>
        <v>0</v>
      </c>
      <c r="EN54" s="1">
        <f t="shared" si="156"/>
        <v>0</v>
      </c>
      <c r="EO54" s="1">
        <f t="shared" si="157"/>
        <v>0.2644897670328</v>
      </c>
      <c r="EP54" s="1">
        <f t="shared" si="158"/>
        <v>0</v>
      </c>
      <c r="EQ54" s="1">
        <f t="shared" si="159"/>
        <v>0.21621849683808003</v>
      </c>
      <c r="ER54" s="1">
        <f t="shared" si="160"/>
        <v>0</v>
      </c>
      <c r="ES54" s="1">
        <f t="shared" si="161"/>
        <v>0</v>
      </c>
      <c r="ET54" s="1">
        <f t="shared" si="162"/>
        <v>0.14589546715944002</v>
      </c>
      <c r="EU54" s="1">
        <f t="shared" si="163"/>
        <v>0.14589546715944002</v>
      </c>
      <c r="EV54" s="1">
        <f t="shared" si="164"/>
        <v>0</v>
      </c>
      <c r="EW54" s="1">
        <f t="shared" si="165"/>
        <v>0.10099701098903999</v>
      </c>
      <c r="EX54" s="1">
        <f t="shared" si="166"/>
        <v>0.10099701098903999</v>
      </c>
      <c r="EY54" s="1">
        <f t="shared" si="167"/>
        <v>0.10099701098903999</v>
      </c>
      <c r="EZ54" s="1">
        <f t="shared" si="168"/>
        <v>0.10099701098903999</v>
      </c>
      <c r="FA54" s="1">
        <f t="shared" si="169"/>
        <v>0</v>
      </c>
      <c r="FB54" s="1">
        <f t="shared" si="170"/>
        <v>0</v>
      </c>
      <c r="FC54" s="1">
        <f t="shared" si="171"/>
        <v>0.10099701098903999</v>
      </c>
      <c r="FD54" s="1">
        <f t="shared" si="172"/>
        <v>0</v>
      </c>
      <c r="FE54" s="1">
        <f t="shared" si="173"/>
        <v>0.10099701098903999</v>
      </c>
      <c r="FF54" s="1">
        <f t="shared" si="174"/>
        <v>0.10099701098903999</v>
      </c>
      <c r="FG54" s="1">
        <f t="shared" si="175"/>
        <v>0</v>
      </c>
      <c r="FH54" s="1">
        <f t="shared" si="176"/>
        <v>0</v>
      </c>
      <c r="FI54" s="1">
        <f t="shared" si="177"/>
        <v>0</v>
      </c>
      <c r="FJ54" s="1">
        <f t="shared" si="178"/>
        <v>0</v>
      </c>
      <c r="FK54" s="1">
        <f t="shared" si="179"/>
        <v>0</v>
      </c>
      <c r="FL54" s="1">
        <f t="shared" si="180"/>
        <v>0</v>
      </c>
      <c r="FM54" s="1">
        <f t="shared" si="181"/>
        <v>0.0057571153094400015</v>
      </c>
      <c r="FN54" s="1">
        <f t="shared" si="182"/>
        <v>7.46760736344</v>
      </c>
      <c r="FO54" s="1">
        <f>IF(O54=0,0,SUM(EI54:FN54))</f>
        <v>9.780248997704005</v>
      </c>
    </row>
    <row r="55" spans="1:171" ht="12.75">
      <c r="A55" s="33">
        <v>115</v>
      </c>
      <c r="B55" s="34" t="s">
        <v>188</v>
      </c>
      <c r="C55" s="34" t="s">
        <v>189</v>
      </c>
      <c r="D55" s="35" t="s">
        <v>171</v>
      </c>
      <c r="E55" s="35">
        <v>3</v>
      </c>
      <c r="F55" s="35" t="s">
        <v>186</v>
      </c>
      <c r="G55" s="35" t="s">
        <v>74</v>
      </c>
      <c r="H55" s="35" t="s">
        <v>75</v>
      </c>
      <c r="I55" s="35">
        <v>3</v>
      </c>
      <c r="J55" s="35"/>
      <c r="K55" s="26">
        <f t="shared" si="85"/>
        <v>1</v>
      </c>
      <c r="L55" s="26">
        <f t="shared" si="86"/>
        <v>1</v>
      </c>
      <c r="M55" s="33">
        <v>274933</v>
      </c>
      <c r="N55" s="33">
        <v>972540</v>
      </c>
      <c r="O55" s="27">
        <f t="shared" si="87"/>
        <v>156000</v>
      </c>
      <c r="P55" s="30">
        <v>156000</v>
      </c>
      <c r="Q55" s="30">
        <v>165000</v>
      </c>
      <c r="R55" s="30">
        <v>77500</v>
      </c>
      <c r="S55" s="31">
        <v>43500</v>
      </c>
      <c r="T55" s="31">
        <v>0</v>
      </c>
      <c r="U55" s="31">
        <v>0</v>
      </c>
      <c r="V55" s="31">
        <v>0</v>
      </c>
      <c r="W55" s="30">
        <v>81800</v>
      </c>
      <c r="X55" s="31">
        <v>0</v>
      </c>
      <c r="Y55" s="31">
        <v>0</v>
      </c>
      <c r="Z55" s="30">
        <v>0</v>
      </c>
      <c r="AA55" s="31">
        <v>0</v>
      </c>
      <c r="AB55" s="30">
        <v>52500</v>
      </c>
      <c r="AC55" s="30">
        <v>0</v>
      </c>
      <c r="AD55" s="30">
        <v>0</v>
      </c>
      <c r="AE55" s="30">
        <v>54500</v>
      </c>
      <c r="AF55" s="30">
        <v>0</v>
      </c>
      <c r="AG55" s="30">
        <v>0</v>
      </c>
      <c r="AH55" s="43">
        <v>49000</v>
      </c>
      <c r="AI55" s="43">
        <v>0</v>
      </c>
      <c r="AJ55" s="43">
        <v>0</v>
      </c>
      <c r="AK55" s="43">
        <v>70000</v>
      </c>
      <c r="AL55" s="43">
        <v>0</v>
      </c>
      <c r="AM55" s="43">
        <v>20100</v>
      </c>
      <c r="AN55" s="44">
        <v>22000</v>
      </c>
      <c r="AO55" s="43">
        <v>0</v>
      </c>
      <c r="AP55" s="44">
        <v>0</v>
      </c>
      <c r="AQ55" s="44">
        <v>0</v>
      </c>
      <c r="AR55" s="44">
        <v>0</v>
      </c>
      <c r="AS55" s="44">
        <v>14500</v>
      </c>
      <c r="AT55" s="44">
        <v>0</v>
      </c>
      <c r="AU55" s="43">
        <v>357</v>
      </c>
      <c r="AX55" s="2">
        <f t="shared" si="0"/>
        <v>113080</v>
      </c>
      <c r="AY55" s="32">
        <f t="shared" si="105"/>
        <v>106912</v>
      </c>
      <c r="AZ55" s="186">
        <f t="shared" si="106"/>
        <v>0.4365833993075444</v>
      </c>
      <c r="BA55" s="186">
        <f t="shared" si="107"/>
        <v>0.09071934388191041</v>
      </c>
      <c r="BB55" s="186">
        <f t="shared" si="108"/>
        <v>0.2968784773273695</v>
      </c>
      <c r="BC55" s="53">
        <f t="shared" si="88"/>
        <v>156000</v>
      </c>
      <c r="BD55" s="53">
        <f t="shared" si="5"/>
        <v>56633.18118010355</v>
      </c>
      <c r="BE55" s="53">
        <f t="shared" si="6"/>
        <v>11768.026559766557</v>
      </c>
      <c r="BF55" s="53">
        <f t="shared" si="7"/>
        <v>38510.79226012989</v>
      </c>
      <c r="BG55" s="53"/>
      <c r="BH55" s="53">
        <f t="shared" si="89"/>
        <v>7</v>
      </c>
      <c r="BI55" s="53">
        <f t="shared" si="90"/>
        <v>5</v>
      </c>
      <c r="BJ55" s="53">
        <f t="shared" si="91"/>
        <v>4</v>
      </c>
      <c r="BK55" s="53">
        <f t="shared" si="92"/>
        <v>4</v>
      </c>
      <c r="BL55" s="53"/>
      <c r="BM55" s="53">
        <f t="shared" si="93"/>
        <v>3</v>
      </c>
      <c r="BN55" s="53">
        <f t="shared" si="94"/>
        <v>2</v>
      </c>
      <c r="BO55" s="53">
        <f t="shared" si="95"/>
        <v>2</v>
      </c>
      <c r="BP55" s="53">
        <f t="shared" si="96"/>
        <v>0</v>
      </c>
      <c r="BQ55" s="53"/>
      <c r="BR55" s="53">
        <f t="shared" si="97"/>
        <v>9.75</v>
      </c>
      <c r="BS55" s="53">
        <f t="shared" si="98"/>
        <v>34.2</v>
      </c>
      <c r="BT55" s="53">
        <f t="shared" si="99"/>
        <v>11</v>
      </c>
      <c r="BU55" s="53">
        <f t="shared" si="109"/>
        <v>26376</v>
      </c>
      <c r="BV55" s="53"/>
      <c r="BW55" s="53">
        <f t="shared" si="183"/>
        <v>18200</v>
      </c>
      <c r="BX55" s="53">
        <f t="shared" si="101"/>
        <v>-21966</v>
      </c>
      <c r="BY55" s="53">
        <f t="shared" si="110"/>
        <v>-19374.729450361963</v>
      </c>
      <c r="BZ55" s="240">
        <f t="shared" si="102"/>
        <v>6.080550000000001</v>
      </c>
      <c r="CC55" s="1">
        <f t="shared" si="111"/>
        <v>0</v>
      </c>
      <c r="CD55" s="195">
        <f t="shared" si="112"/>
        <v>5746.4</v>
      </c>
      <c r="CE55" s="195">
        <f t="shared" si="113"/>
        <v>5746.4</v>
      </c>
      <c r="CF55" s="239">
        <f t="shared" si="114"/>
        <v>2.9</v>
      </c>
      <c r="CG55" s="239">
        <f t="shared" si="114"/>
        <v>19.92</v>
      </c>
      <c r="CH55" s="1">
        <f t="shared" si="103"/>
        <v>9561.6</v>
      </c>
      <c r="CK55" s="211">
        <f t="shared" si="115"/>
        <v>0</v>
      </c>
      <c r="CL55" s="211">
        <f t="shared" si="116"/>
        <v>0</v>
      </c>
      <c r="CM55" s="211">
        <f t="shared" si="117"/>
        <v>0</v>
      </c>
      <c r="CQ55" s="1">
        <f t="shared" si="104"/>
        <v>1</v>
      </c>
      <c r="CR55" s="195">
        <f t="shared" si="17"/>
        <v>10000</v>
      </c>
      <c r="CS55" s="195"/>
      <c r="CT55" s="195"/>
      <c r="CV55" s="199">
        <f t="shared" si="118"/>
        <v>83.8214557850411</v>
      </c>
      <c r="CW55" s="199">
        <f t="shared" si="119"/>
        <v>23.273310607579706</v>
      </c>
      <c r="CX55" s="199">
        <f t="shared" si="120"/>
        <v>85.63577300982556</v>
      </c>
      <c r="CY55" s="199">
        <f t="shared" si="121"/>
        <v>0</v>
      </c>
      <c r="CZ55" s="199">
        <f t="shared" si="122"/>
        <v>0</v>
      </c>
      <c r="DA55" s="199">
        <f t="shared" si="123"/>
        <v>0</v>
      </c>
      <c r="DB55" s="199">
        <f t="shared" si="124"/>
        <v>21.28932344094646</v>
      </c>
      <c r="DC55" s="199">
        <f t="shared" si="125"/>
        <v>0</v>
      </c>
      <c r="DD55" s="199">
        <f t="shared" si="126"/>
        <v>0</v>
      </c>
      <c r="DE55" s="199">
        <f t="shared" si="127"/>
        <v>0</v>
      </c>
      <c r="DF55" s="199">
        <f t="shared" si="128"/>
        <v>0</v>
      </c>
      <c r="DG55" s="199">
        <f t="shared" si="129"/>
        <v>69.63224383396832</v>
      </c>
      <c r="DH55" s="199">
        <f t="shared" si="130"/>
        <v>0</v>
      </c>
      <c r="DI55" s="199">
        <f t="shared" si="131"/>
        <v>0</v>
      </c>
      <c r="DJ55" s="199">
        <f t="shared" si="132"/>
        <v>7.446708642470422</v>
      </c>
      <c r="DK55" s="199">
        <f t="shared" si="133"/>
        <v>0</v>
      </c>
      <c r="DL55" s="199">
        <f t="shared" si="134"/>
        <v>0</v>
      </c>
      <c r="DM55" s="199">
        <f t="shared" si="135"/>
        <v>6.695205935432123</v>
      </c>
      <c r="DN55" s="199">
        <f t="shared" si="136"/>
        <v>0</v>
      </c>
      <c r="DO55" s="199">
        <f t="shared" si="137"/>
        <v>0</v>
      </c>
      <c r="DP55" s="199">
        <f t="shared" si="138"/>
        <v>9.564579907760175</v>
      </c>
      <c r="DQ55" s="199">
        <f t="shared" si="139"/>
        <v>0</v>
      </c>
      <c r="DR55" s="199">
        <f t="shared" si="140"/>
        <v>3.0180228594345295</v>
      </c>
      <c r="DS55" s="199">
        <f t="shared" si="141"/>
        <v>58.358451975135345</v>
      </c>
      <c r="DT55" s="199">
        <f t="shared" si="142"/>
        <v>0</v>
      </c>
      <c r="DU55" s="199">
        <f t="shared" si="143"/>
        <v>0</v>
      </c>
      <c r="DV55" s="199">
        <f t="shared" si="144"/>
        <v>0</v>
      </c>
      <c r="DW55" s="199">
        <f t="shared" si="145"/>
        <v>0</v>
      </c>
      <c r="DX55" s="199">
        <f t="shared" si="146"/>
        <v>0.9386067776218167</v>
      </c>
      <c r="DY55" s="199">
        <f t="shared" si="147"/>
        <v>0</v>
      </c>
      <c r="DZ55" s="199">
        <f t="shared" si="148"/>
        <v>0.023109146180068173</v>
      </c>
      <c r="EA55" s="199">
        <f t="shared" si="149"/>
        <v>62.071130603569266</v>
      </c>
      <c r="EB55" s="199">
        <f t="shared" si="150"/>
        <v>8.246168717064366</v>
      </c>
      <c r="EC55" s="202">
        <f t="shared" si="51"/>
        <v>440.0140912420293</v>
      </c>
      <c r="ED55" s="202">
        <f>SUM(CV55:DI55,DS55:DT55,DW55,DY55,EA55:EB55)</f>
        <v>412.32785797313016</v>
      </c>
      <c r="EE55" s="203">
        <f t="shared" si="52"/>
        <v>68.2538177597245</v>
      </c>
      <c r="EF55" s="199"/>
      <c r="EI55" s="1">
        <f t="shared" si="151"/>
        <v>0.5699766927982697</v>
      </c>
      <c r="EJ55" s="1">
        <f t="shared" si="152"/>
        <v>0.010606863429336002</v>
      </c>
      <c r="EK55" s="1">
        <f t="shared" si="153"/>
        <v>0.24682268761392</v>
      </c>
      <c r="EL55" s="1">
        <f t="shared" si="154"/>
        <v>0</v>
      </c>
      <c r="EM55" s="1">
        <f t="shared" si="155"/>
        <v>0</v>
      </c>
      <c r="EN55" s="1">
        <f t="shared" si="156"/>
        <v>0</v>
      </c>
      <c r="EO55" s="1">
        <f t="shared" si="157"/>
        <v>0.2644897670328</v>
      </c>
      <c r="EP55" s="1">
        <f t="shared" si="158"/>
        <v>0</v>
      </c>
      <c r="EQ55" s="1">
        <f t="shared" si="159"/>
        <v>0</v>
      </c>
      <c r="ER55" s="1">
        <f t="shared" si="160"/>
        <v>0</v>
      </c>
      <c r="ES55" s="1">
        <f t="shared" si="161"/>
        <v>0</v>
      </c>
      <c r="ET55" s="1">
        <f t="shared" si="162"/>
        <v>0.14589546715944002</v>
      </c>
      <c r="EU55" s="1">
        <f t="shared" si="163"/>
        <v>0</v>
      </c>
      <c r="EV55" s="1">
        <f t="shared" si="164"/>
        <v>0</v>
      </c>
      <c r="EW55" s="1">
        <f t="shared" si="165"/>
        <v>0.10099701098903999</v>
      </c>
      <c r="EX55" s="1">
        <f t="shared" si="166"/>
        <v>0</v>
      </c>
      <c r="EY55" s="1">
        <f t="shared" si="167"/>
        <v>0</v>
      </c>
      <c r="EZ55" s="1">
        <f t="shared" si="168"/>
        <v>0.10099701098903999</v>
      </c>
      <c r="FA55" s="1">
        <f t="shared" si="169"/>
        <v>0</v>
      </c>
      <c r="FB55" s="1">
        <f t="shared" si="170"/>
        <v>0</v>
      </c>
      <c r="FC55" s="1">
        <f t="shared" si="171"/>
        <v>0.10099701098903999</v>
      </c>
      <c r="FD55" s="1">
        <f t="shared" si="172"/>
        <v>0</v>
      </c>
      <c r="FE55" s="1">
        <f t="shared" si="173"/>
        <v>0.059350736407200004</v>
      </c>
      <c r="FF55" s="1">
        <f t="shared" si="174"/>
        <v>0.059350736407200004</v>
      </c>
      <c r="FG55" s="1">
        <f t="shared" si="175"/>
        <v>0</v>
      </c>
      <c r="FH55" s="1">
        <f t="shared" si="176"/>
        <v>0</v>
      </c>
      <c r="FI55" s="1">
        <f t="shared" si="177"/>
        <v>0</v>
      </c>
      <c r="FJ55" s="1">
        <f t="shared" si="178"/>
        <v>0</v>
      </c>
      <c r="FK55" s="1">
        <f t="shared" si="179"/>
        <v>0</v>
      </c>
      <c r="FL55" s="1">
        <f t="shared" si="180"/>
        <v>0</v>
      </c>
      <c r="FM55" s="1">
        <f t="shared" si="181"/>
        <v>0.0057571153094400015</v>
      </c>
      <c r="FN55" s="1">
        <f t="shared" si="182"/>
        <v>7.46760736344</v>
      </c>
      <c r="FO55" s="1">
        <f>IF(O55=0,0,SUM(EI55:FN55))</f>
        <v>9.132848462564725</v>
      </c>
    </row>
    <row r="56" spans="1:171" ht="12.75">
      <c r="A56" s="33">
        <v>117</v>
      </c>
      <c r="B56" s="41" t="s">
        <v>190</v>
      </c>
      <c r="C56" s="34" t="s">
        <v>191</v>
      </c>
      <c r="D56" s="35" t="s">
        <v>171</v>
      </c>
      <c r="E56" s="35">
        <v>3</v>
      </c>
      <c r="F56" s="35" t="s">
        <v>186</v>
      </c>
      <c r="G56" s="35" t="s">
        <v>74</v>
      </c>
      <c r="H56" s="35" t="s">
        <v>75</v>
      </c>
      <c r="I56" s="35">
        <v>3</v>
      </c>
      <c r="J56" s="35"/>
      <c r="K56" s="26">
        <f t="shared" si="85"/>
        <v>1</v>
      </c>
      <c r="L56" s="26">
        <f t="shared" si="86"/>
        <v>1</v>
      </c>
      <c r="M56" s="33">
        <v>294300</v>
      </c>
      <c r="N56" s="33">
        <v>951300</v>
      </c>
      <c r="O56" s="27">
        <f t="shared" si="87"/>
        <v>100000</v>
      </c>
      <c r="P56" s="30">
        <v>100000</v>
      </c>
      <c r="Q56" s="30">
        <v>106500</v>
      </c>
      <c r="R56" s="30">
        <v>38000</v>
      </c>
      <c r="S56" s="31">
        <v>12500</v>
      </c>
      <c r="T56" s="31">
        <v>0</v>
      </c>
      <c r="U56" s="31">
        <v>0</v>
      </c>
      <c r="V56" s="31">
        <v>0</v>
      </c>
      <c r="W56" s="30">
        <v>56000</v>
      </c>
      <c r="X56" s="31">
        <v>0</v>
      </c>
      <c r="Y56" s="31">
        <v>0</v>
      </c>
      <c r="Z56" s="30">
        <v>0</v>
      </c>
      <c r="AA56" s="31">
        <v>0</v>
      </c>
      <c r="AB56" s="30">
        <v>23000</v>
      </c>
      <c r="AC56" s="30">
        <v>0</v>
      </c>
      <c r="AD56" s="30">
        <v>0</v>
      </c>
      <c r="AE56" s="30">
        <v>28000</v>
      </c>
      <c r="AF56" s="30">
        <v>0</v>
      </c>
      <c r="AG56" s="30">
        <v>0</v>
      </c>
      <c r="AH56" s="30">
        <v>0</v>
      </c>
      <c r="AI56" s="30">
        <v>16000</v>
      </c>
      <c r="AJ56" s="30">
        <v>0</v>
      </c>
      <c r="AK56" s="30">
        <v>0</v>
      </c>
      <c r="AL56" s="30">
        <v>0</v>
      </c>
      <c r="AM56" s="30">
        <v>10000</v>
      </c>
      <c r="AN56" s="31">
        <v>0</v>
      </c>
      <c r="AO56" s="30">
        <v>0</v>
      </c>
      <c r="AP56" s="31">
        <v>0</v>
      </c>
      <c r="AQ56" s="31">
        <v>0</v>
      </c>
      <c r="AR56" s="31">
        <v>0</v>
      </c>
      <c r="AS56" s="31">
        <v>2000</v>
      </c>
      <c r="AT56" s="31">
        <v>0</v>
      </c>
      <c r="AU56" s="30">
        <v>28</v>
      </c>
      <c r="AX56" s="2">
        <f t="shared" si="0"/>
        <v>91960</v>
      </c>
      <c r="AY56" s="32">
        <f t="shared" si="105"/>
        <v>86347.4178403756</v>
      </c>
      <c r="AZ56" s="186">
        <f t="shared" si="106"/>
        <v>0.4365833993075444</v>
      </c>
      <c r="BA56" s="186">
        <f t="shared" si="107"/>
        <v>0.09071934388191041</v>
      </c>
      <c r="BB56" s="186">
        <f t="shared" si="108"/>
        <v>0.2968784773273695</v>
      </c>
      <c r="BC56" s="53">
        <f t="shared" si="88"/>
        <v>100000</v>
      </c>
      <c r="BD56" s="53">
        <f t="shared" si="5"/>
        <v>45739.75754815266</v>
      </c>
      <c r="BE56" s="53">
        <f t="shared" si="6"/>
        <v>9504.440161186776</v>
      </c>
      <c r="BF56" s="53">
        <f t="shared" si="7"/>
        <v>31103.220131036163</v>
      </c>
      <c r="BG56" s="53"/>
      <c r="BH56" s="53">
        <f t="shared" si="89"/>
        <v>5</v>
      </c>
      <c r="BI56" s="53">
        <f t="shared" si="90"/>
        <v>5</v>
      </c>
      <c r="BJ56" s="53">
        <f t="shared" si="91"/>
        <v>3</v>
      </c>
      <c r="BK56" s="53">
        <f t="shared" si="92"/>
        <v>4</v>
      </c>
      <c r="BL56" s="53"/>
      <c r="BM56" s="53">
        <f t="shared" si="93"/>
        <v>2</v>
      </c>
      <c r="BN56" s="53">
        <f t="shared" si="94"/>
        <v>2</v>
      </c>
      <c r="BO56" s="53">
        <f t="shared" si="95"/>
        <v>2</v>
      </c>
      <c r="BP56" s="53">
        <f t="shared" si="96"/>
        <v>0</v>
      </c>
      <c r="BQ56" s="53"/>
      <c r="BR56" s="53">
        <f t="shared" si="97"/>
        <v>6.5</v>
      </c>
      <c r="BS56" s="53">
        <f t="shared" si="98"/>
        <v>34.2</v>
      </c>
      <c r="BT56" s="53">
        <f t="shared" si="99"/>
        <v>11</v>
      </c>
      <c r="BU56" s="53">
        <f t="shared" si="109"/>
        <v>24816</v>
      </c>
      <c r="BV56" s="53"/>
      <c r="BW56" s="53">
        <f t="shared" si="183"/>
        <v>15600</v>
      </c>
      <c r="BX56" s="53">
        <f t="shared" si="101"/>
        <v>-21036</v>
      </c>
      <c r="BY56" s="53">
        <f t="shared" si="110"/>
        <v>-18814.91095745311</v>
      </c>
      <c r="BZ56" s="240">
        <f t="shared" si="102"/>
        <v>5.791300000000001</v>
      </c>
      <c r="CC56" s="1">
        <f t="shared" si="111"/>
        <v>0</v>
      </c>
      <c r="CD56" s="195">
        <f t="shared" si="112"/>
        <v>5746.4</v>
      </c>
      <c r="CE56" s="195">
        <f t="shared" si="113"/>
        <v>5746.4</v>
      </c>
      <c r="CF56" s="239">
        <f t="shared" si="114"/>
        <v>2.9</v>
      </c>
      <c r="CG56" s="239">
        <f t="shared" si="114"/>
        <v>19.92</v>
      </c>
      <c r="CH56" s="1">
        <f t="shared" si="103"/>
        <v>9561.6</v>
      </c>
      <c r="CK56" s="211">
        <f t="shared" si="115"/>
        <v>0</v>
      </c>
      <c r="CL56" s="211">
        <f t="shared" si="116"/>
        <v>0</v>
      </c>
      <c r="CM56" s="211">
        <f t="shared" si="117"/>
        <v>0</v>
      </c>
      <c r="CQ56" s="1">
        <f t="shared" si="104"/>
        <v>1</v>
      </c>
      <c r="CR56" s="195">
        <f t="shared" si="17"/>
        <v>10000</v>
      </c>
      <c r="CS56" s="195"/>
      <c r="CT56" s="195"/>
      <c r="CV56" s="199">
        <f t="shared" si="118"/>
        <v>54.10293964307198</v>
      </c>
      <c r="CW56" s="199">
        <f t="shared" si="119"/>
        <v>11.411429717264888</v>
      </c>
      <c r="CX56" s="199">
        <f t="shared" si="120"/>
        <v>24.607980749949867</v>
      </c>
      <c r="CY56" s="199">
        <f t="shared" si="121"/>
        <v>0</v>
      </c>
      <c r="CZ56" s="199">
        <f t="shared" si="122"/>
        <v>0</v>
      </c>
      <c r="DA56" s="199">
        <f t="shared" si="123"/>
        <v>0</v>
      </c>
      <c r="DB56" s="199">
        <f t="shared" si="124"/>
        <v>14.574597954682172</v>
      </c>
      <c r="DC56" s="199">
        <f t="shared" si="125"/>
        <v>0</v>
      </c>
      <c r="DD56" s="199">
        <f t="shared" si="126"/>
        <v>0</v>
      </c>
      <c r="DE56" s="199">
        <f t="shared" si="127"/>
        <v>0</v>
      </c>
      <c r="DF56" s="199">
        <f t="shared" si="128"/>
        <v>0</v>
      </c>
      <c r="DG56" s="199">
        <f t="shared" si="129"/>
        <v>30.505554441548025</v>
      </c>
      <c r="DH56" s="199">
        <f t="shared" si="130"/>
        <v>0</v>
      </c>
      <c r="DI56" s="199">
        <f t="shared" si="131"/>
        <v>0</v>
      </c>
      <c r="DJ56" s="199">
        <f t="shared" si="132"/>
        <v>3.8258319631040703</v>
      </c>
      <c r="DK56" s="199">
        <f t="shared" si="133"/>
        <v>0</v>
      </c>
      <c r="DL56" s="199">
        <f t="shared" si="134"/>
        <v>0</v>
      </c>
      <c r="DM56" s="199">
        <f t="shared" si="135"/>
        <v>0</v>
      </c>
      <c r="DN56" s="199">
        <f t="shared" si="136"/>
        <v>2.1861896932023255</v>
      </c>
      <c r="DO56" s="199">
        <f t="shared" si="137"/>
        <v>0</v>
      </c>
      <c r="DP56" s="199">
        <f t="shared" si="138"/>
        <v>0</v>
      </c>
      <c r="DQ56" s="199">
        <f t="shared" si="139"/>
        <v>0</v>
      </c>
      <c r="DR56" s="199">
        <f t="shared" si="140"/>
        <v>1.5015039101664327</v>
      </c>
      <c r="DS56" s="199">
        <f t="shared" si="141"/>
        <v>0</v>
      </c>
      <c r="DT56" s="199">
        <f t="shared" si="142"/>
        <v>0</v>
      </c>
      <c r="DU56" s="199">
        <f t="shared" si="143"/>
        <v>0</v>
      </c>
      <c r="DV56" s="199">
        <f t="shared" si="144"/>
        <v>0</v>
      </c>
      <c r="DW56" s="199">
        <f t="shared" si="145"/>
        <v>0</v>
      </c>
      <c r="DX56" s="199">
        <f t="shared" si="146"/>
        <v>0.12946300380990575</v>
      </c>
      <c r="DY56" s="199">
        <f t="shared" si="147"/>
        <v>0</v>
      </c>
      <c r="DZ56" s="199">
        <f t="shared" si="148"/>
        <v>0.00181248205333868</v>
      </c>
      <c r="EA56" s="199">
        <f t="shared" si="149"/>
        <v>50.131714401104844</v>
      </c>
      <c r="EB56" s="199">
        <f t="shared" si="150"/>
        <v>5.844739865434166</v>
      </c>
      <c r="EC56" s="202">
        <f t="shared" si="51"/>
        <v>198.82375782539202</v>
      </c>
      <c r="ED56" s="202">
        <f>SUM(CV56:DI56,DS56:DT56,DW56,DY56,EA56:EB56)</f>
        <v>191.17895677305597</v>
      </c>
      <c r="EE56" s="203">
        <f t="shared" si="52"/>
        <v>31.646403275358473</v>
      </c>
      <c r="EF56" s="199"/>
      <c r="EI56" s="1">
        <f t="shared" si="151"/>
        <v>0.5699766927982697</v>
      </c>
      <c r="EJ56" s="1">
        <f t="shared" si="152"/>
        <v>0.010606863429336002</v>
      </c>
      <c r="EK56" s="1">
        <f t="shared" si="153"/>
        <v>0.24682268761392</v>
      </c>
      <c r="EL56" s="1">
        <f t="shared" si="154"/>
        <v>0</v>
      </c>
      <c r="EM56" s="1">
        <f t="shared" si="155"/>
        <v>0</v>
      </c>
      <c r="EN56" s="1">
        <f t="shared" si="156"/>
        <v>0</v>
      </c>
      <c r="EO56" s="1">
        <f t="shared" si="157"/>
        <v>0.2644897670328</v>
      </c>
      <c r="EP56" s="1">
        <f t="shared" si="158"/>
        <v>0</v>
      </c>
      <c r="EQ56" s="1">
        <f t="shared" si="159"/>
        <v>0</v>
      </c>
      <c r="ER56" s="1">
        <f t="shared" si="160"/>
        <v>0</v>
      </c>
      <c r="ES56" s="1">
        <f t="shared" si="161"/>
        <v>0</v>
      </c>
      <c r="ET56" s="1">
        <f t="shared" si="162"/>
        <v>0.14589546715944002</v>
      </c>
      <c r="EU56" s="1">
        <f t="shared" si="163"/>
        <v>0</v>
      </c>
      <c r="EV56" s="1">
        <f t="shared" si="164"/>
        <v>0</v>
      </c>
      <c r="EW56" s="1">
        <f t="shared" si="165"/>
        <v>0.059350736407200004</v>
      </c>
      <c r="EX56" s="1">
        <f t="shared" si="166"/>
        <v>0</v>
      </c>
      <c r="EY56" s="1">
        <f t="shared" si="167"/>
        <v>0</v>
      </c>
      <c r="EZ56" s="1">
        <f t="shared" si="168"/>
        <v>0</v>
      </c>
      <c r="FA56" s="1">
        <f t="shared" si="169"/>
        <v>0.059350736407200004</v>
      </c>
      <c r="FB56" s="1">
        <f t="shared" si="170"/>
        <v>0</v>
      </c>
      <c r="FC56" s="1">
        <f t="shared" si="171"/>
        <v>0</v>
      </c>
      <c r="FD56" s="1">
        <f t="shared" si="172"/>
        <v>0</v>
      </c>
      <c r="FE56" s="1">
        <f t="shared" si="173"/>
        <v>0.059350736407200004</v>
      </c>
      <c r="FF56" s="1">
        <f t="shared" si="174"/>
        <v>0</v>
      </c>
      <c r="FG56" s="1">
        <f t="shared" si="175"/>
        <v>0</v>
      </c>
      <c r="FH56" s="1">
        <f t="shared" si="176"/>
        <v>0</v>
      </c>
      <c r="FI56" s="1">
        <f t="shared" si="177"/>
        <v>0</v>
      </c>
      <c r="FJ56" s="1">
        <f t="shared" si="178"/>
        <v>0</v>
      </c>
      <c r="FK56" s="1">
        <f t="shared" si="179"/>
        <v>0</v>
      </c>
      <c r="FL56" s="1">
        <f t="shared" si="180"/>
        <v>0</v>
      </c>
      <c r="FM56" s="1">
        <f t="shared" si="181"/>
        <v>0.0034234991863440005</v>
      </c>
      <c r="FN56" s="1">
        <f t="shared" si="182"/>
        <v>7.46760736344</v>
      </c>
      <c r="FO56" s="1">
        <f>IF(O56=0,0,SUM(EI56:FN56))</f>
        <v>8.886874549881709</v>
      </c>
    </row>
    <row r="57" spans="1:171" ht="12.75">
      <c r="A57" s="33">
        <v>118</v>
      </c>
      <c r="B57" s="34" t="s">
        <v>192</v>
      </c>
      <c r="C57" s="34" t="s">
        <v>193</v>
      </c>
      <c r="D57" s="35" t="s">
        <v>171</v>
      </c>
      <c r="E57" s="35">
        <v>3</v>
      </c>
      <c r="F57" s="35" t="s">
        <v>186</v>
      </c>
      <c r="G57" s="35" t="s">
        <v>74</v>
      </c>
      <c r="H57" s="35" t="s">
        <v>75</v>
      </c>
      <c r="I57" s="35">
        <v>3</v>
      </c>
      <c r="J57" s="35"/>
      <c r="K57" s="26">
        <f t="shared" si="85"/>
        <v>1</v>
      </c>
      <c r="L57" s="26">
        <f t="shared" si="86"/>
        <v>1</v>
      </c>
      <c r="M57" s="33">
        <v>294422</v>
      </c>
      <c r="N57" s="33">
        <v>950025</v>
      </c>
      <c r="O57" s="27">
        <f t="shared" si="87"/>
        <v>562500</v>
      </c>
      <c r="P57" s="30">
        <v>562500</v>
      </c>
      <c r="Q57" s="30">
        <v>586000</v>
      </c>
      <c r="R57" s="30">
        <v>282000</v>
      </c>
      <c r="S57" s="31">
        <v>46500</v>
      </c>
      <c r="T57" s="31">
        <v>42000</v>
      </c>
      <c r="U57" s="31">
        <v>0</v>
      </c>
      <c r="V57" s="31">
        <v>0</v>
      </c>
      <c r="W57" s="30">
        <v>213000</v>
      </c>
      <c r="X57" s="31">
        <v>8000</v>
      </c>
      <c r="Y57" s="31">
        <v>28000</v>
      </c>
      <c r="Z57" s="30">
        <v>0</v>
      </c>
      <c r="AA57" s="31">
        <v>0</v>
      </c>
      <c r="AB57" s="30">
        <v>126000</v>
      </c>
      <c r="AC57" s="30">
        <v>0</v>
      </c>
      <c r="AD57" s="30">
        <v>48500</v>
      </c>
      <c r="AE57" s="30">
        <v>157000</v>
      </c>
      <c r="AF57" s="30">
        <v>80000</v>
      </c>
      <c r="AG57" s="30">
        <v>34000</v>
      </c>
      <c r="AH57" s="30">
        <v>0</v>
      </c>
      <c r="AI57" s="30">
        <v>198000</v>
      </c>
      <c r="AJ57" s="30">
        <v>0</v>
      </c>
      <c r="AK57" s="30">
        <v>110000</v>
      </c>
      <c r="AL57" s="30">
        <v>165800</v>
      </c>
      <c r="AM57" s="30">
        <v>35500</v>
      </c>
      <c r="AN57" s="31">
        <v>0</v>
      </c>
      <c r="AO57" s="30">
        <v>0</v>
      </c>
      <c r="AP57" s="31">
        <v>0</v>
      </c>
      <c r="AQ57" s="31">
        <v>0</v>
      </c>
      <c r="AR57" s="31">
        <v>21800</v>
      </c>
      <c r="AS57" s="31">
        <v>19755</v>
      </c>
      <c r="AT57" s="31">
        <v>0</v>
      </c>
      <c r="AU57" s="30">
        <v>1796</v>
      </c>
      <c r="AX57" s="2">
        <f t="shared" si="0"/>
        <v>479111.6</v>
      </c>
      <c r="AY57" s="32">
        <f t="shared" si="105"/>
        <v>459898.0802047781</v>
      </c>
      <c r="AZ57" s="186">
        <f t="shared" si="106"/>
        <v>0.4365833993075444</v>
      </c>
      <c r="BA57" s="186">
        <f t="shared" si="107"/>
        <v>0.09071934388191041</v>
      </c>
      <c r="BB57" s="186">
        <f t="shared" si="108"/>
        <v>0.2968784773273695</v>
      </c>
      <c r="BC57" s="53">
        <f t="shared" si="88"/>
        <v>562500</v>
      </c>
      <c r="BD57" s="53">
        <f t="shared" si="5"/>
        <v>243616.1637666398</v>
      </c>
      <c r="BE57" s="53">
        <f t="shared" si="6"/>
        <v>50621.939750780824</v>
      </c>
      <c r="BF57" s="53">
        <f t="shared" si="7"/>
        <v>165659.9766873575</v>
      </c>
      <c r="BG57" s="53"/>
      <c r="BH57" s="53">
        <f t="shared" si="89"/>
        <v>20</v>
      </c>
      <c r="BI57" s="53">
        <f t="shared" si="90"/>
        <v>15</v>
      </c>
      <c r="BJ57" s="53">
        <f t="shared" si="91"/>
        <v>8</v>
      </c>
      <c r="BK57" s="53">
        <f t="shared" si="92"/>
        <v>13</v>
      </c>
      <c r="BL57" s="53"/>
      <c r="BM57" s="53">
        <f t="shared" si="93"/>
        <v>8</v>
      </c>
      <c r="BN57" s="53">
        <f t="shared" si="94"/>
        <v>6</v>
      </c>
      <c r="BO57" s="53">
        <f t="shared" si="95"/>
        <v>4</v>
      </c>
      <c r="BP57" s="53">
        <f t="shared" si="96"/>
        <v>0</v>
      </c>
      <c r="BQ57" s="53"/>
      <c r="BR57" s="53">
        <f t="shared" si="97"/>
        <v>26</v>
      </c>
      <c r="BS57" s="53">
        <f t="shared" si="98"/>
        <v>102.60000000000001</v>
      </c>
      <c r="BT57" s="53">
        <f t="shared" si="99"/>
        <v>22</v>
      </c>
      <c r="BU57" s="53">
        <f t="shared" si="109"/>
        <v>72288.00000000001</v>
      </c>
      <c r="BV57" s="53"/>
      <c r="BW57" s="53">
        <f t="shared" si="183"/>
        <v>46800</v>
      </c>
      <c r="BX57" s="53">
        <f t="shared" si="101"/>
        <v>-60948.000000000015</v>
      </c>
      <c r="BY57" s="53">
        <f t="shared" si="110"/>
        <v>-54284.732872359345</v>
      </c>
      <c r="BZ57" s="240">
        <f t="shared" si="102"/>
        <v>16.4674</v>
      </c>
      <c r="CC57" s="1">
        <f t="shared" si="111"/>
        <v>0</v>
      </c>
      <c r="CD57" s="195">
        <f t="shared" si="112"/>
        <v>8619.599999999999</v>
      </c>
      <c r="CE57" s="195">
        <f t="shared" si="113"/>
        <v>8619.599999999999</v>
      </c>
      <c r="CF57" s="239">
        <f t="shared" si="114"/>
        <v>4.35</v>
      </c>
      <c r="CG57" s="239">
        <f t="shared" si="114"/>
        <v>29.880000000000003</v>
      </c>
      <c r="CH57" s="1">
        <f t="shared" si="103"/>
        <v>14342.400000000001</v>
      </c>
      <c r="CK57" s="211">
        <f t="shared" si="115"/>
        <v>0</v>
      </c>
      <c r="CL57" s="211">
        <f t="shared" si="116"/>
        <v>0</v>
      </c>
      <c r="CM57" s="211">
        <f t="shared" si="117"/>
        <v>0</v>
      </c>
      <c r="CQ57" s="1">
        <f t="shared" si="104"/>
        <v>1</v>
      </c>
      <c r="CR57" s="195">
        <f t="shared" si="17"/>
        <v>10000</v>
      </c>
      <c r="CS57" s="195"/>
      <c r="CT57" s="195"/>
      <c r="CV57" s="199">
        <f t="shared" si="118"/>
        <v>297.69317024263086</v>
      </c>
      <c r="CW57" s="199">
        <f t="shared" si="119"/>
        <v>84.6848205333868</v>
      </c>
      <c r="CX57" s="199">
        <f t="shared" si="120"/>
        <v>91.54168838981352</v>
      </c>
      <c r="CY57" s="199">
        <f t="shared" si="121"/>
        <v>82.68281531983156</v>
      </c>
      <c r="CZ57" s="199">
        <f t="shared" si="122"/>
        <v>0</v>
      </c>
      <c r="DA57" s="199">
        <f t="shared" si="123"/>
        <v>0</v>
      </c>
      <c r="DB57" s="199">
        <f t="shared" si="124"/>
        <v>55.43552436334469</v>
      </c>
      <c r="DC57" s="199">
        <f t="shared" si="125"/>
        <v>2.082085422097453</v>
      </c>
      <c r="DD57" s="199">
        <f t="shared" si="126"/>
        <v>8.501848806897934</v>
      </c>
      <c r="DE57" s="199">
        <f t="shared" si="127"/>
        <v>0</v>
      </c>
      <c r="DF57" s="199">
        <f t="shared" si="128"/>
        <v>0</v>
      </c>
      <c r="DG57" s="199">
        <f t="shared" si="129"/>
        <v>167.11738520152397</v>
      </c>
      <c r="DH57" s="199">
        <f t="shared" si="130"/>
        <v>0</v>
      </c>
      <c r="DI57" s="199">
        <f t="shared" si="131"/>
        <v>139.17272909564866</v>
      </c>
      <c r="DJ57" s="199">
        <f t="shared" si="132"/>
        <v>21.45198636454782</v>
      </c>
      <c r="DK57" s="199">
        <f t="shared" si="133"/>
        <v>10.930948466011628</v>
      </c>
      <c r="DL57" s="199">
        <f t="shared" si="134"/>
        <v>4.645653098054943</v>
      </c>
      <c r="DM57" s="199">
        <f t="shared" si="135"/>
        <v>0</v>
      </c>
      <c r="DN57" s="199">
        <f t="shared" si="136"/>
        <v>27.05409745337878</v>
      </c>
      <c r="DO57" s="199">
        <f t="shared" si="137"/>
        <v>0</v>
      </c>
      <c r="DP57" s="199">
        <f t="shared" si="138"/>
        <v>15.03005414076599</v>
      </c>
      <c r="DQ57" s="199">
        <f t="shared" si="139"/>
        <v>22.6543906958091</v>
      </c>
      <c r="DR57" s="199">
        <f t="shared" si="140"/>
        <v>5.330338881090836</v>
      </c>
      <c r="DS57" s="199">
        <f t="shared" si="141"/>
        <v>0</v>
      </c>
      <c r="DT57" s="199">
        <f t="shared" si="142"/>
        <v>0</v>
      </c>
      <c r="DU57" s="199">
        <f t="shared" si="143"/>
        <v>0</v>
      </c>
      <c r="DV57" s="199">
        <f t="shared" si="144"/>
        <v>0</v>
      </c>
      <c r="DW57" s="199">
        <f t="shared" si="145"/>
        <v>18.18488068979346</v>
      </c>
      <c r="DX57" s="199">
        <f t="shared" si="146"/>
        <v>1.278770820132344</v>
      </c>
      <c r="DY57" s="199">
        <f t="shared" si="147"/>
        <v>0</v>
      </c>
      <c r="DZ57" s="199">
        <f t="shared" si="148"/>
        <v>0.11625777742129535</v>
      </c>
      <c r="EA57" s="199">
        <f t="shared" si="149"/>
        <v>267.00832273946384</v>
      </c>
      <c r="EB57" s="199">
        <f t="shared" si="150"/>
        <v>32.06725849474846</v>
      </c>
      <c r="EC57" s="202">
        <f t="shared" si="51"/>
        <v>1354.665026996394</v>
      </c>
      <c r="ED57" s="202">
        <f>SUM(CV57:DI57,DS57:DT57,DW57,DY57,EA57:EB57)</f>
        <v>1246.1725292991812</v>
      </c>
      <c r="EE57" s="203">
        <f t="shared" si="52"/>
        <v>206.28252752571478</v>
      </c>
      <c r="EF57" s="199"/>
      <c r="EI57" s="1">
        <f t="shared" si="151"/>
        <v>0.5699766927982697</v>
      </c>
      <c r="EJ57" s="1">
        <f t="shared" si="152"/>
        <v>0.010606863429336002</v>
      </c>
      <c r="EK57" s="1">
        <f t="shared" si="153"/>
        <v>0.24682268761392</v>
      </c>
      <c r="EL57" s="1">
        <f t="shared" si="154"/>
        <v>0.24682268761392</v>
      </c>
      <c r="EM57" s="1">
        <f t="shared" si="155"/>
        <v>0</v>
      </c>
      <c r="EN57" s="1">
        <f t="shared" si="156"/>
        <v>0</v>
      </c>
      <c r="EO57" s="1">
        <f t="shared" si="157"/>
        <v>0.2644897670328</v>
      </c>
      <c r="EP57" s="1">
        <f t="shared" si="158"/>
        <v>0</v>
      </c>
      <c r="EQ57" s="1">
        <f t="shared" si="159"/>
        <v>0.21621849683808003</v>
      </c>
      <c r="ER57" s="1">
        <f t="shared" si="160"/>
        <v>0</v>
      </c>
      <c r="ES57" s="1">
        <f t="shared" si="161"/>
        <v>0</v>
      </c>
      <c r="ET57" s="1">
        <f t="shared" si="162"/>
        <v>0.14589546715944002</v>
      </c>
      <c r="EU57" s="1">
        <f t="shared" si="163"/>
        <v>0</v>
      </c>
      <c r="EV57" s="1">
        <f t="shared" si="164"/>
        <v>0</v>
      </c>
      <c r="EW57" s="1">
        <f t="shared" si="165"/>
        <v>0.10099701098903999</v>
      </c>
      <c r="EX57" s="1">
        <f t="shared" si="166"/>
        <v>0.10099701098903999</v>
      </c>
      <c r="EY57" s="1">
        <f t="shared" si="167"/>
        <v>0.059350736407200004</v>
      </c>
      <c r="EZ57" s="1">
        <f t="shared" si="168"/>
        <v>0</v>
      </c>
      <c r="FA57" s="1">
        <f t="shared" si="169"/>
        <v>0.10099701098903999</v>
      </c>
      <c r="FB57" s="1">
        <f t="shared" si="170"/>
        <v>0</v>
      </c>
      <c r="FC57" s="1">
        <f t="shared" si="171"/>
        <v>0.10099701098903999</v>
      </c>
      <c r="FD57" s="1">
        <f t="shared" si="172"/>
        <v>0.10099701098903999</v>
      </c>
      <c r="FE57" s="1">
        <f t="shared" si="173"/>
        <v>0.10099701098903999</v>
      </c>
      <c r="FF57" s="1">
        <f t="shared" si="174"/>
        <v>0</v>
      </c>
      <c r="FG57" s="1">
        <f t="shared" si="175"/>
        <v>0</v>
      </c>
      <c r="FH57" s="1">
        <f t="shared" si="176"/>
        <v>0</v>
      </c>
      <c r="FI57" s="1">
        <f t="shared" si="177"/>
        <v>0</v>
      </c>
      <c r="FJ57" s="1">
        <f t="shared" si="178"/>
        <v>0</v>
      </c>
      <c r="FK57" s="1">
        <f t="shared" si="179"/>
        <v>0</v>
      </c>
      <c r="FL57" s="1">
        <f t="shared" si="180"/>
        <v>0</v>
      </c>
      <c r="FM57" s="1">
        <f t="shared" si="181"/>
        <v>0.0057571153094400015</v>
      </c>
      <c r="FN57" s="1">
        <f t="shared" si="182"/>
        <v>7.46760736344</v>
      </c>
      <c r="FO57" s="1">
        <f>IF(O57=0,0,SUM(EI57:FN57))</f>
        <v>9.839529943576645</v>
      </c>
    </row>
    <row r="58" spans="1:171" ht="12.75">
      <c r="A58" s="33">
        <v>119</v>
      </c>
      <c r="B58" s="34" t="s">
        <v>115</v>
      </c>
      <c r="C58" s="34" t="s">
        <v>194</v>
      </c>
      <c r="D58" s="35" t="s">
        <v>171</v>
      </c>
      <c r="E58" s="35">
        <v>3</v>
      </c>
      <c r="F58" s="35" t="s">
        <v>186</v>
      </c>
      <c r="G58" s="35" t="s">
        <v>74</v>
      </c>
      <c r="H58" s="35" t="s">
        <v>75</v>
      </c>
      <c r="I58" s="35">
        <v>3</v>
      </c>
      <c r="J58" s="35"/>
      <c r="K58" s="26">
        <f t="shared" si="85"/>
        <v>1</v>
      </c>
      <c r="L58" s="26">
        <f t="shared" si="86"/>
        <v>1</v>
      </c>
      <c r="M58" s="33">
        <v>300350</v>
      </c>
      <c r="N58" s="33">
        <v>940413</v>
      </c>
      <c r="O58" s="27">
        <f t="shared" si="87"/>
        <v>348500</v>
      </c>
      <c r="P58" s="30">
        <v>348500</v>
      </c>
      <c r="Q58" s="30">
        <v>363100</v>
      </c>
      <c r="R58" s="30">
        <v>148800</v>
      </c>
      <c r="S58" s="31">
        <v>50700</v>
      </c>
      <c r="T58" s="31">
        <v>0</v>
      </c>
      <c r="U58" s="31">
        <v>0</v>
      </c>
      <c r="V58" s="31">
        <v>0</v>
      </c>
      <c r="W58" s="30">
        <v>117700</v>
      </c>
      <c r="X58" s="31">
        <v>0</v>
      </c>
      <c r="Y58" s="31">
        <v>66600</v>
      </c>
      <c r="Z58" s="30">
        <v>0</v>
      </c>
      <c r="AA58" s="31">
        <v>0</v>
      </c>
      <c r="AB58" s="30">
        <v>155000</v>
      </c>
      <c r="AC58" s="30">
        <v>0</v>
      </c>
      <c r="AD58" s="30">
        <v>0</v>
      </c>
      <c r="AE58" s="30">
        <v>161700</v>
      </c>
      <c r="AF58" s="30">
        <v>25000</v>
      </c>
      <c r="AG58" s="30">
        <v>52500</v>
      </c>
      <c r="AH58" s="30">
        <v>30500</v>
      </c>
      <c r="AI58" s="30">
        <v>0</v>
      </c>
      <c r="AJ58" s="30">
        <v>0</v>
      </c>
      <c r="AK58" s="30">
        <v>0</v>
      </c>
      <c r="AL58" s="30">
        <v>38500</v>
      </c>
      <c r="AM58" s="30">
        <v>16300</v>
      </c>
      <c r="AN58" s="31">
        <v>0</v>
      </c>
      <c r="AO58" s="30">
        <v>0</v>
      </c>
      <c r="AP58" s="31">
        <v>11200</v>
      </c>
      <c r="AQ58" s="31">
        <v>25800</v>
      </c>
      <c r="AR58" s="31">
        <v>12500</v>
      </c>
      <c r="AS58" s="31">
        <v>15885</v>
      </c>
      <c r="AT58" s="31">
        <v>55</v>
      </c>
      <c r="AU58" s="30">
        <v>636</v>
      </c>
      <c r="AX58" s="2">
        <f t="shared" si="0"/>
        <v>294549.2</v>
      </c>
      <c r="AY58" s="32">
        <f t="shared" si="105"/>
        <v>282705.5802809144</v>
      </c>
      <c r="AZ58" s="186">
        <f t="shared" si="106"/>
        <v>0.4365833993075444</v>
      </c>
      <c r="BA58" s="186">
        <f t="shared" si="107"/>
        <v>0.09071934388191041</v>
      </c>
      <c r="BB58" s="186">
        <f t="shared" si="108"/>
        <v>0.2968784773273695</v>
      </c>
      <c r="BC58" s="53">
        <f t="shared" si="88"/>
        <v>348500</v>
      </c>
      <c r="BD58" s="53">
        <f t="shared" si="5"/>
        <v>149754.15620954928</v>
      </c>
      <c r="BE58" s="53">
        <f t="shared" si="6"/>
        <v>31117.992155604767</v>
      </c>
      <c r="BF58" s="53">
        <f t="shared" si="7"/>
        <v>101833.43191576033</v>
      </c>
      <c r="BG58" s="53"/>
      <c r="BH58" s="53">
        <f t="shared" si="89"/>
        <v>13</v>
      </c>
      <c r="BI58" s="53">
        <f t="shared" si="90"/>
        <v>10</v>
      </c>
      <c r="BJ58" s="53">
        <f t="shared" si="91"/>
        <v>6</v>
      </c>
      <c r="BK58" s="53">
        <f t="shared" si="92"/>
        <v>8</v>
      </c>
      <c r="BL58" s="53"/>
      <c r="BM58" s="53">
        <f t="shared" si="93"/>
        <v>6</v>
      </c>
      <c r="BN58" s="53">
        <f t="shared" si="94"/>
        <v>4</v>
      </c>
      <c r="BO58" s="53">
        <f t="shared" si="95"/>
        <v>3</v>
      </c>
      <c r="BP58" s="53">
        <f t="shared" si="96"/>
        <v>0</v>
      </c>
      <c r="BQ58" s="53"/>
      <c r="BR58" s="53">
        <f t="shared" si="97"/>
        <v>19.5</v>
      </c>
      <c r="BS58" s="53">
        <f t="shared" si="98"/>
        <v>68.4</v>
      </c>
      <c r="BT58" s="53">
        <f t="shared" si="99"/>
        <v>16.5</v>
      </c>
      <c r="BU58" s="53">
        <f t="shared" si="109"/>
        <v>50112</v>
      </c>
      <c r="BV58" s="53"/>
      <c r="BW58" s="53">
        <f t="shared" si="183"/>
        <v>33800</v>
      </c>
      <c r="BX58" s="53">
        <f t="shared" si="101"/>
        <v>-41922</v>
      </c>
      <c r="BY58" s="53">
        <f t="shared" si="110"/>
        <v>-37109.64040781507</v>
      </c>
      <c r="BZ58" s="240">
        <f t="shared" si="102"/>
        <v>11.418600000000001</v>
      </c>
      <c r="CC58" s="1">
        <f t="shared" si="111"/>
        <v>0</v>
      </c>
      <c r="CD58" s="195">
        <f t="shared" si="112"/>
        <v>8619.599999999999</v>
      </c>
      <c r="CE58" s="195">
        <f t="shared" si="113"/>
        <v>8619.599999999999</v>
      </c>
      <c r="CF58" s="239">
        <f t="shared" si="114"/>
        <v>4.35</v>
      </c>
      <c r="CG58" s="239">
        <f t="shared" si="114"/>
        <v>29.880000000000003</v>
      </c>
      <c r="CH58" s="1">
        <f t="shared" si="103"/>
        <v>14342.400000000001</v>
      </c>
      <c r="CK58" s="211">
        <f t="shared" si="115"/>
        <v>0</v>
      </c>
      <c r="CL58" s="211">
        <f t="shared" si="116"/>
        <v>0</v>
      </c>
      <c r="CM58" s="211">
        <f t="shared" si="117"/>
        <v>0</v>
      </c>
      <c r="CQ58" s="1">
        <f t="shared" si="104"/>
        <v>1</v>
      </c>
      <c r="CR58" s="195">
        <f t="shared" si="17"/>
        <v>10000</v>
      </c>
      <c r="CS58" s="195"/>
      <c r="CT58" s="195"/>
      <c r="CV58" s="199">
        <f t="shared" si="118"/>
        <v>184.45800360938438</v>
      </c>
      <c r="CW58" s="199">
        <f t="shared" si="119"/>
        <v>44.68475636655303</v>
      </c>
      <c r="CX58" s="199">
        <f t="shared" si="120"/>
        <v>99.80996992179666</v>
      </c>
      <c r="CY58" s="199">
        <f t="shared" si="121"/>
        <v>0</v>
      </c>
      <c r="CZ58" s="199">
        <f t="shared" si="122"/>
        <v>0</v>
      </c>
      <c r="DA58" s="199">
        <f t="shared" si="123"/>
        <v>0</v>
      </c>
      <c r="DB58" s="199">
        <f t="shared" si="124"/>
        <v>30.63268177260878</v>
      </c>
      <c r="DC58" s="199">
        <f t="shared" si="125"/>
        <v>0</v>
      </c>
      <c r="DD58" s="199">
        <f t="shared" si="126"/>
        <v>20.222254662121514</v>
      </c>
      <c r="DE58" s="199">
        <f t="shared" si="127"/>
        <v>0</v>
      </c>
      <c r="DF58" s="199">
        <f t="shared" si="128"/>
        <v>0</v>
      </c>
      <c r="DG58" s="199">
        <f t="shared" si="129"/>
        <v>205.58091036695407</v>
      </c>
      <c r="DH58" s="199">
        <f t="shared" si="130"/>
        <v>0</v>
      </c>
      <c r="DI58" s="199">
        <f t="shared" si="131"/>
        <v>0</v>
      </c>
      <c r="DJ58" s="199">
        <f t="shared" si="132"/>
        <v>22.094179586926007</v>
      </c>
      <c r="DK58" s="199">
        <f t="shared" si="133"/>
        <v>3.415921395628634</v>
      </c>
      <c r="DL58" s="199">
        <f t="shared" si="134"/>
        <v>7.1734349308201315</v>
      </c>
      <c r="DM58" s="199">
        <f t="shared" si="135"/>
        <v>4.167424102666933</v>
      </c>
      <c r="DN58" s="199">
        <f t="shared" si="136"/>
        <v>0</v>
      </c>
      <c r="DO58" s="199">
        <f t="shared" si="137"/>
        <v>0</v>
      </c>
      <c r="DP58" s="199">
        <f t="shared" si="138"/>
        <v>0</v>
      </c>
      <c r="DQ58" s="199">
        <f t="shared" si="139"/>
        <v>5.260518949268096</v>
      </c>
      <c r="DR58" s="199">
        <f t="shared" si="140"/>
        <v>2.447451373571285</v>
      </c>
      <c r="DS58" s="199">
        <f t="shared" si="141"/>
        <v>0</v>
      </c>
      <c r="DT58" s="199">
        <f t="shared" si="142"/>
        <v>0</v>
      </c>
      <c r="DU58" s="199">
        <f t="shared" si="143"/>
        <v>0.0032699418488068978</v>
      </c>
      <c r="DV58" s="199">
        <f t="shared" si="144"/>
        <v>0.007532544616001603</v>
      </c>
      <c r="DW58" s="199">
        <f t="shared" si="145"/>
        <v>10.427110487266892</v>
      </c>
      <c r="DX58" s="199">
        <f t="shared" si="146"/>
        <v>1.0282599077601764</v>
      </c>
      <c r="DY58" s="199">
        <f t="shared" si="147"/>
        <v>2.2756125927411266</v>
      </c>
      <c r="DZ58" s="199">
        <f t="shared" si="148"/>
        <v>0.04116923521155003</v>
      </c>
      <c r="EA58" s="199">
        <f t="shared" si="149"/>
        <v>164.1336332308298</v>
      </c>
      <c r="EB58" s="199">
        <f t="shared" si="150"/>
        <v>19.797604179911673</v>
      </c>
      <c r="EC58" s="202">
        <f t="shared" si="51"/>
        <v>827.6616991584855</v>
      </c>
      <c r="ED58" s="202">
        <f>SUM(CV58:DI58,DS58:DT58,DW58,DY58,EA58:EB58)</f>
        <v>782.0225371901679</v>
      </c>
      <c r="EE58" s="203">
        <f t="shared" si="52"/>
        <v>129.4504426641321</v>
      </c>
      <c r="EF58" s="199"/>
      <c r="EI58" s="1">
        <f t="shared" si="151"/>
        <v>0.5699766927982697</v>
      </c>
      <c r="EJ58" s="1">
        <f t="shared" si="152"/>
        <v>0.010606863429336002</v>
      </c>
      <c r="EK58" s="1">
        <f t="shared" si="153"/>
        <v>0.24682268761392</v>
      </c>
      <c r="EL58" s="1">
        <f t="shared" si="154"/>
        <v>0</v>
      </c>
      <c r="EM58" s="1">
        <f t="shared" si="155"/>
        <v>0</v>
      </c>
      <c r="EN58" s="1">
        <f t="shared" si="156"/>
        <v>0</v>
      </c>
      <c r="EO58" s="1">
        <f t="shared" si="157"/>
        <v>0.2644897670328</v>
      </c>
      <c r="EP58" s="1">
        <f t="shared" si="158"/>
        <v>0</v>
      </c>
      <c r="EQ58" s="1">
        <f t="shared" si="159"/>
        <v>0.21621849683808003</v>
      </c>
      <c r="ER58" s="1">
        <f t="shared" si="160"/>
        <v>0</v>
      </c>
      <c r="ES58" s="1">
        <f t="shared" si="161"/>
        <v>0</v>
      </c>
      <c r="ET58" s="1">
        <f t="shared" si="162"/>
        <v>0.14589546715944002</v>
      </c>
      <c r="EU58" s="1">
        <f t="shared" si="163"/>
        <v>0</v>
      </c>
      <c r="EV58" s="1">
        <f t="shared" si="164"/>
        <v>0</v>
      </c>
      <c r="EW58" s="1">
        <f t="shared" si="165"/>
        <v>0.10099701098903999</v>
      </c>
      <c r="EX58" s="1">
        <f t="shared" si="166"/>
        <v>0.059350736407200004</v>
      </c>
      <c r="EY58" s="1">
        <f t="shared" si="167"/>
        <v>0.10099701098903999</v>
      </c>
      <c r="EZ58" s="1">
        <f t="shared" si="168"/>
        <v>0.059350736407200004</v>
      </c>
      <c r="FA58" s="1">
        <f t="shared" si="169"/>
        <v>0</v>
      </c>
      <c r="FB58" s="1">
        <f t="shared" si="170"/>
        <v>0</v>
      </c>
      <c r="FC58" s="1">
        <f t="shared" si="171"/>
        <v>0</v>
      </c>
      <c r="FD58" s="1">
        <f t="shared" si="172"/>
        <v>0.10099701098903999</v>
      </c>
      <c r="FE58" s="1">
        <f t="shared" si="173"/>
        <v>0.059350736407200004</v>
      </c>
      <c r="FF58" s="1">
        <f t="shared" si="174"/>
        <v>0</v>
      </c>
      <c r="FG58" s="1">
        <f t="shared" si="175"/>
        <v>0</v>
      </c>
      <c r="FH58" s="1">
        <f t="shared" si="176"/>
        <v>0</v>
      </c>
      <c r="FI58" s="1">
        <f t="shared" si="177"/>
        <v>0</v>
      </c>
      <c r="FJ58" s="1">
        <f t="shared" si="178"/>
        <v>0</v>
      </c>
      <c r="FK58" s="1">
        <f t="shared" si="179"/>
        <v>0</v>
      </c>
      <c r="FL58" s="1">
        <f t="shared" si="180"/>
        <v>4.263919336981805</v>
      </c>
      <c r="FM58" s="1">
        <f t="shared" si="181"/>
        <v>0.0057571153094400015</v>
      </c>
      <c r="FN58" s="1">
        <f t="shared" si="182"/>
        <v>7.46760736344</v>
      </c>
      <c r="FO58" s="1">
        <f>IF(O58=0,0,SUM(EI58:FN58))</f>
        <v>13.672337032791809</v>
      </c>
    </row>
    <row r="59" spans="1:171" ht="12.75">
      <c r="A59" s="33">
        <v>120</v>
      </c>
      <c r="B59" s="34" t="s">
        <v>195</v>
      </c>
      <c r="C59" s="34" t="s">
        <v>189</v>
      </c>
      <c r="D59" s="35" t="s">
        <v>171</v>
      </c>
      <c r="E59" s="35">
        <v>3</v>
      </c>
      <c r="F59" s="35" t="s">
        <v>186</v>
      </c>
      <c r="G59" s="35" t="s">
        <v>74</v>
      </c>
      <c r="H59" s="35" t="s">
        <v>75</v>
      </c>
      <c r="I59" s="35">
        <v>2</v>
      </c>
      <c r="J59" s="35"/>
      <c r="K59" s="26">
        <f t="shared" si="85"/>
        <v>1</v>
      </c>
      <c r="L59" s="26">
        <f t="shared" si="86"/>
        <v>1</v>
      </c>
      <c r="M59" s="33">
        <v>274950</v>
      </c>
      <c r="N59" s="33">
        <v>973140</v>
      </c>
      <c r="O59" s="27">
        <f t="shared" si="87"/>
        <v>288126</v>
      </c>
      <c r="P59" s="30">
        <v>288126</v>
      </c>
      <c r="Q59" s="30">
        <v>305000</v>
      </c>
      <c r="R59" s="30">
        <v>87500</v>
      </c>
      <c r="S59" s="31">
        <v>14000</v>
      </c>
      <c r="T59" s="31">
        <v>0</v>
      </c>
      <c r="U59" s="31">
        <v>0</v>
      </c>
      <c r="V59" s="31">
        <v>0</v>
      </c>
      <c r="W59" s="30">
        <v>106700</v>
      </c>
      <c r="X59" s="31">
        <v>0</v>
      </c>
      <c r="Y59" s="31">
        <v>14000</v>
      </c>
      <c r="Z59" s="30">
        <v>0</v>
      </c>
      <c r="AA59" s="31">
        <v>0</v>
      </c>
      <c r="AB59" s="30">
        <v>53600</v>
      </c>
      <c r="AC59" s="30">
        <v>18000</v>
      </c>
      <c r="AD59" s="30">
        <v>0</v>
      </c>
      <c r="AE59" s="30">
        <v>80300</v>
      </c>
      <c r="AF59" s="30">
        <v>45000</v>
      </c>
      <c r="AG59" s="30">
        <v>16000</v>
      </c>
      <c r="AH59" s="30">
        <v>53500</v>
      </c>
      <c r="AI59" s="30">
        <v>0</v>
      </c>
      <c r="AJ59" s="30">
        <v>0</v>
      </c>
      <c r="AK59" s="30">
        <v>52500</v>
      </c>
      <c r="AL59" s="30">
        <v>0</v>
      </c>
      <c r="AM59" s="30">
        <v>14833</v>
      </c>
      <c r="AN59" s="31">
        <v>37200</v>
      </c>
      <c r="AO59" s="30">
        <v>0</v>
      </c>
      <c r="AP59" s="31">
        <v>4900</v>
      </c>
      <c r="AQ59" s="31">
        <v>2500</v>
      </c>
      <c r="AR59" s="31">
        <v>0</v>
      </c>
      <c r="AS59" s="31">
        <v>3430</v>
      </c>
      <c r="AT59" s="31">
        <v>0</v>
      </c>
      <c r="AU59" s="30">
        <v>237</v>
      </c>
      <c r="AX59" s="2">
        <f t="shared" si="0"/>
        <v>232645.6</v>
      </c>
      <c r="AY59" s="32">
        <f t="shared" si="105"/>
        <v>219774.57752655738</v>
      </c>
      <c r="AZ59" s="186">
        <f t="shared" si="106"/>
        <v>0.4365833993075444</v>
      </c>
      <c r="BA59" s="186">
        <f t="shared" si="107"/>
        <v>0.09071934388191041</v>
      </c>
      <c r="BB59" s="186">
        <f t="shared" si="108"/>
        <v>0.2968784773273695</v>
      </c>
      <c r="BC59" s="53">
        <f t="shared" si="88"/>
        <v>288126</v>
      </c>
      <c r="BD59" s="53">
        <f t="shared" si="5"/>
        <v>116418.48873692605</v>
      </c>
      <c r="BE59" s="53">
        <f t="shared" si="6"/>
        <v>24191.045584162694</v>
      </c>
      <c r="BF59" s="53">
        <f t="shared" si="7"/>
        <v>79165.04320546864</v>
      </c>
      <c r="BG59" s="53"/>
      <c r="BH59" s="53">
        <f t="shared" si="89"/>
        <v>11</v>
      </c>
      <c r="BI59" s="53">
        <f t="shared" si="90"/>
        <v>8</v>
      </c>
      <c r="BJ59" s="53">
        <f t="shared" si="91"/>
        <v>5</v>
      </c>
      <c r="BK59" s="53">
        <f t="shared" si="92"/>
        <v>7</v>
      </c>
      <c r="BL59" s="53"/>
      <c r="BM59" s="53">
        <f t="shared" si="93"/>
        <v>5</v>
      </c>
      <c r="BN59" s="53">
        <f t="shared" si="94"/>
        <v>4</v>
      </c>
      <c r="BO59" s="53">
        <f t="shared" si="95"/>
        <v>2</v>
      </c>
      <c r="BP59" s="53">
        <f t="shared" si="96"/>
        <v>0</v>
      </c>
      <c r="BQ59" s="53"/>
      <c r="BR59" s="53">
        <f t="shared" si="97"/>
        <v>16.25</v>
      </c>
      <c r="BS59" s="53">
        <f t="shared" si="98"/>
        <v>68.4</v>
      </c>
      <c r="BT59" s="53">
        <f t="shared" si="99"/>
        <v>11</v>
      </c>
      <c r="BU59" s="53">
        <f t="shared" si="109"/>
        <v>45912</v>
      </c>
      <c r="BV59" s="53"/>
      <c r="BW59" s="53">
        <f t="shared" si="183"/>
        <v>28600</v>
      </c>
      <c r="BX59" s="53">
        <f t="shared" si="101"/>
        <v>-38982</v>
      </c>
      <c r="BY59" s="53">
        <f t="shared" si="110"/>
        <v>-34910.00342199737</v>
      </c>
      <c r="BZ59" s="240">
        <f t="shared" si="102"/>
        <v>10.386849999999999</v>
      </c>
      <c r="CC59" s="1">
        <f t="shared" si="111"/>
        <v>0</v>
      </c>
      <c r="CD59" s="195">
        <f t="shared" si="112"/>
        <v>8619.599999999999</v>
      </c>
      <c r="CE59" s="195">
        <f t="shared" si="113"/>
        <v>8619.599999999999</v>
      </c>
      <c r="CF59" s="239">
        <f t="shared" si="114"/>
        <v>4.35</v>
      </c>
      <c r="CG59" s="239">
        <f t="shared" si="114"/>
        <v>29.880000000000003</v>
      </c>
      <c r="CH59" s="1">
        <f t="shared" si="103"/>
        <v>14342.400000000001</v>
      </c>
      <c r="CK59" s="211">
        <f t="shared" si="115"/>
        <v>0</v>
      </c>
      <c r="CL59" s="211">
        <f t="shared" si="116"/>
        <v>0</v>
      </c>
      <c r="CM59" s="211">
        <f t="shared" si="117"/>
        <v>0</v>
      </c>
      <c r="CQ59" s="1">
        <f t="shared" si="104"/>
        <v>1</v>
      </c>
      <c r="CR59" s="195">
        <f t="shared" si="17"/>
        <v>10000</v>
      </c>
      <c r="CS59" s="195"/>
      <c r="CT59" s="195"/>
      <c r="CV59" s="199">
        <f t="shared" si="118"/>
        <v>154.94269099659112</v>
      </c>
      <c r="CW59" s="199">
        <f t="shared" si="119"/>
        <v>26.27631842791257</v>
      </c>
      <c r="CX59" s="199">
        <f t="shared" si="120"/>
        <v>27.56093843994385</v>
      </c>
      <c r="CY59" s="199">
        <f t="shared" si="121"/>
        <v>0</v>
      </c>
      <c r="CZ59" s="199">
        <f t="shared" si="122"/>
        <v>0</v>
      </c>
      <c r="DA59" s="199">
        <f t="shared" si="123"/>
        <v>0</v>
      </c>
      <c r="DB59" s="199">
        <f t="shared" si="124"/>
        <v>27.76981431722478</v>
      </c>
      <c r="DC59" s="199">
        <f t="shared" si="125"/>
        <v>0</v>
      </c>
      <c r="DD59" s="199">
        <f t="shared" si="126"/>
        <v>4.250924403448967</v>
      </c>
      <c r="DE59" s="199">
        <f t="shared" si="127"/>
        <v>0</v>
      </c>
      <c r="DF59" s="199">
        <f t="shared" si="128"/>
        <v>0</v>
      </c>
      <c r="DG59" s="199">
        <f t="shared" si="129"/>
        <v>71.09120513334669</v>
      </c>
      <c r="DH59" s="199">
        <f t="shared" si="130"/>
        <v>23.87391217164628</v>
      </c>
      <c r="DI59" s="199">
        <f t="shared" si="131"/>
        <v>0</v>
      </c>
      <c r="DJ59" s="199">
        <f t="shared" si="132"/>
        <v>10.971939522759174</v>
      </c>
      <c r="DK59" s="199">
        <f t="shared" si="133"/>
        <v>6.148658512131541</v>
      </c>
      <c r="DL59" s="199">
        <f t="shared" si="134"/>
        <v>2.1861896932023255</v>
      </c>
      <c r="DM59" s="199">
        <f t="shared" si="135"/>
        <v>7.310071786645278</v>
      </c>
      <c r="DN59" s="199">
        <f t="shared" si="136"/>
        <v>0</v>
      </c>
      <c r="DO59" s="199">
        <f t="shared" si="137"/>
        <v>0</v>
      </c>
      <c r="DP59" s="199">
        <f t="shared" si="138"/>
        <v>7.1734349308201315</v>
      </c>
      <c r="DQ59" s="199">
        <f t="shared" si="139"/>
        <v>0</v>
      </c>
      <c r="DR59" s="199">
        <f t="shared" si="140"/>
        <v>2.227180749949869</v>
      </c>
      <c r="DS59" s="199">
        <f t="shared" si="141"/>
        <v>98.67883697613794</v>
      </c>
      <c r="DT59" s="199">
        <f t="shared" si="142"/>
        <v>0</v>
      </c>
      <c r="DU59" s="199">
        <f t="shared" si="143"/>
        <v>0.0014305995588530177</v>
      </c>
      <c r="DV59" s="199">
        <f t="shared" si="144"/>
        <v>0.0007298977341086824</v>
      </c>
      <c r="DW59" s="199">
        <f t="shared" si="145"/>
        <v>0</v>
      </c>
      <c r="DX59" s="199">
        <f t="shared" si="146"/>
        <v>0.2220290515339884</v>
      </c>
      <c r="DY59" s="199">
        <f t="shared" si="147"/>
        <v>0</v>
      </c>
      <c r="DZ59" s="199">
        <f t="shared" si="148"/>
        <v>0.01534136595147383</v>
      </c>
      <c r="EA59" s="199">
        <f t="shared" si="149"/>
        <v>127.59705650436997</v>
      </c>
      <c r="EB59" s="199">
        <f t="shared" si="150"/>
        <v>15.930173798755563</v>
      </c>
      <c r="EC59" s="202">
        <f t="shared" si="51"/>
        <v>614.2288772796645</v>
      </c>
      <c r="ED59" s="202">
        <f>SUM(CV59:DI59,DS59:DT59,DW59,DY59,EA59:EB59)</f>
        <v>577.9718711693779</v>
      </c>
      <c r="EE59" s="203">
        <f t="shared" si="52"/>
        <v>95.67334828880858</v>
      </c>
      <c r="EF59" s="199"/>
      <c r="EI59" s="1">
        <f t="shared" si="151"/>
        <v>0.5699766927982697</v>
      </c>
      <c r="EJ59" s="1">
        <f t="shared" si="152"/>
        <v>0.010606863429336002</v>
      </c>
      <c r="EK59" s="1">
        <f t="shared" si="153"/>
        <v>0.24682268761392</v>
      </c>
      <c r="EL59" s="1">
        <f t="shared" si="154"/>
        <v>0</v>
      </c>
      <c r="EM59" s="1">
        <f t="shared" si="155"/>
        <v>0</v>
      </c>
      <c r="EN59" s="1">
        <f t="shared" si="156"/>
        <v>0</v>
      </c>
      <c r="EO59" s="1">
        <f t="shared" si="157"/>
        <v>0.2644897670328</v>
      </c>
      <c r="EP59" s="1">
        <f t="shared" si="158"/>
        <v>0</v>
      </c>
      <c r="EQ59" s="1">
        <f t="shared" si="159"/>
        <v>0.21621849683808003</v>
      </c>
      <c r="ER59" s="1">
        <f t="shared" si="160"/>
        <v>0</v>
      </c>
      <c r="ES59" s="1">
        <f t="shared" si="161"/>
        <v>0</v>
      </c>
      <c r="ET59" s="1">
        <f t="shared" si="162"/>
        <v>0.14589546715944002</v>
      </c>
      <c r="EU59" s="1">
        <f t="shared" si="163"/>
        <v>0.14589546715944002</v>
      </c>
      <c r="EV59" s="1">
        <f t="shared" si="164"/>
        <v>0</v>
      </c>
      <c r="EW59" s="1">
        <f t="shared" si="165"/>
        <v>0.10099701098903999</v>
      </c>
      <c r="EX59" s="1">
        <f t="shared" si="166"/>
        <v>0.10099701098903999</v>
      </c>
      <c r="EY59" s="1">
        <f t="shared" si="167"/>
        <v>0.059350736407200004</v>
      </c>
      <c r="EZ59" s="1">
        <f t="shared" si="168"/>
        <v>0.10099701098903999</v>
      </c>
      <c r="FA59" s="1">
        <f t="shared" si="169"/>
        <v>0</v>
      </c>
      <c r="FB59" s="1">
        <f t="shared" si="170"/>
        <v>0</v>
      </c>
      <c r="FC59" s="1">
        <f t="shared" si="171"/>
        <v>0.10099701098903999</v>
      </c>
      <c r="FD59" s="1">
        <f t="shared" si="172"/>
        <v>0</v>
      </c>
      <c r="FE59" s="1">
        <f t="shared" si="173"/>
        <v>0.059350736407200004</v>
      </c>
      <c r="FF59" s="1">
        <f t="shared" si="174"/>
        <v>0.10099701098903999</v>
      </c>
      <c r="FG59" s="1">
        <f t="shared" si="175"/>
        <v>0</v>
      </c>
      <c r="FH59" s="1">
        <f t="shared" si="176"/>
        <v>0</v>
      </c>
      <c r="FI59" s="1">
        <f t="shared" si="177"/>
        <v>0</v>
      </c>
      <c r="FJ59" s="1">
        <f t="shared" si="178"/>
        <v>0</v>
      </c>
      <c r="FK59" s="1">
        <f t="shared" si="179"/>
        <v>0</v>
      </c>
      <c r="FL59" s="1">
        <f t="shared" si="180"/>
        <v>0</v>
      </c>
      <c r="FM59" s="1">
        <f t="shared" si="181"/>
        <v>0.0057571153094400015</v>
      </c>
      <c r="FN59" s="1">
        <f t="shared" si="182"/>
        <v>7.46760736344</v>
      </c>
      <c r="FO59" s="1">
        <f>IF(O59=0,0,SUM(EI59:FN59))</f>
        <v>9.696956448540325</v>
      </c>
    </row>
    <row r="60" spans="1:171" ht="12.75">
      <c r="A60" s="33">
        <v>122</v>
      </c>
      <c r="B60" s="34" t="s">
        <v>196</v>
      </c>
      <c r="C60" s="34" t="s">
        <v>197</v>
      </c>
      <c r="D60" s="35" t="s">
        <v>171</v>
      </c>
      <c r="E60" s="35">
        <v>3</v>
      </c>
      <c r="F60" s="35" t="s">
        <v>186</v>
      </c>
      <c r="G60" s="35" t="s">
        <v>74</v>
      </c>
      <c r="H60" s="35" t="s">
        <v>75</v>
      </c>
      <c r="I60" s="35">
        <v>3</v>
      </c>
      <c r="J60" s="35"/>
      <c r="K60" s="26">
        <f t="shared" si="85"/>
        <v>1</v>
      </c>
      <c r="L60" s="26">
        <f t="shared" si="86"/>
        <v>1</v>
      </c>
      <c r="M60" s="33">
        <v>294234</v>
      </c>
      <c r="N60" s="33">
        <v>951410</v>
      </c>
      <c r="O60" s="27">
        <f t="shared" si="87"/>
        <v>270200</v>
      </c>
      <c r="P60" s="30">
        <v>270200</v>
      </c>
      <c r="Q60" s="30">
        <v>283000</v>
      </c>
      <c r="R60" s="30">
        <v>192500</v>
      </c>
      <c r="S60" s="31">
        <v>105000</v>
      </c>
      <c r="T60" s="31">
        <v>0</v>
      </c>
      <c r="U60" s="31">
        <v>0</v>
      </c>
      <c r="V60" s="31">
        <v>0</v>
      </c>
      <c r="W60" s="30">
        <v>100000</v>
      </c>
      <c r="X60" s="31">
        <v>0</v>
      </c>
      <c r="Y60" s="31">
        <v>0</v>
      </c>
      <c r="Z60" s="30">
        <v>0</v>
      </c>
      <c r="AA60" s="31">
        <v>0</v>
      </c>
      <c r="AB60" s="30">
        <v>0</v>
      </c>
      <c r="AC60" s="30">
        <v>37000</v>
      </c>
      <c r="AD60" s="30">
        <v>0</v>
      </c>
      <c r="AE60" s="30">
        <v>64000</v>
      </c>
      <c r="AF60" s="30">
        <v>25400</v>
      </c>
      <c r="AG60" s="30">
        <v>25000</v>
      </c>
      <c r="AH60" s="30">
        <v>94000</v>
      </c>
      <c r="AI60" s="30">
        <v>0</v>
      </c>
      <c r="AJ60" s="30">
        <v>4100</v>
      </c>
      <c r="AK60" s="30">
        <v>110000</v>
      </c>
      <c r="AL60" s="30">
        <v>0</v>
      </c>
      <c r="AM60" s="30">
        <v>11250</v>
      </c>
      <c r="AN60" s="31">
        <v>9030</v>
      </c>
      <c r="AO60" s="30">
        <v>0</v>
      </c>
      <c r="AP60" s="31">
        <v>0</v>
      </c>
      <c r="AQ60" s="31">
        <v>0</v>
      </c>
      <c r="AR60" s="31">
        <v>3895</v>
      </c>
      <c r="AS60" s="31">
        <v>28000</v>
      </c>
      <c r="AT60" s="31">
        <v>0</v>
      </c>
      <c r="AU60" s="30">
        <v>803</v>
      </c>
      <c r="AX60" s="2">
        <f t="shared" si="0"/>
        <v>213026</v>
      </c>
      <c r="AY60" s="32">
        <f t="shared" si="105"/>
        <v>203390.90176678443</v>
      </c>
      <c r="AZ60" s="186">
        <f t="shared" si="106"/>
        <v>0.4365833993075444</v>
      </c>
      <c r="BA60" s="186">
        <f t="shared" si="107"/>
        <v>0.09071934388191041</v>
      </c>
      <c r="BB60" s="186">
        <f t="shared" si="108"/>
        <v>0.2968784773273695</v>
      </c>
      <c r="BC60" s="53">
        <f t="shared" si="88"/>
        <v>270200</v>
      </c>
      <c r="BD60" s="53">
        <f t="shared" si="5"/>
        <v>107739.76532234873</v>
      </c>
      <c r="BE60" s="53">
        <f t="shared" si="6"/>
        <v>22387.660262705685</v>
      </c>
      <c r="BF60" s="53">
        <f t="shared" si="7"/>
        <v>73263.47618173003</v>
      </c>
      <c r="BG60" s="53"/>
      <c r="BH60" s="53">
        <f t="shared" si="89"/>
        <v>11</v>
      </c>
      <c r="BI60" s="53">
        <f t="shared" si="90"/>
        <v>8</v>
      </c>
      <c r="BJ60" s="53">
        <f t="shared" si="91"/>
        <v>5</v>
      </c>
      <c r="BK60" s="53">
        <f t="shared" si="92"/>
        <v>6</v>
      </c>
      <c r="BL60" s="53"/>
      <c r="BM60" s="53">
        <f t="shared" si="93"/>
        <v>5</v>
      </c>
      <c r="BN60" s="53">
        <f t="shared" si="94"/>
        <v>4</v>
      </c>
      <c r="BO60" s="53">
        <f t="shared" si="95"/>
        <v>2</v>
      </c>
      <c r="BP60" s="53">
        <f t="shared" si="96"/>
        <v>0</v>
      </c>
      <c r="BQ60" s="53"/>
      <c r="BR60" s="53">
        <f t="shared" si="97"/>
        <v>16.25</v>
      </c>
      <c r="BS60" s="53">
        <f t="shared" si="98"/>
        <v>68.4</v>
      </c>
      <c r="BT60" s="53">
        <f t="shared" si="99"/>
        <v>11</v>
      </c>
      <c r="BU60" s="53">
        <f t="shared" si="109"/>
        <v>45912</v>
      </c>
      <c r="BV60" s="53"/>
      <c r="BW60" s="53">
        <f t="shared" si="183"/>
        <v>28600</v>
      </c>
      <c r="BX60" s="53">
        <f t="shared" si="101"/>
        <v>-38982</v>
      </c>
      <c r="BY60" s="53">
        <f t="shared" si="110"/>
        <v>-34910.00342199737</v>
      </c>
      <c r="BZ60" s="240">
        <f t="shared" si="102"/>
        <v>10.386849999999999</v>
      </c>
      <c r="CC60" s="1">
        <f t="shared" si="111"/>
        <v>0</v>
      </c>
      <c r="CD60" s="195">
        <f t="shared" si="112"/>
        <v>8619.599999999999</v>
      </c>
      <c r="CE60" s="195">
        <f t="shared" si="113"/>
        <v>8619.599999999999</v>
      </c>
      <c r="CF60" s="239">
        <f t="shared" si="114"/>
        <v>4.35</v>
      </c>
      <c r="CG60" s="239">
        <f t="shared" si="114"/>
        <v>29.880000000000003</v>
      </c>
      <c r="CH60" s="1">
        <f t="shared" si="103"/>
        <v>14342.400000000001</v>
      </c>
      <c r="CK60" s="211">
        <f t="shared" si="115"/>
        <v>0</v>
      </c>
      <c r="CL60" s="211">
        <f t="shared" si="116"/>
        <v>0</v>
      </c>
      <c r="CM60" s="211">
        <f t="shared" si="117"/>
        <v>0</v>
      </c>
      <c r="CQ60" s="1">
        <f t="shared" si="104"/>
        <v>1</v>
      </c>
      <c r="CR60" s="195">
        <f t="shared" si="17"/>
        <v>10000</v>
      </c>
      <c r="CS60" s="195"/>
      <c r="CT60" s="195"/>
      <c r="CV60" s="199">
        <f t="shared" si="118"/>
        <v>143.766496891919</v>
      </c>
      <c r="CW60" s="199">
        <f t="shared" si="119"/>
        <v>57.807900541407655</v>
      </c>
      <c r="CX60" s="199">
        <f t="shared" si="120"/>
        <v>206.70703829957887</v>
      </c>
      <c r="CY60" s="199">
        <f t="shared" si="121"/>
        <v>0</v>
      </c>
      <c r="CZ60" s="199">
        <f t="shared" si="122"/>
        <v>0</v>
      </c>
      <c r="DA60" s="199">
        <f t="shared" si="123"/>
        <v>0</v>
      </c>
      <c r="DB60" s="199">
        <f t="shared" si="124"/>
        <v>26.026067776218166</v>
      </c>
      <c r="DC60" s="199">
        <f t="shared" si="125"/>
        <v>0</v>
      </c>
      <c r="DD60" s="199">
        <f t="shared" si="126"/>
        <v>0</v>
      </c>
      <c r="DE60" s="199">
        <f t="shared" si="127"/>
        <v>0</v>
      </c>
      <c r="DF60" s="199">
        <f t="shared" si="128"/>
        <v>0</v>
      </c>
      <c r="DG60" s="199">
        <f t="shared" si="129"/>
        <v>0</v>
      </c>
      <c r="DH60" s="199">
        <f t="shared" si="130"/>
        <v>49.07415279727291</v>
      </c>
      <c r="DI60" s="199">
        <f t="shared" si="131"/>
        <v>0</v>
      </c>
      <c r="DJ60" s="199">
        <f t="shared" si="132"/>
        <v>8.744758772809302</v>
      </c>
      <c r="DK60" s="199">
        <f t="shared" si="133"/>
        <v>3.4705761379586924</v>
      </c>
      <c r="DL60" s="199">
        <f t="shared" si="134"/>
        <v>3.415921395628634</v>
      </c>
      <c r="DM60" s="199">
        <f t="shared" si="135"/>
        <v>12.843864447563664</v>
      </c>
      <c r="DN60" s="199">
        <f t="shared" si="136"/>
        <v>0</v>
      </c>
      <c r="DO60" s="199">
        <f t="shared" si="137"/>
        <v>0.560211108883096</v>
      </c>
      <c r="DP60" s="199">
        <f t="shared" si="138"/>
        <v>15.03005414076599</v>
      </c>
      <c r="DQ60" s="199">
        <f t="shared" si="139"/>
        <v>0</v>
      </c>
      <c r="DR60" s="199">
        <f t="shared" si="140"/>
        <v>1.6891918989372368</v>
      </c>
      <c r="DS60" s="199">
        <f t="shared" si="141"/>
        <v>23.9534918788851</v>
      </c>
      <c r="DT60" s="199">
        <f t="shared" si="142"/>
        <v>0</v>
      </c>
      <c r="DU60" s="199">
        <f t="shared" si="143"/>
        <v>0</v>
      </c>
      <c r="DV60" s="199">
        <f t="shared" si="144"/>
        <v>0</v>
      </c>
      <c r="DW60" s="199">
        <f t="shared" si="145"/>
        <v>3.2490876278323637</v>
      </c>
      <c r="DX60" s="199">
        <f t="shared" si="146"/>
        <v>1.8124820533386805</v>
      </c>
      <c r="DY60" s="199">
        <f t="shared" si="147"/>
        <v>0</v>
      </c>
      <c r="DZ60" s="199">
        <f t="shared" si="148"/>
        <v>0.051979396029677154</v>
      </c>
      <c r="EA60" s="199">
        <f t="shared" si="149"/>
        <v>118.0849972607734</v>
      </c>
      <c r="EB60" s="199">
        <f t="shared" si="150"/>
        <v>14.85405945272776</v>
      </c>
      <c r="EC60" s="202">
        <f t="shared" si="51"/>
        <v>691.1423318785302</v>
      </c>
      <c r="ED60" s="202">
        <f>SUM(CV60:DI60,DS60:DT60,DW60,DY60,EA60:EB60)</f>
        <v>643.5232925266151</v>
      </c>
      <c r="EE60" s="203">
        <f t="shared" si="52"/>
        <v>106.52426384227415</v>
      </c>
      <c r="EF60" s="199"/>
      <c r="EI60" s="1">
        <f t="shared" si="151"/>
        <v>0.5699766927982697</v>
      </c>
      <c r="EJ60" s="1">
        <f t="shared" si="152"/>
        <v>0.010606863429336002</v>
      </c>
      <c r="EK60" s="1">
        <f t="shared" si="153"/>
        <v>0.24682268761392</v>
      </c>
      <c r="EL60" s="1">
        <f t="shared" si="154"/>
        <v>0</v>
      </c>
      <c r="EM60" s="1">
        <f t="shared" si="155"/>
        <v>0</v>
      </c>
      <c r="EN60" s="1">
        <f t="shared" si="156"/>
        <v>0</v>
      </c>
      <c r="EO60" s="1">
        <f t="shared" si="157"/>
        <v>0.2644897670328</v>
      </c>
      <c r="EP60" s="1">
        <f t="shared" si="158"/>
        <v>0</v>
      </c>
      <c r="EQ60" s="1">
        <f t="shared" si="159"/>
        <v>0</v>
      </c>
      <c r="ER60" s="1">
        <f t="shared" si="160"/>
        <v>0</v>
      </c>
      <c r="ES60" s="1">
        <f t="shared" si="161"/>
        <v>0</v>
      </c>
      <c r="ET60" s="1">
        <f t="shared" si="162"/>
        <v>0</v>
      </c>
      <c r="EU60" s="1">
        <f t="shared" si="163"/>
        <v>0.14589546715944002</v>
      </c>
      <c r="EV60" s="1">
        <f t="shared" si="164"/>
        <v>0</v>
      </c>
      <c r="EW60" s="1">
        <f t="shared" si="165"/>
        <v>0.10099701098903999</v>
      </c>
      <c r="EX60" s="1">
        <f t="shared" si="166"/>
        <v>0.059350736407200004</v>
      </c>
      <c r="EY60" s="1">
        <f t="shared" si="167"/>
        <v>0.059350736407200004</v>
      </c>
      <c r="EZ60" s="1">
        <f t="shared" si="168"/>
        <v>0.10099701098903999</v>
      </c>
      <c r="FA60" s="1">
        <f t="shared" si="169"/>
        <v>0</v>
      </c>
      <c r="FB60" s="1">
        <f t="shared" si="170"/>
        <v>0.059350736407200004</v>
      </c>
      <c r="FC60" s="1">
        <f t="shared" si="171"/>
        <v>0.10099701098903999</v>
      </c>
      <c r="FD60" s="1">
        <f t="shared" si="172"/>
        <v>0</v>
      </c>
      <c r="FE60" s="1">
        <f t="shared" si="173"/>
        <v>0.059350736407200004</v>
      </c>
      <c r="FF60" s="1">
        <f t="shared" si="174"/>
        <v>0.059350736407200004</v>
      </c>
      <c r="FG60" s="1">
        <f t="shared" si="175"/>
        <v>0</v>
      </c>
      <c r="FH60" s="1">
        <f t="shared" si="176"/>
        <v>0</v>
      </c>
      <c r="FI60" s="1">
        <f t="shared" si="177"/>
        <v>0</v>
      </c>
      <c r="FJ60" s="1">
        <f t="shared" si="178"/>
        <v>0</v>
      </c>
      <c r="FK60" s="1">
        <f t="shared" si="179"/>
        <v>0</v>
      </c>
      <c r="FL60" s="1">
        <f t="shared" si="180"/>
        <v>0</v>
      </c>
      <c r="FM60" s="1">
        <f t="shared" si="181"/>
        <v>0.0057571153094400015</v>
      </c>
      <c r="FN60" s="1">
        <f t="shared" si="182"/>
        <v>7.46760736344</v>
      </c>
      <c r="FO60" s="1">
        <f>IF(O60=0,0,SUM(EI60:FN60))</f>
        <v>9.310900671786325</v>
      </c>
    </row>
    <row r="61" spans="1:171" ht="12.75">
      <c r="A61" s="33">
        <v>123</v>
      </c>
      <c r="B61" s="34" t="s">
        <v>117</v>
      </c>
      <c r="C61" s="34" t="s">
        <v>187</v>
      </c>
      <c r="D61" s="35" t="s">
        <v>171</v>
      </c>
      <c r="E61" s="35">
        <v>3</v>
      </c>
      <c r="F61" s="35" t="s">
        <v>186</v>
      </c>
      <c r="G61" s="35" t="s">
        <v>74</v>
      </c>
      <c r="H61" s="35" t="s">
        <v>75</v>
      </c>
      <c r="I61" s="35">
        <v>2</v>
      </c>
      <c r="J61" s="35"/>
      <c r="K61" s="26">
        <f t="shared" si="85"/>
        <v>1</v>
      </c>
      <c r="L61" s="26">
        <f t="shared" si="86"/>
        <v>1</v>
      </c>
      <c r="M61" s="33">
        <v>292222</v>
      </c>
      <c r="N61" s="33">
        <v>945450</v>
      </c>
      <c r="O61" s="27">
        <f t="shared" si="87"/>
        <v>72000</v>
      </c>
      <c r="P61" s="30">
        <v>72000</v>
      </c>
      <c r="Q61" s="30">
        <v>78000</v>
      </c>
      <c r="R61" s="30">
        <v>0</v>
      </c>
      <c r="S61" s="31">
        <v>0</v>
      </c>
      <c r="T61" s="31">
        <v>0</v>
      </c>
      <c r="U61" s="31">
        <v>0</v>
      </c>
      <c r="V61" s="31">
        <v>0</v>
      </c>
      <c r="W61" s="30">
        <v>55000</v>
      </c>
      <c r="X61" s="31">
        <v>0</v>
      </c>
      <c r="Y61" s="31">
        <v>0</v>
      </c>
      <c r="Z61" s="30">
        <v>0</v>
      </c>
      <c r="AA61" s="31">
        <v>0</v>
      </c>
      <c r="AB61" s="30">
        <v>0</v>
      </c>
      <c r="AC61" s="30">
        <v>11000</v>
      </c>
      <c r="AD61" s="30">
        <v>0</v>
      </c>
      <c r="AE61" s="30">
        <v>0</v>
      </c>
      <c r="AF61" s="30">
        <v>0</v>
      </c>
      <c r="AG61" s="30">
        <v>0</v>
      </c>
      <c r="AH61" s="30">
        <v>0</v>
      </c>
      <c r="AI61" s="30">
        <v>0</v>
      </c>
      <c r="AJ61" s="30">
        <v>0</v>
      </c>
      <c r="AK61" s="30">
        <v>0</v>
      </c>
      <c r="AL61" s="30">
        <v>0</v>
      </c>
      <c r="AM61" s="30">
        <v>13000</v>
      </c>
      <c r="AN61" s="31">
        <v>2500</v>
      </c>
      <c r="AO61" s="30">
        <v>0</v>
      </c>
      <c r="AP61" s="31">
        <v>0</v>
      </c>
      <c r="AQ61" s="31">
        <v>0</v>
      </c>
      <c r="AR61" s="31">
        <v>0</v>
      </c>
      <c r="AS61" s="31">
        <v>0</v>
      </c>
      <c r="AT61" s="31">
        <v>0</v>
      </c>
      <c r="AU61" s="30">
        <v>0</v>
      </c>
      <c r="AX61" s="2">
        <f t="shared" si="0"/>
        <v>66440</v>
      </c>
      <c r="AY61" s="32">
        <f t="shared" si="105"/>
        <v>61329.23076923077</v>
      </c>
      <c r="AZ61" s="186">
        <f t="shared" si="106"/>
        <v>0.4365833993075444</v>
      </c>
      <c r="BA61" s="186">
        <f t="shared" si="107"/>
        <v>0.09071934388191041</v>
      </c>
      <c r="BB61" s="186">
        <f t="shared" si="108"/>
        <v>0.2968784773273695</v>
      </c>
      <c r="BC61" s="53">
        <f t="shared" si="88"/>
        <v>72000</v>
      </c>
      <c r="BD61" s="53">
        <f t="shared" si="5"/>
        <v>32487.180464215693</v>
      </c>
      <c r="BE61" s="53">
        <f t="shared" si="6"/>
        <v>6750.636192217526</v>
      </c>
      <c r="BF61" s="53">
        <f t="shared" si="7"/>
        <v>22091.41411279756</v>
      </c>
      <c r="BG61" s="53"/>
      <c r="BH61" s="53">
        <f t="shared" si="89"/>
        <v>4</v>
      </c>
      <c r="BI61" s="53">
        <f t="shared" si="90"/>
        <v>4</v>
      </c>
      <c r="BJ61" s="53">
        <f t="shared" si="91"/>
        <v>3</v>
      </c>
      <c r="BK61" s="53">
        <f t="shared" si="92"/>
        <v>3</v>
      </c>
      <c r="BL61" s="53"/>
      <c r="BM61" s="53">
        <f t="shared" si="93"/>
        <v>2</v>
      </c>
      <c r="BN61" s="53">
        <f t="shared" si="94"/>
        <v>2</v>
      </c>
      <c r="BO61" s="53">
        <f t="shared" si="95"/>
        <v>2</v>
      </c>
      <c r="BP61" s="53">
        <f t="shared" si="96"/>
        <v>0</v>
      </c>
      <c r="BQ61" s="53"/>
      <c r="BR61" s="53">
        <f t="shared" si="97"/>
        <v>6.5</v>
      </c>
      <c r="BS61" s="53">
        <f t="shared" si="98"/>
        <v>34.2</v>
      </c>
      <c r="BT61" s="53">
        <f t="shared" si="99"/>
        <v>11</v>
      </c>
      <c r="BU61" s="53">
        <f t="shared" si="109"/>
        <v>24816</v>
      </c>
      <c r="BV61" s="53"/>
      <c r="BW61" s="53">
        <f t="shared" si="183"/>
        <v>15600</v>
      </c>
      <c r="BX61" s="53">
        <f t="shared" si="101"/>
        <v>-21036</v>
      </c>
      <c r="BY61" s="53">
        <f t="shared" si="110"/>
        <v>-18814.91095745311</v>
      </c>
      <c r="BZ61" s="240">
        <f t="shared" si="102"/>
        <v>5.791300000000001</v>
      </c>
      <c r="CC61" s="1">
        <f t="shared" si="111"/>
        <v>0</v>
      </c>
      <c r="CD61" s="195">
        <f t="shared" si="112"/>
        <v>2873.2</v>
      </c>
      <c r="CE61" s="195">
        <f t="shared" si="113"/>
        <v>2873.2</v>
      </c>
      <c r="CF61" s="239">
        <f t="shared" si="114"/>
        <v>1.45</v>
      </c>
      <c r="CG61" s="239">
        <f t="shared" si="114"/>
        <v>9.96</v>
      </c>
      <c r="CH61" s="1">
        <f t="shared" si="103"/>
        <v>4780.8</v>
      </c>
      <c r="CK61" s="211">
        <f t="shared" si="115"/>
        <v>0</v>
      </c>
      <c r="CL61" s="211">
        <f t="shared" si="116"/>
        <v>0</v>
      </c>
      <c r="CM61" s="211">
        <f t="shared" si="117"/>
        <v>0</v>
      </c>
      <c r="CQ61" s="1">
        <f t="shared" si="104"/>
        <v>1</v>
      </c>
      <c r="CR61" s="195">
        <f t="shared" si="17"/>
        <v>10000</v>
      </c>
      <c r="CS61" s="195"/>
      <c r="CT61" s="195"/>
      <c r="CV61" s="199">
        <f t="shared" si="118"/>
        <v>39.62468818929216</v>
      </c>
      <c r="CW61" s="199">
        <f t="shared" si="119"/>
        <v>0</v>
      </c>
      <c r="CX61" s="199">
        <f t="shared" si="120"/>
        <v>0</v>
      </c>
      <c r="CY61" s="199">
        <f t="shared" si="121"/>
        <v>0</v>
      </c>
      <c r="CZ61" s="199">
        <f t="shared" si="122"/>
        <v>0</v>
      </c>
      <c r="DA61" s="199">
        <f t="shared" si="123"/>
        <v>0</v>
      </c>
      <c r="DB61" s="199">
        <f t="shared" si="124"/>
        <v>14.314337276919991</v>
      </c>
      <c r="DC61" s="199">
        <f t="shared" si="125"/>
        <v>0</v>
      </c>
      <c r="DD61" s="199">
        <f t="shared" si="126"/>
        <v>0</v>
      </c>
      <c r="DE61" s="199">
        <f t="shared" si="127"/>
        <v>0</v>
      </c>
      <c r="DF61" s="199">
        <f t="shared" si="128"/>
        <v>0</v>
      </c>
      <c r="DG61" s="199">
        <f t="shared" si="129"/>
        <v>0</v>
      </c>
      <c r="DH61" s="199">
        <f t="shared" si="130"/>
        <v>14.589612993783836</v>
      </c>
      <c r="DI61" s="199">
        <f t="shared" si="131"/>
        <v>0</v>
      </c>
      <c r="DJ61" s="199">
        <f t="shared" si="132"/>
        <v>0</v>
      </c>
      <c r="DK61" s="199">
        <f t="shared" si="133"/>
        <v>0</v>
      </c>
      <c r="DL61" s="199">
        <f t="shared" si="134"/>
        <v>0</v>
      </c>
      <c r="DM61" s="199">
        <f t="shared" si="135"/>
        <v>0</v>
      </c>
      <c r="DN61" s="199">
        <f t="shared" si="136"/>
        <v>0</v>
      </c>
      <c r="DO61" s="199">
        <f t="shared" si="137"/>
        <v>0</v>
      </c>
      <c r="DP61" s="199">
        <f t="shared" si="138"/>
        <v>0</v>
      </c>
      <c r="DQ61" s="199">
        <f t="shared" si="139"/>
        <v>0</v>
      </c>
      <c r="DR61" s="199">
        <f t="shared" si="140"/>
        <v>1.9519550832163624</v>
      </c>
      <c r="DS61" s="199">
        <f t="shared" si="141"/>
        <v>6.631642269901744</v>
      </c>
      <c r="DT61" s="199">
        <f t="shared" si="142"/>
        <v>0</v>
      </c>
      <c r="DU61" s="199">
        <f t="shared" si="143"/>
        <v>0</v>
      </c>
      <c r="DV61" s="199">
        <f t="shared" si="144"/>
        <v>0</v>
      </c>
      <c r="DW61" s="199">
        <f t="shared" si="145"/>
        <v>0</v>
      </c>
      <c r="DX61" s="199">
        <f t="shared" si="146"/>
        <v>0</v>
      </c>
      <c r="DY61" s="199">
        <f t="shared" si="147"/>
        <v>0</v>
      </c>
      <c r="DZ61" s="199">
        <f t="shared" si="148"/>
        <v>0</v>
      </c>
      <c r="EA61" s="199">
        <f t="shared" si="149"/>
        <v>35.60661752556647</v>
      </c>
      <c r="EB61" s="199">
        <f t="shared" si="150"/>
        <v>4.1818377702025264</v>
      </c>
      <c r="EC61" s="202">
        <f t="shared" si="51"/>
        <v>116.90069110888308</v>
      </c>
      <c r="ED61" s="202">
        <f>SUM(CV61:DI61,DS61:DT61,DW61,DY61,EA61:EB61)</f>
        <v>114.94873602566673</v>
      </c>
      <c r="EE61" s="203">
        <f t="shared" si="52"/>
        <v>19.027795305835987</v>
      </c>
      <c r="EF61" s="199"/>
      <c r="EI61" s="1">
        <f t="shared" si="151"/>
        <v>0.5699766927982697</v>
      </c>
      <c r="EJ61" s="1">
        <f t="shared" si="152"/>
        <v>0</v>
      </c>
      <c r="EK61" s="1">
        <f t="shared" si="153"/>
        <v>0</v>
      </c>
      <c r="EL61" s="1">
        <f t="shared" si="154"/>
        <v>0</v>
      </c>
      <c r="EM61" s="1">
        <f t="shared" si="155"/>
        <v>0</v>
      </c>
      <c r="EN61" s="1">
        <f t="shared" si="156"/>
        <v>0</v>
      </c>
      <c r="EO61" s="1">
        <f t="shared" si="157"/>
        <v>0.2644897670328</v>
      </c>
      <c r="EP61" s="1">
        <f t="shared" si="158"/>
        <v>0</v>
      </c>
      <c r="EQ61" s="1">
        <f t="shared" si="159"/>
        <v>0</v>
      </c>
      <c r="ER61" s="1">
        <f t="shared" si="160"/>
        <v>0</v>
      </c>
      <c r="ES61" s="1">
        <f t="shared" si="161"/>
        <v>0</v>
      </c>
      <c r="ET61" s="1">
        <f t="shared" si="162"/>
        <v>0</v>
      </c>
      <c r="EU61" s="1">
        <f t="shared" si="163"/>
        <v>0.14589546715944002</v>
      </c>
      <c r="EV61" s="1">
        <f t="shared" si="164"/>
        <v>0</v>
      </c>
      <c r="EW61" s="1">
        <f t="shared" si="165"/>
        <v>0</v>
      </c>
      <c r="EX61" s="1">
        <f t="shared" si="166"/>
        <v>0</v>
      </c>
      <c r="EY61" s="1">
        <f t="shared" si="167"/>
        <v>0</v>
      </c>
      <c r="EZ61" s="1">
        <f t="shared" si="168"/>
        <v>0</v>
      </c>
      <c r="FA61" s="1">
        <f t="shared" si="169"/>
        <v>0</v>
      </c>
      <c r="FB61" s="1">
        <f t="shared" si="170"/>
        <v>0</v>
      </c>
      <c r="FC61" s="1">
        <f t="shared" si="171"/>
        <v>0</v>
      </c>
      <c r="FD61" s="1">
        <f t="shared" si="172"/>
        <v>0</v>
      </c>
      <c r="FE61" s="1">
        <f t="shared" si="173"/>
        <v>0.059350736407200004</v>
      </c>
      <c r="FF61" s="1">
        <f t="shared" si="174"/>
        <v>0.059350736407200004</v>
      </c>
      <c r="FG61" s="1">
        <f t="shared" si="175"/>
        <v>0</v>
      </c>
      <c r="FH61" s="1">
        <f t="shared" si="176"/>
        <v>0</v>
      </c>
      <c r="FI61" s="1">
        <f t="shared" si="177"/>
        <v>0</v>
      </c>
      <c r="FJ61" s="1">
        <f t="shared" si="178"/>
        <v>0</v>
      </c>
      <c r="FK61" s="1">
        <f t="shared" si="179"/>
        <v>0</v>
      </c>
      <c r="FL61" s="1">
        <f t="shared" si="180"/>
        <v>0</v>
      </c>
      <c r="FM61" s="1">
        <f t="shared" si="181"/>
        <v>0</v>
      </c>
      <c r="FN61" s="1">
        <f t="shared" si="182"/>
        <v>7.46760736344</v>
      </c>
      <c r="FO61" s="1">
        <f>IF(O61=0,0,SUM(EI61:FN61))</f>
        <v>8.56667076324491</v>
      </c>
    </row>
    <row r="62" spans="1:171" ht="12.75">
      <c r="A62" s="33">
        <v>124</v>
      </c>
      <c r="B62" s="34" t="s">
        <v>198</v>
      </c>
      <c r="C62" s="34" t="s">
        <v>185</v>
      </c>
      <c r="D62" s="35" t="s">
        <v>171</v>
      </c>
      <c r="E62" s="35">
        <v>3</v>
      </c>
      <c r="F62" s="35" t="s">
        <v>186</v>
      </c>
      <c r="G62" s="35" t="s">
        <v>74</v>
      </c>
      <c r="H62" s="35" t="s">
        <v>75</v>
      </c>
      <c r="I62" s="35">
        <v>2</v>
      </c>
      <c r="J62" s="35"/>
      <c r="K62" s="26">
        <f t="shared" si="85"/>
        <v>1</v>
      </c>
      <c r="L62" s="26">
        <f t="shared" si="86"/>
        <v>1</v>
      </c>
      <c r="M62" s="33">
        <v>295300</v>
      </c>
      <c r="N62" s="33">
        <v>935730</v>
      </c>
      <c r="O62" s="27">
        <f t="shared" si="87"/>
        <v>285000</v>
      </c>
      <c r="P62" s="30">
        <v>285000</v>
      </c>
      <c r="Q62" s="30">
        <v>300000</v>
      </c>
      <c r="R62" s="30">
        <v>145000</v>
      </c>
      <c r="S62" s="31">
        <v>57500</v>
      </c>
      <c r="T62" s="31">
        <v>0</v>
      </c>
      <c r="U62" s="31">
        <v>0</v>
      </c>
      <c r="V62" s="31">
        <v>0</v>
      </c>
      <c r="W62" s="30">
        <v>90000</v>
      </c>
      <c r="X62" s="31">
        <v>0</v>
      </c>
      <c r="Y62" s="31">
        <v>0</v>
      </c>
      <c r="Z62" s="30">
        <v>0</v>
      </c>
      <c r="AA62" s="31">
        <v>0</v>
      </c>
      <c r="AB62" s="30">
        <v>48000</v>
      </c>
      <c r="AC62" s="30">
        <v>0</v>
      </c>
      <c r="AD62" s="30">
        <v>0</v>
      </c>
      <c r="AE62" s="30">
        <v>48000</v>
      </c>
      <c r="AF62" s="30">
        <v>52000</v>
      </c>
      <c r="AG62" s="30">
        <v>42000</v>
      </c>
      <c r="AH62" s="30">
        <v>55000</v>
      </c>
      <c r="AI62" s="30">
        <v>0</v>
      </c>
      <c r="AJ62" s="30">
        <v>0</v>
      </c>
      <c r="AK62" s="30">
        <v>24000</v>
      </c>
      <c r="AL62" s="30">
        <v>0</v>
      </c>
      <c r="AM62" s="30">
        <v>20000</v>
      </c>
      <c r="AN62" s="31">
        <v>0</v>
      </c>
      <c r="AO62" s="30">
        <v>0</v>
      </c>
      <c r="AP62" s="31">
        <v>0</v>
      </c>
      <c r="AQ62" s="31">
        <v>0</v>
      </c>
      <c r="AR62" s="31">
        <v>25000</v>
      </c>
      <c r="AS62" s="31">
        <v>15616</v>
      </c>
      <c r="AT62" s="31">
        <v>0</v>
      </c>
      <c r="AU62" s="30">
        <v>711</v>
      </c>
      <c r="AX62" s="2">
        <f t="shared" si="0"/>
        <v>228257.92</v>
      </c>
      <c r="AY62" s="32">
        <f t="shared" si="105"/>
        <v>216845.024</v>
      </c>
      <c r="AZ62" s="186">
        <f t="shared" si="106"/>
        <v>0.4365833993075444</v>
      </c>
      <c r="BA62" s="186">
        <f t="shared" si="107"/>
        <v>0.09071934388191041</v>
      </c>
      <c r="BB62" s="186">
        <f t="shared" si="108"/>
        <v>0.2968784773273695</v>
      </c>
      <c r="BC62" s="53">
        <f t="shared" si="88"/>
        <v>285000</v>
      </c>
      <c r="BD62" s="53">
        <f t="shared" si="5"/>
        <v>114866.65231401437</v>
      </c>
      <c r="BE62" s="53">
        <f t="shared" si="6"/>
        <v>23868.583524629757</v>
      </c>
      <c r="BF62" s="53">
        <f t="shared" si="7"/>
        <v>78109.7881613559</v>
      </c>
      <c r="BG62" s="53"/>
      <c r="BH62" s="53">
        <f t="shared" si="89"/>
        <v>11</v>
      </c>
      <c r="BI62" s="53">
        <f t="shared" si="90"/>
        <v>8</v>
      </c>
      <c r="BJ62" s="53">
        <f t="shared" si="91"/>
        <v>5</v>
      </c>
      <c r="BK62" s="53">
        <f t="shared" si="92"/>
        <v>7</v>
      </c>
      <c r="BL62" s="53"/>
      <c r="BM62" s="53">
        <f t="shared" si="93"/>
        <v>5</v>
      </c>
      <c r="BN62" s="53">
        <f t="shared" si="94"/>
        <v>4</v>
      </c>
      <c r="BO62" s="53">
        <f t="shared" si="95"/>
        <v>2</v>
      </c>
      <c r="BP62" s="53">
        <f t="shared" si="96"/>
        <v>0</v>
      </c>
      <c r="BQ62" s="53"/>
      <c r="BR62" s="53">
        <f t="shared" si="97"/>
        <v>16.25</v>
      </c>
      <c r="BS62" s="53">
        <f t="shared" si="98"/>
        <v>68.4</v>
      </c>
      <c r="BT62" s="53">
        <f t="shared" si="99"/>
        <v>11</v>
      </c>
      <c r="BU62" s="53">
        <f t="shared" si="109"/>
        <v>45912</v>
      </c>
      <c r="BV62" s="53"/>
      <c r="BW62" s="53">
        <f t="shared" si="183"/>
        <v>28600</v>
      </c>
      <c r="BX62" s="53">
        <f t="shared" si="101"/>
        <v>-38982</v>
      </c>
      <c r="BY62" s="53">
        <f t="shared" si="110"/>
        <v>-34910.00342199737</v>
      </c>
      <c r="BZ62" s="240">
        <f t="shared" si="102"/>
        <v>10.386849999999999</v>
      </c>
      <c r="CC62" s="1">
        <f t="shared" si="111"/>
        <v>0</v>
      </c>
      <c r="CD62" s="195">
        <f t="shared" si="112"/>
        <v>8619.599999999999</v>
      </c>
      <c r="CE62" s="195">
        <f t="shared" si="113"/>
        <v>8619.599999999999</v>
      </c>
      <c r="CF62" s="239">
        <f t="shared" si="114"/>
        <v>4.35</v>
      </c>
      <c r="CG62" s="239">
        <f t="shared" si="114"/>
        <v>29.880000000000003</v>
      </c>
      <c r="CH62" s="1">
        <f t="shared" si="103"/>
        <v>14342.400000000001</v>
      </c>
      <c r="CK62" s="211">
        <f t="shared" si="115"/>
        <v>0</v>
      </c>
      <c r="CL62" s="211">
        <f t="shared" si="116"/>
        <v>0</v>
      </c>
      <c r="CM62" s="211">
        <f t="shared" si="117"/>
        <v>0</v>
      </c>
      <c r="CQ62" s="1">
        <f t="shared" si="104"/>
        <v>1</v>
      </c>
      <c r="CR62" s="195">
        <f t="shared" si="17"/>
        <v>10000</v>
      </c>
      <c r="CS62" s="195"/>
      <c r="CT62" s="195"/>
      <c r="CV62" s="199">
        <f t="shared" si="118"/>
        <v>152.4026468818929</v>
      </c>
      <c r="CW62" s="199">
        <f t="shared" si="119"/>
        <v>43.543613394826544</v>
      </c>
      <c r="CX62" s="199">
        <f t="shared" si="120"/>
        <v>113.1967114497694</v>
      </c>
      <c r="CY62" s="199">
        <f t="shared" si="121"/>
        <v>0</v>
      </c>
      <c r="CZ62" s="199">
        <f t="shared" si="122"/>
        <v>0</v>
      </c>
      <c r="DA62" s="199">
        <f t="shared" si="123"/>
        <v>0</v>
      </c>
      <c r="DB62" s="199">
        <f t="shared" si="124"/>
        <v>23.423460998596347</v>
      </c>
      <c r="DC62" s="199">
        <f t="shared" si="125"/>
        <v>0</v>
      </c>
      <c r="DD62" s="199">
        <f t="shared" si="126"/>
        <v>0</v>
      </c>
      <c r="DE62" s="199">
        <f t="shared" si="127"/>
        <v>0</v>
      </c>
      <c r="DF62" s="199">
        <f t="shared" si="128"/>
        <v>0</v>
      </c>
      <c r="DG62" s="199">
        <f t="shared" si="129"/>
        <v>63.66376579105675</v>
      </c>
      <c r="DH62" s="199">
        <f t="shared" si="130"/>
        <v>0</v>
      </c>
      <c r="DI62" s="199">
        <f t="shared" si="131"/>
        <v>0</v>
      </c>
      <c r="DJ62" s="199">
        <f t="shared" si="132"/>
        <v>6.558569079606977</v>
      </c>
      <c r="DK62" s="199">
        <f t="shared" si="133"/>
        <v>7.105116502907559</v>
      </c>
      <c r="DL62" s="199">
        <f t="shared" si="134"/>
        <v>5.738747944656105</v>
      </c>
      <c r="DM62" s="199">
        <f t="shared" si="135"/>
        <v>7.515027070382995</v>
      </c>
      <c r="DN62" s="199">
        <f t="shared" si="136"/>
        <v>0</v>
      </c>
      <c r="DO62" s="199">
        <f t="shared" si="137"/>
        <v>0</v>
      </c>
      <c r="DP62" s="199">
        <f t="shared" si="138"/>
        <v>3.2792845398034887</v>
      </c>
      <c r="DQ62" s="199">
        <f t="shared" si="139"/>
        <v>0</v>
      </c>
      <c r="DR62" s="199">
        <f t="shared" si="140"/>
        <v>3.0030078203328654</v>
      </c>
      <c r="DS62" s="199">
        <f t="shared" si="141"/>
        <v>0</v>
      </c>
      <c r="DT62" s="199">
        <f t="shared" si="142"/>
        <v>0</v>
      </c>
      <c r="DU62" s="199">
        <f t="shared" si="143"/>
        <v>0</v>
      </c>
      <c r="DV62" s="199">
        <f t="shared" si="144"/>
        <v>0</v>
      </c>
      <c r="DW62" s="199">
        <f t="shared" si="145"/>
        <v>20.854220974533785</v>
      </c>
      <c r="DX62" s="199">
        <f t="shared" si="146"/>
        <v>1.0108471337477438</v>
      </c>
      <c r="DY62" s="199">
        <f t="shared" si="147"/>
        <v>0</v>
      </c>
      <c r="DZ62" s="199">
        <f t="shared" si="148"/>
        <v>0.0460240978544215</v>
      </c>
      <c r="EA62" s="199">
        <f t="shared" si="149"/>
        <v>125.89621188863845</v>
      </c>
      <c r="EB62" s="199">
        <f t="shared" si="150"/>
        <v>15.740242886301182</v>
      </c>
      <c r="EC62" s="202">
        <f t="shared" si="51"/>
        <v>592.9774984549075</v>
      </c>
      <c r="ED62" s="202">
        <f>SUM(CV62:DI62,DS62:DT62,DW62,DY62,EA62:EB62)</f>
        <v>558.7208742656154</v>
      </c>
      <c r="EE62" s="203">
        <f t="shared" si="52"/>
        <v>92.48667533194994</v>
      </c>
      <c r="EF62" s="199"/>
      <c r="EI62" s="1">
        <f t="shared" si="151"/>
        <v>0.5699766927982697</v>
      </c>
      <c r="EJ62" s="1">
        <f t="shared" si="152"/>
        <v>0.010606863429336002</v>
      </c>
      <c r="EK62" s="1">
        <f t="shared" si="153"/>
        <v>0.24682268761392</v>
      </c>
      <c r="EL62" s="1">
        <f t="shared" si="154"/>
        <v>0</v>
      </c>
      <c r="EM62" s="1">
        <f t="shared" si="155"/>
        <v>0</v>
      </c>
      <c r="EN62" s="1">
        <f t="shared" si="156"/>
        <v>0</v>
      </c>
      <c r="EO62" s="1">
        <f t="shared" si="157"/>
        <v>0.2644897670328</v>
      </c>
      <c r="EP62" s="1">
        <f t="shared" si="158"/>
        <v>0</v>
      </c>
      <c r="EQ62" s="1">
        <f t="shared" si="159"/>
        <v>0</v>
      </c>
      <c r="ER62" s="1">
        <f t="shared" si="160"/>
        <v>0</v>
      </c>
      <c r="ES62" s="1">
        <f t="shared" si="161"/>
        <v>0</v>
      </c>
      <c r="ET62" s="1">
        <f t="shared" si="162"/>
        <v>0.14589546715944002</v>
      </c>
      <c r="EU62" s="1">
        <f t="shared" si="163"/>
        <v>0</v>
      </c>
      <c r="EV62" s="1">
        <f t="shared" si="164"/>
        <v>0</v>
      </c>
      <c r="EW62" s="1">
        <f t="shared" si="165"/>
        <v>0.10099701098903999</v>
      </c>
      <c r="EX62" s="1">
        <f t="shared" si="166"/>
        <v>0.10099701098903999</v>
      </c>
      <c r="EY62" s="1">
        <f t="shared" si="167"/>
        <v>0.10099701098903999</v>
      </c>
      <c r="EZ62" s="1">
        <f t="shared" si="168"/>
        <v>0.10099701098903999</v>
      </c>
      <c r="FA62" s="1">
        <f t="shared" si="169"/>
        <v>0</v>
      </c>
      <c r="FB62" s="1">
        <f t="shared" si="170"/>
        <v>0</v>
      </c>
      <c r="FC62" s="1">
        <f t="shared" si="171"/>
        <v>0.059350736407200004</v>
      </c>
      <c r="FD62" s="1">
        <f t="shared" si="172"/>
        <v>0</v>
      </c>
      <c r="FE62" s="1">
        <f t="shared" si="173"/>
        <v>0.059350736407200004</v>
      </c>
      <c r="FF62" s="1">
        <f t="shared" si="174"/>
        <v>0</v>
      </c>
      <c r="FG62" s="1">
        <f t="shared" si="175"/>
        <v>0</v>
      </c>
      <c r="FH62" s="1">
        <f t="shared" si="176"/>
        <v>0</v>
      </c>
      <c r="FI62" s="1">
        <f t="shared" si="177"/>
        <v>0</v>
      </c>
      <c r="FJ62" s="1">
        <f t="shared" si="178"/>
        <v>0</v>
      </c>
      <c r="FK62" s="1">
        <f t="shared" si="179"/>
        <v>0</v>
      </c>
      <c r="FL62" s="1">
        <f t="shared" si="180"/>
        <v>0</v>
      </c>
      <c r="FM62" s="1">
        <f t="shared" si="181"/>
        <v>0.0057571153094400015</v>
      </c>
      <c r="FN62" s="1">
        <f t="shared" si="182"/>
        <v>7.46760736344</v>
      </c>
      <c r="FO62" s="1">
        <f>IF(O62=0,0,SUM(EI62:FN62))</f>
        <v>9.233845473553766</v>
      </c>
    </row>
    <row r="63" spans="1:171" ht="12.75">
      <c r="A63" s="33">
        <v>126</v>
      </c>
      <c r="B63" s="34" t="s">
        <v>179</v>
      </c>
      <c r="C63" s="34" t="s">
        <v>199</v>
      </c>
      <c r="D63" s="35" t="s">
        <v>171</v>
      </c>
      <c r="E63" s="35">
        <v>3</v>
      </c>
      <c r="F63" s="35" t="s">
        <v>186</v>
      </c>
      <c r="G63" s="35" t="s">
        <v>74</v>
      </c>
      <c r="H63" s="35" t="s">
        <v>75</v>
      </c>
      <c r="I63" s="35">
        <v>3</v>
      </c>
      <c r="J63" s="35"/>
      <c r="K63" s="26">
        <f t="shared" si="85"/>
        <v>1</v>
      </c>
      <c r="L63" s="26">
        <f t="shared" si="86"/>
        <v>1</v>
      </c>
      <c r="M63" s="33">
        <v>290400</v>
      </c>
      <c r="N63" s="33">
        <v>954446</v>
      </c>
      <c r="O63" s="27">
        <f t="shared" si="87"/>
        <v>247000</v>
      </c>
      <c r="P63" s="30">
        <v>247000</v>
      </c>
      <c r="Q63" s="30">
        <v>260000</v>
      </c>
      <c r="R63" s="30">
        <v>131600</v>
      </c>
      <c r="S63" s="31">
        <v>74100</v>
      </c>
      <c r="T63" s="31">
        <v>0</v>
      </c>
      <c r="U63" s="31">
        <v>0</v>
      </c>
      <c r="V63" s="31">
        <v>0</v>
      </c>
      <c r="W63" s="30">
        <v>107000</v>
      </c>
      <c r="X63" s="31">
        <v>12000</v>
      </c>
      <c r="Y63" s="31">
        <v>0</v>
      </c>
      <c r="Z63" s="30">
        <v>0</v>
      </c>
      <c r="AA63" s="31">
        <v>0</v>
      </c>
      <c r="AB63" s="30">
        <v>37500</v>
      </c>
      <c r="AC63" s="30">
        <v>0</v>
      </c>
      <c r="AD63" s="30">
        <v>0</v>
      </c>
      <c r="AE63" s="30">
        <v>67300</v>
      </c>
      <c r="AF63" s="30">
        <v>8700</v>
      </c>
      <c r="AG63" s="30">
        <v>0</v>
      </c>
      <c r="AH63" s="30">
        <v>68400</v>
      </c>
      <c r="AI63" s="30">
        <v>0</v>
      </c>
      <c r="AJ63" s="30">
        <v>0</v>
      </c>
      <c r="AK63" s="30">
        <v>99100</v>
      </c>
      <c r="AL63" s="30">
        <v>0</v>
      </c>
      <c r="AM63" s="30">
        <v>21700</v>
      </c>
      <c r="AN63" s="31">
        <v>11600</v>
      </c>
      <c r="AO63" s="30">
        <v>0</v>
      </c>
      <c r="AP63" s="31">
        <v>0</v>
      </c>
      <c r="AQ63" s="31">
        <v>10100</v>
      </c>
      <c r="AR63" s="31">
        <v>0</v>
      </c>
      <c r="AS63" s="31">
        <v>21200</v>
      </c>
      <c r="AT63" s="31">
        <v>155</v>
      </c>
      <c r="AU63" s="30">
        <v>595</v>
      </c>
      <c r="AX63" s="2">
        <f t="shared" si="0"/>
        <v>199936</v>
      </c>
      <c r="AY63" s="32">
        <f t="shared" si="105"/>
        <v>189939.19999999998</v>
      </c>
      <c r="AZ63" s="186">
        <f t="shared" si="106"/>
        <v>0.4365833993075444</v>
      </c>
      <c r="BA63" s="186">
        <f t="shared" si="107"/>
        <v>0.09071934388191041</v>
      </c>
      <c r="BB63" s="186">
        <f t="shared" si="108"/>
        <v>0.2968784773273695</v>
      </c>
      <c r="BC63" s="53">
        <f t="shared" si="88"/>
        <v>247000</v>
      </c>
      <c r="BD63" s="53">
        <f t="shared" si="5"/>
        <v>100614.16049464908</v>
      </c>
      <c r="BE63" s="53">
        <f t="shared" si="6"/>
        <v>20907.003426564013</v>
      </c>
      <c r="BF63" s="53">
        <f t="shared" si="7"/>
        <v>68418.03607878688</v>
      </c>
      <c r="BG63" s="53"/>
      <c r="BH63" s="53">
        <f t="shared" si="89"/>
        <v>10</v>
      </c>
      <c r="BI63" s="53">
        <f t="shared" si="90"/>
        <v>8</v>
      </c>
      <c r="BJ63" s="53">
        <f t="shared" si="91"/>
        <v>5</v>
      </c>
      <c r="BK63" s="53">
        <f t="shared" si="92"/>
        <v>6</v>
      </c>
      <c r="BL63" s="53"/>
      <c r="BM63" s="53">
        <f t="shared" si="93"/>
        <v>4</v>
      </c>
      <c r="BN63" s="53">
        <f t="shared" si="94"/>
        <v>4</v>
      </c>
      <c r="BO63" s="53">
        <f t="shared" si="95"/>
        <v>2</v>
      </c>
      <c r="BP63" s="53">
        <f t="shared" si="96"/>
        <v>0</v>
      </c>
      <c r="BQ63" s="53"/>
      <c r="BR63" s="53">
        <f t="shared" si="97"/>
        <v>13</v>
      </c>
      <c r="BS63" s="53">
        <f t="shared" si="98"/>
        <v>68.4</v>
      </c>
      <c r="BT63" s="53">
        <f t="shared" si="99"/>
        <v>11</v>
      </c>
      <c r="BU63" s="53">
        <f t="shared" si="109"/>
        <v>44352</v>
      </c>
      <c r="BV63" s="53"/>
      <c r="BW63" s="53">
        <f t="shared" si="183"/>
        <v>26000</v>
      </c>
      <c r="BX63" s="53">
        <f t="shared" si="101"/>
        <v>-38052</v>
      </c>
      <c r="BY63" s="53">
        <f t="shared" si="110"/>
        <v>-34350.184929088515</v>
      </c>
      <c r="BZ63" s="240">
        <f t="shared" si="102"/>
        <v>10.0976</v>
      </c>
      <c r="CC63" s="1">
        <f t="shared" si="111"/>
        <v>0</v>
      </c>
      <c r="CD63" s="195">
        <f t="shared" si="112"/>
        <v>8619.599999999999</v>
      </c>
      <c r="CE63" s="195">
        <f t="shared" si="113"/>
        <v>8619.599999999999</v>
      </c>
      <c r="CF63" s="239">
        <f t="shared" si="114"/>
        <v>4.35</v>
      </c>
      <c r="CG63" s="239">
        <f t="shared" si="114"/>
        <v>29.880000000000003</v>
      </c>
      <c r="CH63" s="1">
        <f t="shared" si="103"/>
        <v>14342.400000000001</v>
      </c>
      <c r="CK63" s="211">
        <f t="shared" si="115"/>
        <v>0</v>
      </c>
      <c r="CL63" s="211">
        <f t="shared" si="116"/>
        <v>0</v>
      </c>
      <c r="CM63" s="211">
        <f t="shared" si="117"/>
        <v>0</v>
      </c>
      <c r="CQ63" s="1">
        <f t="shared" si="104"/>
        <v>1</v>
      </c>
      <c r="CR63" s="195">
        <f t="shared" si="17"/>
        <v>10000</v>
      </c>
      <c r="CS63" s="195"/>
      <c r="CT63" s="195"/>
      <c r="CV63" s="199">
        <f t="shared" si="118"/>
        <v>132.08229396430718</v>
      </c>
      <c r="CW63" s="199">
        <f t="shared" si="119"/>
        <v>39.51958291558051</v>
      </c>
      <c r="CX63" s="199">
        <f t="shared" si="120"/>
        <v>145.87610988570282</v>
      </c>
      <c r="CY63" s="199">
        <f t="shared" si="121"/>
        <v>0</v>
      </c>
      <c r="CZ63" s="199">
        <f t="shared" si="122"/>
        <v>0</v>
      </c>
      <c r="DA63" s="199">
        <f t="shared" si="123"/>
        <v>0</v>
      </c>
      <c r="DB63" s="199">
        <f t="shared" si="124"/>
        <v>27.847892520553437</v>
      </c>
      <c r="DC63" s="199">
        <f t="shared" si="125"/>
        <v>3.1231281331461798</v>
      </c>
      <c r="DD63" s="199">
        <f t="shared" si="126"/>
        <v>0</v>
      </c>
      <c r="DE63" s="199">
        <f t="shared" si="127"/>
        <v>0</v>
      </c>
      <c r="DF63" s="199">
        <f t="shared" si="128"/>
        <v>0</v>
      </c>
      <c r="DG63" s="199">
        <f t="shared" si="129"/>
        <v>49.73731702426308</v>
      </c>
      <c r="DH63" s="199">
        <f t="shared" si="130"/>
        <v>0</v>
      </c>
      <c r="DI63" s="199">
        <f t="shared" si="131"/>
        <v>0</v>
      </c>
      <c r="DJ63" s="199">
        <f t="shared" si="132"/>
        <v>9.195660397032283</v>
      </c>
      <c r="DK63" s="199">
        <f t="shared" si="133"/>
        <v>1.1887406456787646</v>
      </c>
      <c r="DL63" s="199">
        <f t="shared" si="134"/>
        <v>0</v>
      </c>
      <c r="DM63" s="199">
        <f t="shared" si="135"/>
        <v>9.345960938439942</v>
      </c>
      <c r="DN63" s="199">
        <f t="shared" si="136"/>
        <v>0</v>
      </c>
      <c r="DO63" s="199">
        <f t="shared" si="137"/>
        <v>0</v>
      </c>
      <c r="DP63" s="199">
        <f t="shared" si="138"/>
        <v>13.540712412271906</v>
      </c>
      <c r="DQ63" s="199">
        <f t="shared" si="139"/>
        <v>0</v>
      </c>
      <c r="DR63" s="199">
        <f t="shared" si="140"/>
        <v>3.2582634850611587</v>
      </c>
      <c r="DS63" s="199">
        <f t="shared" si="141"/>
        <v>30.77082013234409</v>
      </c>
      <c r="DT63" s="199">
        <f t="shared" si="142"/>
        <v>0</v>
      </c>
      <c r="DU63" s="199">
        <f t="shared" si="143"/>
        <v>0</v>
      </c>
      <c r="DV63" s="199">
        <f t="shared" si="144"/>
        <v>0.002948786845799077</v>
      </c>
      <c r="DW63" s="199">
        <f t="shared" si="145"/>
        <v>0</v>
      </c>
      <c r="DX63" s="199">
        <f t="shared" si="146"/>
        <v>1.3723078403850009</v>
      </c>
      <c r="DY63" s="199">
        <f t="shared" si="147"/>
        <v>6.41309003408863</v>
      </c>
      <c r="DZ63" s="199">
        <f t="shared" si="148"/>
        <v>0.03851524363344696</v>
      </c>
      <c r="EA63" s="199">
        <f t="shared" si="149"/>
        <v>110.2751879109685</v>
      </c>
      <c r="EB63" s="199">
        <f t="shared" si="150"/>
        <v>13.704488050370964</v>
      </c>
      <c r="EC63" s="202">
        <f t="shared" si="51"/>
        <v>597.2930203206737</v>
      </c>
      <c r="ED63" s="202">
        <f>SUM(CV63:DI63,DS63:DT63,DW63,DY63,EA63:EB63)</f>
        <v>559.3499105713254</v>
      </c>
      <c r="EE63" s="203">
        <f t="shared" si="52"/>
        <v>92.59080152314456</v>
      </c>
      <c r="EF63" s="199"/>
      <c r="EI63" s="1">
        <f t="shared" si="151"/>
        <v>0.5699766927982697</v>
      </c>
      <c r="EJ63" s="1">
        <f t="shared" si="152"/>
        <v>0.010606863429336002</v>
      </c>
      <c r="EK63" s="1">
        <f t="shared" si="153"/>
        <v>0.24682268761392</v>
      </c>
      <c r="EL63" s="1">
        <f t="shared" si="154"/>
        <v>0</v>
      </c>
      <c r="EM63" s="1">
        <f t="shared" si="155"/>
        <v>0</v>
      </c>
      <c r="EN63" s="1">
        <f t="shared" si="156"/>
        <v>0</v>
      </c>
      <c r="EO63" s="1">
        <f t="shared" si="157"/>
        <v>0.2644897670328</v>
      </c>
      <c r="EP63" s="1">
        <f t="shared" si="158"/>
        <v>0</v>
      </c>
      <c r="EQ63" s="1">
        <f t="shared" si="159"/>
        <v>0</v>
      </c>
      <c r="ER63" s="1">
        <f t="shared" si="160"/>
        <v>0</v>
      </c>
      <c r="ES63" s="1">
        <f t="shared" si="161"/>
        <v>0</v>
      </c>
      <c r="ET63" s="1">
        <f t="shared" si="162"/>
        <v>0.14589546715944002</v>
      </c>
      <c r="EU63" s="1">
        <f t="shared" si="163"/>
        <v>0</v>
      </c>
      <c r="EV63" s="1">
        <f t="shared" si="164"/>
        <v>0</v>
      </c>
      <c r="EW63" s="1">
        <f t="shared" si="165"/>
        <v>0.10099701098903999</v>
      </c>
      <c r="EX63" s="1">
        <f t="shared" si="166"/>
        <v>0.059350736407200004</v>
      </c>
      <c r="EY63" s="1">
        <f t="shared" si="167"/>
        <v>0</v>
      </c>
      <c r="EZ63" s="1">
        <f t="shared" si="168"/>
        <v>0.10099701098903999</v>
      </c>
      <c r="FA63" s="1">
        <f t="shared" si="169"/>
        <v>0</v>
      </c>
      <c r="FB63" s="1">
        <f t="shared" si="170"/>
        <v>0</v>
      </c>
      <c r="FC63" s="1">
        <f t="shared" si="171"/>
        <v>0.10099701098903999</v>
      </c>
      <c r="FD63" s="1">
        <f t="shared" si="172"/>
        <v>0</v>
      </c>
      <c r="FE63" s="1">
        <f t="shared" si="173"/>
        <v>0.059350736407200004</v>
      </c>
      <c r="FF63" s="1">
        <f t="shared" si="174"/>
        <v>0.059350736407200004</v>
      </c>
      <c r="FG63" s="1">
        <f t="shared" si="175"/>
        <v>0</v>
      </c>
      <c r="FH63" s="1">
        <f t="shared" si="176"/>
        <v>0</v>
      </c>
      <c r="FI63" s="1">
        <f t="shared" si="177"/>
        <v>0</v>
      </c>
      <c r="FJ63" s="1">
        <f t="shared" si="178"/>
        <v>0</v>
      </c>
      <c r="FK63" s="1">
        <f t="shared" si="179"/>
        <v>0</v>
      </c>
      <c r="FL63" s="1">
        <f t="shared" si="180"/>
        <v>4.263919336981805</v>
      </c>
      <c r="FM63" s="1">
        <f t="shared" si="181"/>
        <v>0.0057571153094400015</v>
      </c>
      <c r="FN63" s="1">
        <f t="shared" si="182"/>
        <v>7.46760736344</v>
      </c>
      <c r="FO63" s="1">
        <f>IF(O63=0,0,SUM(EI63:FN63))</f>
        <v>13.45611853595373</v>
      </c>
    </row>
    <row r="64" spans="1:171" ht="12.75">
      <c r="A64" s="33">
        <v>127</v>
      </c>
      <c r="B64" s="41" t="s">
        <v>200</v>
      </c>
      <c r="C64" s="34" t="s">
        <v>185</v>
      </c>
      <c r="D64" s="35" t="s">
        <v>171</v>
      </c>
      <c r="E64" s="35">
        <v>3</v>
      </c>
      <c r="F64" s="35" t="s">
        <v>186</v>
      </c>
      <c r="G64" s="35" t="s">
        <v>74</v>
      </c>
      <c r="H64" s="35" t="s">
        <v>75</v>
      </c>
      <c r="I64" s="35">
        <v>3</v>
      </c>
      <c r="J64" s="35"/>
      <c r="K64" s="26">
        <f t="shared" si="85"/>
        <v>1</v>
      </c>
      <c r="L64" s="26">
        <f t="shared" si="86"/>
        <v>1</v>
      </c>
      <c r="M64" s="33">
        <v>295206</v>
      </c>
      <c r="N64" s="33">
        <v>935806</v>
      </c>
      <c r="O64" s="27">
        <f t="shared" si="87"/>
        <v>260000</v>
      </c>
      <c r="P64" s="30">
        <v>260000</v>
      </c>
      <c r="Q64" s="30">
        <v>265000</v>
      </c>
      <c r="R64" s="30">
        <v>173500</v>
      </c>
      <c r="S64" s="31">
        <v>103000</v>
      </c>
      <c r="T64" s="31">
        <v>0</v>
      </c>
      <c r="U64" s="31">
        <v>0</v>
      </c>
      <c r="V64" s="31">
        <v>0</v>
      </c>
      <c r="W64" s="30">
        <v>78600</v>
      </c>
      <c r="X64" s="31">
        <v>0</v>
      </c>
      <c r="Y64" s="31">
        <v>0</v>
      </c>
      <c r="Z64" s="30">
        <v>46000</v>
      </c>
      <c r="AA64" s="31">
        <v>0</v>
      </c>
      <c r="AB64" s="30">
        <v>53800</v>
      </c>
      <c r="AC64" s="30">
        <v>0</v>
      </c>
      <c r="AD64" s="30">
        <v>0</v>
      </c>
      <c r="AE64" s="30">
        <v>50500</v>
      </c>
      <c r="AF64" s="30">
        <v>84000</v>
      </c>
      <c r="AG64" s="30">
        <v>33000</v>
      </c>
      <c r="AH64" s="30">
        <v>77300</v>
      </c>
      <c r="AI64" s="30">
        <v>0</v>
      </c>
      <c r="AJ64" s="30">
        <v>0</v>
      </c>
      <c r="AK64" s="30">
        <v>61000</v>
      </c>
      <c r="AL64" s="30">
        <v>0</v>
      </c>
      <c r="AM64" s="30">
        <v>16500</v>
      </c>
      <c r="AN64" s="31">
        <v>0</v>
      </c>
      <c r="AO64" s="30">
        <v>0</v>
      </c>
      <c r="AP64" s="31">
        <v>3600</v>
      </c>
      <c r="AQ64" s="31">
        <v>0</v>
      </c>
      <c r="AR64" s="31">
        <v>0</v>
      </c>
      <c r="AS64" s="31">
        <v>32240</v>
      </c>
      <c r="AT64" s="31">
        <v>0</v>
      </c>
      <c r="AU64" s="30">
        <v>1197</v>
      </c>
      <c r="AX64" s="2">
        <f t="shared" si="0"/>
        <v>204828.8</v>
      </c>
      <c r="AY64" s="32">
        <f t="shared" si="105"/>
        <v>200964.10566037736</v>
      </c>
      <c r="AZ64" s="186">
        <f t="shared" si="106"/>
        <v>0.4365833993075444</v>
      </c>
      <c r="BA64" s="186">
        <f t="shared" si="107"/>
        <v>0.09071934388191041</v>
      </c>
      <c r="BB64" s="186">
        <f t="shared" si="108"/>
        <v>0.2968784773273695</v>
      </c>
      <c r="BC64" s="53">
        <f t="shared" si="88"/>
        <v>260000</v>
      </c>
      <c r="BD64" s="53">
        <f t="shared" si="5"/>
        <v>106454.24841516037</v>
      </c>
      <c r="BE64" s="53">
        <f t="shared" si="6"/>
        <v>22120.53775975619</v>
      </c>
      <c r="BF64" s="53">
        <f t="shared" si="7"/>
        <v>72389.31948546082</v>
      </c>
      <c r="BG64" s="53"/>
      <c r="BH64" s="53">
        <f t="shared" si="89"/>
        <v>10</v>
      </c>
      <c r="BI64" s="53">
        <f t="shared" si="90"/>
        <v>8</v>
      </c>
      <c r="BJ64" s="53">
        <f t="shared" si="91"/>
        <v>5</v>
      </c>
      <c r="BK64" s="53">
        <f t="shared" si="92"/>
        <v>6</v>
      </c>
      <c r="BL64" s="53"/>
      <c r="BM64" s="53">
        <f t="shared" si="93"/>
        <v>4</v>
      </c>
      <c r="BN64" s="53">
        <f t="shared" si="94"/>
        <v>4</v>
      </c>
      <c r="BO64" s="53">
        <f t="shared" si="95"/>
        <v>2</v>
      </c>
      <c r="BP64" s="53">
        <f t="shared" si="96"/>
        <v>0</v>
      </c>
      <c r="BQ64" s="53"/>
      <c r="BR64" s="53">
        <f t="shared" si="97"/>
        <v>13</v>
      </c>
      <c r="BS64" s="53">
        <f t="shared" si="98"/>
        <v>68.4</v>
      </c>
      <c r="BT64" s="53">
        <f t="shared" si="99"/>
        <v>11</v>
      </c>
      <c r="BU64" s="53">
        <f t="shared" si="109"/>
        <v>44352</v>
      </c>
      <c r="BV64" s="53"/>
      <c r="BW64" s="53">
        <f t="shared" si="183"/>
        <v>26000</v>
      </c>
      <c r="BX64" s="53">
        <f t="shared" si="101"/>
        <v>-38052</v>
      </c>
      <c r="BY64" s="53">
        <f t="shared" si="110"/>
        <v>-34350.184929088515</v>
      </c>
      <c r="BZ64" s="240">
        <f t="shared" si="102"/>
        <v>10.0976</v>
      </c>
      <c r="CC64" s="1">
        <f t="shared" si="111"/>
        <v>0</v>
      </c>
      <c r="CD64" s="195">
        <f t="shared" si="112"/>
        <v>8619.599999999999</v>
      </c>
      <c r="CE64" s="195">
        <f t="shared" si="113"/>
        <v>8619.599999999999</v>
      </c>
      <c r="CF64" s="239">
        <f t="shared" si="114"/>
        <v>4.35</v>
      </c>
      <c r="CG64" s="239">
        <f t="shared" si="114"/>
        <v>29.880000000000003</v>
      </c>
      <c r="CH64" s="1">
        <f t="shared" si="103"/>
        <v>14342.400000000001</v>
      </c>
      <c r="CK64" s="211">
        <f t="shared" si="115"/>
        <v>0</v>
      </c>
      <c r="CL64" s="211">
        <f t="shared" si="116"/>
        <v>0</v>
      </c>
      <c r="CM64" s="211">
        <f t="shared" si="117"/>
        <v>0</v>
      </c>
      <c r="CQ64" s="1">
        <f t="shared" si="104"/>
        <v>1</v>
      </c>
      <c r="CR64" s="195">
        <f t="shared" si="17"/>
        <v>10000</v>
      </c>
      <c r="CS64" s="195"/>
      <c r="CT64" s="195"/>
      <c r="CV64" s="199">
        <f t="shared" si="118"/>
        <v>134.6223380790054</v>
      </c>
      <c r="CW64" s="199">
        <f t="shared" si="119"/>
        <v>52.102185682775215</v>
      </c>
      <c r="CX64" s="199">
        <f t="shared" si="120"/>
        <v>202.7697613795869</v>
      </c>
      <c r="CY64" s="199">
        <f t="shared" si="121"/>
        <v>0</v>
      </c>
      <c r="CZ64" s="199">
        <f t="shared" si="122"/>
        <v>0</v>
      </c>
      <c r="DA64" s="199">
        <f t="shared" si="123"/>
        <v>0</v>
      </c>
      <c r="DB64" s="199">
        <f t="shared" si="124"/>
        <v>20.45648927210748</v>
      </c>
      <c r="DC64" s="199">
        <f t="shared" si="125"/>
        <v>0</v>
      </c>
      <c r="DD64" s="199">
        <f t="shared" si="126"/>
        <v>0</v>
      </c>
      <c r="DE64" s="199">
        <f t="shared" si="127"/>
        <v>13.967323039903748</v>
      </c>
      <c r="DF64" s="199">
        <f t="shared" si="128"/>
        <v>0</v>
      </c>
      <c r="DG64" s="199">
        <f t="shared" si="129"/>
        <v>71.35647082414278</v>
      </c>
      <c r="DH64" s="199">
        <f t="shared" si="130"/>
        <v>0</v>
      </c>
      <c r="DI64" s="199">
        <f t="shared" si="131"/>
        <v>0</v>
      </c>
      <c r="DJ64" s="199">
        <f t="shared" si="132"/>
        <v>6.900161219169841</v>
      </c>
      <c r="DK64" s="199">
        <f t="shared" si="133"/>
        <v>11.47749588931221</v>
      </c>
      <c r="DL64" s="199">
        <f t="shared" si="134"/>
        <v>4.509016242229797</v>
      </c>
      <c r="DM64" s="199">
        <f t="shared" si="135"/>
        <v>10.562028955283736</v>
      </c>
      <c r="DN64" s="199">
        <f t="shared" si="136"/>
        <v>0</v>
      </c>
      <c r="DO64" s="199">
        <f t="shared" si="137"/>
        <v>0</v>
      </c>
      <c r="DP64" s="199">
        <f t="shared" si="138"/>
        <v>8.334848205333866</v>
      </c>
      <c r="DQ64" s="199">
        <f t="shared" si="139"/>
        <v>0</v>
      </c>
      <c r="DR64" s="199">
        <f t="shared" si="140"/>
        <v>2.4774814517746138</v>
      </c>
      <c r="DS64" s="199">
        <f t="shared" si="141"/>
        <v>0</v>
      </c>
      <c r="DT64" s="199">
        <f t="shared" si="142"/>
        <v>0</v>
      </c>
      <c r="DU64" s="199">
        <f t="shared" si="143"/>
        <v>0.0010510527371165028</v>
      </c>
      <c r="DV64" s="199">
        <f t="shared" si="144"/>
        <v>0</v>
      </c>
      <c r="DW64" s="199">
        <f t="shared" si="145"/>
        <v>0</v>
      </c>
      <c r="DX64" s="199">
        <f t="shared" si="146"/>
        <v>2.086943621415681</v>
      </c>
      <c r="DY64" s="199">
        <f t="shared" si="147"/>
        <v>0</v>
      </c>
      <c r="DZ64" s="199">
        <f t="shared" si="148"/>
        <v>0.07748360778022859</v>
      </c>
      <c r="EA64" s="199">
        <f t="shared" si="149"/>
        <v>116.67604430816725</v>
      </c>
      <c r="EB64" s="199">
        <f t="shared" si="150"/>
        <v>14.458023170437853</v>
      </c>
      <c r="EC64" s="202">
        <f t="shared" si="51"/>
        <v>672.8351460011636</v>
      </c>
      <c r="ED64" s="202">
        <f>SUM(CV64:DI64,DS64:DT64,DW64,DY64,EA64:EB64)</f>
        <v>626.4086357561266</v>
      </c>
      <c r="EE64" s="203">
        <f t="shared" si="52"/>
        <v>103.6912254199484</v>
      </c>
      <c r="EF64" s="199"/>
      <c r="EI64" s="1">
        <f t="shared" si="151"/>
        <v>0.5699766927982697</v>
      </c>
      <c r="EJ64" s="1">
        <f t="shared" si="152"/>
        <v>0.010606863429336002</v>
      </c>
      <c r="EK64" s="1">
        <f t="shared" si="153"/>
        <v>0.24682268761392</v>
      </c>
      <c r="EL64" s="1">
        <f t="shared" si="154"/>
        <v>0</v>
      </c>
      <c r="EM64" s="1">
        <f t="shared" si="155"/>
        <v>0</v>
      </c>
      <c r="EN64" s="1">
        <f t="shared" si="156"/>
        <v>0</v>
      </c>
      <c r="EO64" s="1">
        <f t="shared" si="157"/>
        <v>0.2644897670328</v>
      </c>
      <c r="EP64" s="1">
        <f t="shared" si="158"/>
        <v>0</v>
      </c>
      <c r="EQ64" s="1">
        <f t="shared" si="159"/>
        <v>0.21621849683808003</v>
      </c>
      <c r="ER64" s="1">
        <f t="shared" si="160"/>
        <v>0</v>
      </c>
      <c r="ES64" s="1">
        <f t="shared" si="161"/>
        <v>0</v>
      </c>
      <c r="ET64" s="1">
        <f t="shared" si="162"/>
        <v>0.14589546715944002</v>
      </c>
      <c r="EU64" s="1">
        <f t="shared" si="163"/>
        <v>0</v>
      </c>
      <c r="EV64" s="1">
        <f t="shared" si="164"/>
        <v>0</v>
      </c>
      <c r="EW64" s="1">
        <f t="shared" si="165"/>
        <v>0.10099701098903999</v>
      </c>
      <c r="EX64" s="1">
        <f t="shared" si="166"/>
        <v>0.10099701098903999</v>
      </c>
      <c r="EY64" s="1">
        <f t="shared" si="167"/>
        <v>0.059350736407200004</v>
      </c>
      <c r="EZ64" s="1">
        <f t="shared" si="168"/>
        <v>0.10099701098903999</v>
      </c>
      <c r="FA64" s="1">
        <f t="shared" si="169"/>
        <v>0</v>
      </c>
      <c r="FB64" s="1">
        <f t="shared" si="170"/>
        <v>0</v>
      </c>
      <c r="FC64" s="1">
        <f t="shared" si="171"/>
        <v>0.10099701098903999</v>
      </c>
      <c r="FD64" s="1">
        <f t="shared" si="172"/>
        <v>0</v>
      </c>
      <c r="FE64" s="1">
        <f t="shared" si="173"/>
        <v>0.059350736407200004</v>
      </c>
      <c r="FF64" s="1">
        <f t="shared" si="174"/>
        <v>0</v>
      </c>
      <c r="FG64" s="1">
        <f t="shared" si="175"/>
        <v>0</v>
      </c>
      <c r="FH64" s="1">
        <f t="shared" si="176"/>
        <v>0</v>
      </c>
      <c r="FI64" s="1">
        <f t="shared" si="177"/>
        <v>0</v>
      </c>
      <c r="FJ64" s="1">
        <f t="shared" si="178"/>
        <v>0</v>
      </c>
      <c r="FK64" s="1">
        <f t="shared" si="179"/>
        <v>0</v>
      </c>
      <c r="FL64" s="1">
        <f t="shared" si="180"/>
        <v>0</v>
      </c>
      <c r="FM64" s="1">
        <f t="shared" si="181"/>
        <v>0.0057571153094400015</v>
      </c>
      <c r="FN64" s="1">
        <f t="shared" si="182"/>
        <v>7.46760736344</v>
      </c>
      <c r="FO64" s="1">
        <f>IF(O64=0,0,SUM(EI64:FN64))</f>
        <v>9.450063970391845</v>
      </c>
    </row>
    <row r="65" spans="1:171" ht="12.75">
      <c r="A65" s="33">
        <v>128</v>
      </c>
      <c r="B65" s="34" t="s">
        <v>201</v>
      </c>
      <c r="C65" s="34" t="s">
        <v>202</v>
      </c>
      <c r="D65" s="35" t="s">
        <v>171</v>
      </c>
      <c r="E65" s="35">
        <v>3</v>
      </c>
      <c r="F65" s="35" t="s">
        <v>186</v>
      </c>
      <c r="G65" s="35" t="s">
        <v>74</v>
      </c>
      <c r="H65" s="35" t="s">
        <v>75</v>
      </c>
      <c r="I65" s="35">
        <v>2</v>
      </c>
      <c r="J65" s="35"/>
      <c r="K65" s="26">
        <f t="shared" si="85"/>
        <v>1</v>
      </c>
      <c r="L65" s="26">
        <f t="shared" si="86"/>
        <v>1</v>
      </c>
      <c r="M65" s="33">
        <v>294317</v>
      </c>
      <c r="N65" s="33">
        <v>950745</v>
      </c>
      <c r="O65" s="27">
        <f t="shared" si="87"/>
        <v>333700</v>
      </c>
      <c r="P65" s="30">
        <v>333700</v>
      </c>
      <c r="Q65" s="30">
        <v>340000</v>
      </c>
      <c r="R65" s="30">
        <v>185500</v>
      </c>
      <c r="S65" s="31">
        <v>88000</v>
      </c>
      <c r="T65" s="31">
        <v>0</v>
      </c>
      <c r="U65" s="31">
        <v>0</v>
      </c>
      <c r="V65" s="31">
        <v>0</v>
      </c>
      <c r="W65" s="30">
        <v>70000</v>
      </c>
      <c r="X65" s="31">
        <v>5000</v>
      </c>
      <c r="Y65" s="31">
        <v>0</v>
      </c>
      <c r="Z65" s="30">
        <v>67000</v>
      </c>
      <c r="AA65" s="31">
        <v>0</v>
      </c>
      <c r="AB65" s="30">
        <v>47000</v>
      </c>
      <c r="AC65" s="30">
        <v>25000</v>
      </c>
      <c r="AD65" s="30">
        <v>0</v>
      </c>
      <c r="AE65" s="30">
        <v>80000</v>
      </c>
      <c r="AF65" s="30">
        <v>43000</v>
      </c>
      <c r="AG65" s="30">
        <v>37000</v>
      </c>
      <c r="AH65" s="30">
        <v>0</v>
      </c>
      <c r="AI65" s="30">
        <v>45000</v>
      </c>
      <c r="AJ65" s="30">
        <v>49500</v>
      </c>
      <c r="AK65" s="30">
        <v>80000</v>
      </c>
      <c r="AL65" s="30">
        <v>43000</v>
      </c>
      <c r="AM65" s="30">
        <v>18500</v>
      </c>
      <c r="AN65" s="31">
        <v>0</v>
      </c>
      <c r="AO65" s="30">
        <v>0</v>
      </c>
      <c r="AP65" s="31">
        <v>0</v>
      </c>
      <c r="AQ65" s="31">
        <v>0</v>
      </c>
      <c r="AR65" s="31">
        <v>0</v>
      </c>
      <c r="AS65" s="31">
        <v>30000</v>
      </c>
      <c r="AT65" s="31">
        <v>108</v>
      </c>
      <c r="AU65" s="30">
        <v>1150</v>
      </c>
      <c r="AX65" s="2">
        <f t="shared" si="0"/>
        <v>272800</v>
      </c>
      <c r="AY65" s="32">
        <f t="shared" si="105"/>
        <v>267745.17647058825</v>
      </c>
      <c r="AZ65" s="186">
        <f t="shared" si="106"/>
        <v>0.4365833993075444</v>
      </c>
      <c r="BA65" s="186">
        <f t="shared" si="107"/>
        <v>0.09071934388191041</v>
      </c>
      <c r="BB65" s="186">
        <f t="shared" si="108"/>
        <v>0.2968784773273695</v>
      </c>
      <c r="BC65" s="53">
        <f t="shared" si="88"/>
        <v>333700</v>
      </c>
      <c r="BD65" s="53">
        <f t="shared" si="5"/>
        <v>141829.3651709595</v>
      </c>
      <c r="BE65" s="53">
        <f t="shared" si="6"/>
        <v>29471.26934259266</v>
      </c>
      <c r="BF65" s="53">
        <f t="shared" si="7"/>
        <v>96444.5419570361</v>
      </c>
      <c r="BG65" s="53"/>
      <c r="BH65" s="53">
        <f t="shared" si="89"/>
        <v>13</v>
      </c>
      <c r="BI65" s="53">
        <f t="shared" si="90"/>
        <v>10</v>
      </c>
      <c r="BJ65" s="53">
        <f t="shared" si="91"/>
        <v>5</v>
      </c>
      <c r="BK65" s="53">
        <f t="shared" si="92"/>
        <v>8</v>
      </c>
      <c r="BL65" s="53"/>
      <c r="BM65" s="53">
        <f t="shared" si="93"/>
        <v>6</v>
      </c>
      <c r="BN65" s="53">
        <f t="shared" si="94"/>
        <v>4</v>
      </c>
      <c r="BO65" s="53">
        <f t="shared" si="95"/>
        <v>2</v>
      </c>
      <c r="BP65" s="53">
        <f t="shared" si="96"/>
        <v>0</v>
      </c>
      <c r="BQ65" s="53"/>
      <c r="BR65" s="53">
        <f t="shared" si="97"/>
        <v>19.5</v>
      </c>
      <c r="BS65" s="53">
        <f t="shared" si="98"/>
        <v>68.4</v>
      </c>
      <c r="BT65" s="53">
        <f t="shared" si="99"/>
        <v>11</v>
      </c>
      <c r="BU65" s="53">
        <f t="shared" si="109"/>
        <v>47472</v>
      </c>
      <c r="BV65" s="53"/>
      <c r="BW65" s="53">
        <f t="shared" si="183"/>
        <v>31200</v>
      </c>
      <c r="BX65" s="53">
        <f t="shared" si="101"/>
        <v>-39912</v>
      </c>
      <c r="BY65" s="53">
        <f t="shared" si="110"/>
        <v>-35469.82191490622</v>
      </c>
      <c r="BZ65" s="240">
        <f t="shared" si="102"/>
        <v>10.6761</v>
      </c>
      <c r="CC65" s="1">
        <f t="shared" si="111"/>
        <v>0</v>
      </c>
      <c r="CD65" s="195">
        <f t="shared" si="112"/>
        <v>8619.599999999999</v>
      </c>
      <c r="CE65" s="195">
        <f t="shared" si="113"/>
        <v>8619.599999999999</v>
      </c>
      <c r="CF65" s="239">
        <f t="shared" si="114"/>
        <v>4.35</v>
      </c>
      <c r="CG65" s="239">
        <f t="shared" si="114"/>
        <v>29.880000000000003</v>
      </c>
      <c r="CH65" s="1">
        <f t="shared" si="103"/>
        <v>14342.400000000001</v>
      </c>
      <c r="CK65" s="211">
        <f t="shared" si="115"/>
        <v>0</v>
      </c>
      <c r="CL65" s="211">
        <f t="shared" si="116"/>
        <v>0</v>
      </c>
      <c r="CM65" s="211">
        <f t="shared" si="117"/>
        <v>0</v>
      </c>
      <c r="CQ65" s="1">
        <f t="shared" si="104"/>
        <v>1</v>
      </c>
      <c r="CR65" s="195">
        <f t="shared" si="17"/>
        <v>10000</v>
      </c>
      <c r="CS65" s="195"/>
      <c r="CT65" s="195"/>
      <c r="CV65" s="199">
        <f t="shared" si="118"/>
        <v>172.72299979947863</v>
      </c>
      <c r="CW65" s="199">
        <f t="shared" si="119"/>
        <v>55.70579506717465</v>
      </c>
      <c r="CX65" s="199">
        <f t="shared" si="120"/>
        <v>173.2401844796471</v>
      </c>
      <c r="CY65" s="199">
        <f t="shared" si="121"/>
        <v>0</v>
      </c>
      <c r="CZ65" s="199">
        <f t="shared" si="122"/>
        <v>0</v>
      </c>
      <c r="DA65" s="199">
        <f t="shared" si="123"/>
        <v>0</v>
      </c>
      <c r="DB65" s="199">
        <f t="shared" si="124"/>
        <v>18.218247443352713</v>
      </c>
      <c r="DC65" s="199">
        <f t="shared" si="125"/>
        <v>1.3013033888109082</v>
      </c>
      <c r="DD65" s="199">
        <f t="shared" si="126"/>
        <v>0</v>
      </c>
      <c r="DE65" s="199">
        <f t="shared" si="127"/>
        <v>20.343709645077197</v>
      </c>
      <c r="DF65" s="199">
        <f t="shared" si="128"/>
        <v>0</v>
      </c>
      <c r="DG65" s="199">
        <f t="shared" si="129"/>
        <v>62.337437337076395</v>
      </c>
      <c r="DH65" s="199">
        <f t="shared" si="130"/>
        <v>33.15821134950872</v>
      </c>
      <c r="DI65" s="199">
        <f t="shared" si="131"/>
        <v>0</v>
      </c>
      <c r="DJ65" s="199">
        <f t="shared" si="132"/>
        <v>10.930948466011628</v>
      </c>
      <c r="DK65" s="199">
        <f t="shared" si="133"/>
        <v>5.875384800481251</v>
      </c>
      <c r="DL65" s="199">
        <f t="shared" si="134"/>
        <v>5.055563665530379</v>
      </c>
      <c r="DM65" s="199">
        <f t="shared" si="135"/>
        <v>0</v>
      </c>
      <c r="DN65" s="199">
        <f t="shared" si="136"/>
        <v>6.148658512131541</v>
      </c>
      <c r="DO65" s="199">
        <f t="shared" si="137"/>
        <v>6.763524363344695</v>
      </c>
      <c r="DP65" s="199">
        <f t="shared" si="138"/>
        <v>10.930948466011628</v>
      </c>
      <c r="DQ65" s="199">
        <f t="shared" si="139"/>
        <v>5.875384800481251</v>
      </c>
      <c r="DR65" s="199">
        <f t="shared" si="140"/>
        <v>2.7777822338079003</v>
      </c>
      <c r="DS65" s="199">
        <f t="shared" si="141"/>
        <v>0</v>
      </c>
      <c r="DT65" s="199">
        <f t="shared" si="142"/>
        <v>0</v>
      </c>
      <c r="DU65" s="199">
        <f t="shared" si="143"/>
        <v>0</v>
      </c>
      <c r="DV65" s="199">
        <f t="shared" si="144"/>
        <v>0</v>
      </c>
      <c r="DW65" s="199">
        <f t="shared" si="145"/>
        <v>0</v>
      </c>
      <c r="DX65" s="199">
        <f t="shared" si="146"/>
        <v>1.9419450571485861</v>
      </c>
      <c r="DY65" s="199">
        <f t="shared" si="147"/>
        <v>4.468475636655303</v>
      </c>
      <c r="DZ65" s="199">
        <f t="shared" si="148"/>
        <v>0.0744412271906958</v>
      </c>
      <c r="EA65" s="199">
        <f t="shared" si="149"/>
        <v>155.44789936753202</v>
      </c>
      <c r="EB65" s="199">
        <f t="shared" si="150"/>
        <v>18.86417660373441</v>
      </c>
      <c r="EC65" s="202">
        <f t="shared" si="51"/>
        <v>772.1830217101876</v>
      </c>
      <c r="ED65" s="202">
        <f>SUM(CV65:DI65,DS65:DT65,DW65,DY65,EA65:EB65)</f>
        <v>715.8084401180481</v>
      </c>
      <c r="EE65" s="203">
        <f t="shared" si="52"/>
        <v>118.48983249119618</v>
      </c>
      <c r="EF65" s="199"/>
      <c r="EI65" s="1">
        <f t="shared" si="151"/>
        <v>0.5699766927982697</v>
      </c>
      <c r="EJ65" s="1">
        <f t="shared" si="152"/>
        <v>0.010606863429336002</v>
      </c>
      <c r="EK65" s="1">
        <f t="shared" si="153"/>
        <v>0.24682268761392</v>
      </c>
      <c r="EL65" s="1">
        <f t="shared" si="154"/>
        <v>0</v>
      </c>
      <c r="EM65" s="1">
        <f t="shared" si="155"/>
        <v>0</v>
      </c>
      <c r="EN65" s="1">
        <f t="shared" si="156"/>
        <v>0</v>
      </c>
      <c r="EO65" s="1">
        <f t="shared" si="157"/>
        <v>0.2644897670328</v>
      </c>
      <c r="EP65" s="1">
        <f t="shared" si="158"/>
        <v>0</v>
      </c>
      <c r="EQ65" s="1">
        <f t="shared" si="159"/>
        <v>0.21621849683808003</v>
      </c>
      <c r="ER65" s="1">
        <f t="shared" si="160"/>
        <v>0</v>
      </c>
      <c r="ES65" s="1">
        <f t="shared" si="161"/>
        <v>0</v>
      </c>
      <c r="ET65" s="1">
        <f t="shared" si="162"/>
        <v>0.14589546715944002</v>
      </c>
      <c r="EU65" s="1">
        <f t="shared" si="163"/>
        <v>0.14589546715944002</v>
      </c>
      <c r="EV65" s="1">
        <f t="shared" si="164"/>
        <v>0</v>
      </c>
      <c r="EW65" s="1">
        <f t="shared" si="165"/>
        <v>0.10099701098903999</v>
      </c>
      <c r="EX65" s="1">
        <f t="shared" si="166"/>
        <v>0.10099701098903999</v>
      </c>
      <c r="EY65" s="1">
        <f t="shared" si="167"/>
        <v>0.10099701098903999</v>
      </c>
      <c r="EZ65" s="1">
        <f t="shared" si="168"/>
        <v>0</v>
      </c>
      <c r="FA65" s="1">
        <f t="shared" si="169"/>
        <v>0.10099701098903999</v>
      </c>
      <c r="FB65" s="1">
        <f t="shared" si="170"/>
        <v>0.10099701098903999</v>
      </c>
      <c r="FC65" s="1">
        <f t="shared" si="171"/>
        <v>0.10099701098903999</v>
      </c>
      <c r="FD65" s="1">
        <f t="shared" si="172"/>
        <v>0.10099701098903999</v>
      </c>
      <c r="FE65" s="1">
        <f t="shared" si="173"/>
        <v>0.059350736407200004</v>
      </c>
      <c r="FF65" s="1">
        <f t="shared" si="174"/>
        <v>0</v>
      </c>
      <c r="FG65" s="1">
        <f t="shared" si="175"/>
        <v>0</v>
      </c>
      <c r="FH65" s="1">
        <f t="shared" si="176"/>
        <v>0</v>
      </c>
      <c r="FI65" s="1">
        <f t="shared" si="177"/>
        <v>0</v>
      </c>
      <c r="FJ65" s="1">
        <f t="shared" si="178"/>
        <v>0</v>
      </c>
      <c r="FK65" s="1">
        <f t="shared" si="179"/>
        <v>0</v>
      </c>
      <c r="FL65" s="1">
        <f t="shared" si="180"/>
        <v>4.263919336981805</v>
      </c>
      <c r="FM65" s="1">
        <f t="shared" si="181"/>
        <v>0.0057571153094400015</v>
      </c>
      <c r="FN65" s="1">
        <f t="shared" si="182"/>
        <v>7.46760736344</v>
      </c>
      <c r="FO65" s="1">
        <f>IF(O65=0,0,SUM(EI65:FN65))</f>
        <v>14.10351907109301</v>
      </c>
    </row>
    <row r="66" spans="1:171" ht="12.75">
      <c r="A66" s="33">
        <v>129</v>
      </c>
      <c r="B66" s="42" t="s">
        <v>203</v>
      </c>
      <c r="C66" s="34" t="s">
        <v>189</v>
      </c>
      <c r="D66" s="35" t="s">
        <v>171</v>
      </c>
      <c r="E66" s="35">
        <v>3</v>
      </c>
      <c r="F66" s="35" t="s">
        <v>186</v>
      </c>
      <c r="G66" s="35" t="s">
        <v>74</v>
      </c>
      <c r="H66" s="35" t="s">
        <v>79</v>
      </c>
      <c r="I66" s="35">
        <v>3</v>
      </c>
      <c r="J66" s="35"/>
      <c r="K66" s="26">
        <f t="shared" si="85"/>
        <v>0</v>
      </c>
      <c r="L66" s="26">
        <f t="shared" si="86"/>
        <v>0</v>
      </c>
      <c r="M66" s="33">
        <v>275000</v>
      </c>
      <c r="N66" s="33">
        <v>973200</v>
      </c>
      <c r="O66" s="27">
        <f t="shared" si="87"/>
        <v>26100</v>
      </c>
      <c r="P66" s="30">
        <v>0</v>
      </c>
      <c r="Q66" s="30">
        <v>0</v>
      </c>
      <c r="R66" s="30">
        <v>29000</v>
      </c>
      <c r="S66" s="31">
        <v>0</v>
      </c>
      <c r="T66" s="31">
        <v>0</v>
      </c>
      <c r="U66" s="31">
        <v>0</v>
      </c>
      <c r="V66" s="31">
        <v>0</v>
      </c>
      <c r="W66" s="30">
        <v>0</v>
      </c>
      <c r="X66" s="31">
        <v>0</v>
      </c>
      <c r="Y66" s="31">
        <v>0</v>
      </c>
      <c r="Z66" s="30">
        <v>0</v>
      </c>
      <c r="AA66" s="31">
        <v>0</v>
      </c>
      <c r="AB66" s="30">
        <v>0</v>
      </c>
      <c r="AC66" s="30">
        <v>0</v>
      </c>
      <c r="AD66" s="30">
        <v>0</v>
      </c>
      <c r="AE66" s="30">
        <v>0</v>
      </c>
      <c r="AF66" s="30">
        <v>0</v>
      </c>
      <c r="AG66" s="30">
        <v>0</v>
      </c>
      <c r="AH66" s="30">
        <v>0</v>
      </c>
      <c r="AI66" s="30">
        <v>0</v>
      </c>
      <c r="AJ66" s="30">
        <v>0</v>
      </c>
      <c r="AK66" s="30">
        <v>0</v>
      </c>
      <c r="AL66" s="30">
        <v>0</v>
      </c>
      <c r="AM66" s="30">
        <v>0</v>
      </c>
      <c r="AN66" s="31">
        <v>0</v>
      </c>
      <c r="AO66" s="30">
        <v>16000</v>
      </c>
      <c r="AP66" s="31">
        <v>0</v>
      </c>
      <c r="AQ66" s="31">
        <v>0</v>
      </c>
      <c r="AR66" s="31">
        <v>0</v>
      </c>
      <c r="AS66" s="31">
        <v>0</v>
      </c>
      <c r="AT66" s="31">
        <v>0</v>
      </c>
      <c r="AU66" s="30">
        <v>0</v>
      </c>
      <c r="AX66" s="2">
        <f t="shared" si="0"/>
        <v>11440</v>
      </c>
      <c r="AY66" s="32">
        <f t="shared" si="105"/>
        <v>10296</v>
      </c>
      <c r="AZ66" s="186">
        <f t="shared" si="106"/>
        <v>0.4365833993075444</v>
      </c>
      <c r="BA66" s="186">
        <f t="shared" si="107"/>
        <v>0.09071934388191041</v>
      </c>
      <c r="BB66" s="186">
        <f t="shared" si="108"/>
        <v>0.2968784773273695</v>
      </c>
      <c r="BC66" s="53">
        <f t="shared" si="88"/>
        <v>0</v>
      </c>
      <c r="BD66" s="53">
        <f t="shared" si="5"/>
        <v>5453.973673959388</v>
      </c>
      <c r="BE66" s="53">
        <f t="shared" si="6"/>
        <v>1133.302168693472</v>
      </c>
      <c r="BF66" s="53">
        <f t="shared" si="7"/>
        <v>3708.7241573471397</v>
      </c>
      <c r="BG66" s="53"/>
      <c r="BH66" s="53">
        <f t="shared" si="89"/>
        <v>0</v>
      </c>
      <c r="BI66" s="53">
        <f t="shared" si="90"/>
        <v>3</v>
      </c>
      <c r="BJ66" s="53">
        <f t="shared" si="91"/>
        <v>3</v>
      </c>
      <c r="BK66" s="53">
        <f t="shared" si="92"/>
        <v>2</v>
      </c>
      <c r="BL66" s="53"/>
      <c r="BM66" s="53">
        <f t="shared" si="93"/>
        <v>0</v>
      </c>
      <c r="BN66" s="53">
        <f t="shared" si="94"/>
        <v>2</v>
      </c>
      <c r="BO66" s="53">
        <f t="shared" si="95"/>
        <v>2</v>
      </c>
      <c r="BP66" s="53">
        <f t="shared" si="96"/>
        <v>0</v>
      </c>
      <c r="BQ66" s="53"/>
      <c r="BR66" s="53">
        <f t="shared" si="97"/>
        <v>0</v>
      </c>
      <c r="BS66" s="53">
        <f t="shared" si="98"/>
        <v>34.2</v>
      </c>
      <c r="BT66" s="53">
        <f t="shared" si="99"/>
        <v>11</v>
      </c>
      <c r="BU66" s="53">
        <f t="shared" si="109"/>
        <v>21696</v>
      </c>
      <c r="BV66" s="53"/>
      <c r="BW66" s="53">
        <f t="shared" si="183"/>
        <v>10400</v>
      </c>
      <c r="BX66" s="53">
        <f t="shared" si="101"/>
        <v>-19176</v>
      </c>
      <c r="BY66" s="53">
        <f t="shared" si="110"/>
        <v>-17695.273971635408</v>
      </c>
      <c r="BZ66" s="240">
        <f t="shared" si="102"/>
        <v>5.2128000000000005</v>
      </c>
      <c r="CC66" s="1">
        <f t="shared" si="111"/>
        <v>0</v>
      </c>
      <c r="CD66" s="195">
        <f t="shared" si="112"/>
        <v>2873.2</v>
      </c>
      <c r="CE66" s="195">
        <f t="shared" si="113"/>
        <v>2873.2</v>
      </c>
      <c r="CF66" s="239">
        <f t="shared" si="114"/>
        <v>1.45</v>
      </c>
      <c r="CG66" s="239">
        <f t="shared" si="114"/>
        <v>9.96</v>
      </c>
      <c r="CH66" s="1">
        <f t="shared" si="103"/>
        <v>4780.8</v>
      </c>
      <c r="CK66" s="211">
        <f t="shared" si="115"/>
        <v>0</v>
      </c>
      <c r="CL66" s="211">
        <f t="shared" si="116"/>
        <v>0</v>
      </c>
      <c r="CM66" s="211">
        <f t="shared" si="117"/>
        <v>0</v>
      </c>
      <c r="CQ66" s="1">
        <f t="shared" si="104"/>
        <v>1</v>
      </c>
      <c r="CR66" s="195">
        <f t="shared" si="17"/>
        <v>10000</v>
      </c>
      <c r="CS66" s="195"/>
      <c r="CT66" s="195"/>
      <c r="CV66" s="199">
        <f t="shared" si="118"/>
        <v>0</v>
      </c>
      <c r="CW66" s="199">
        <f t="shared" si="119"/>
        <v>8.70872267896531</v>
      </c>
      <c r="CX66" s="199">
        <f t="shared" si="120"/>
        <v>0</v>
      </c>
      <c r="CY66" s="199">
        <f t="shared" si="121"/>
        <v>0</v>
      </c>
      <c r="CZ66" s="199">
        <f t="shared" si="122"/>
        <v>0</v>
      </c>
      <c r="DA66" s="199">
        <f t="shared" si="123"/>
        <v>0</v>
      </c>
      <c r="DB66" s="199">
        <f t="shared" si="124"/>
        <v>0</v>
      </c>
      <c r="DC66" s="199">
        <f t="shared" si="125"/>
        <v>0</v>
      </c>
      <c r="DD66" s="199">
        <f t="shared" si="126"/>
        <v>0</v>
      </c>
      <c r="DE66" s="199">
        <f t="shared" si="127"/>
        <v>0</v>
      </c>
      <c r="DF66" s="199">
        <f t="shared" si="128"/>
        <v>0</v>
      </c>
      <c r="DG66" s="199">
        <f t="shared" si="129"/>
        <v>0</v>
      </c>
      <c r="DH66" s="199">
        <f t="shared" si="130"/>
        <v>0</v>
      </c>
      <c r="DI66" s="199">
        <f t="shared" si="131"/>
        <v>0</v>
      </c>
      <c r="DJ66" s="199">
        <f t="shared" si="132"/>
        <v>0</v>
      </c>
      <c r="DK66" s="199">
        <f t="shared" si="133"/>
        <v>0</v>
      </c>
      <c r="DL66" s="199">
        <f t="shared" si="134"/>
        <v>0</v>
      </c>
      <c r="DM66" s="199">
        <f t="shared" si="135"/>
        <v>0</v>
      </c>
      <c r="DN66" s="199">
        <f t="shared" si="136"/>
        <v>0</v>
      </c>
      <c r="DO66" s="199">
        <f t="shared" si="137"/>
        <v>0</v>
      </c>
      <c r="DP66" s="199">
        <f t="shared" si="138"/>
        <v>0</v>
      </c>
      <c r="DQ66" s="199">
        <f t="shared" si="139"/>
        <v>0</v>
      </c>
      <c r="DR66" s="199">
        <f t="shared" si="140"/>
        <v>0</v>
      </c>
      <c r="DS66" s="199">
        <f t="shared" si="141"/>
        <v>0</v>
      </c>
      <c r="DT66" s="199">
        <f t="shared" si="142"/>
        <v>45.91265289753358</v>
      </c>
      <c r="DU66" s="199">
        <f t="shared" si="143"/>
        <v>0</v>
      </c>
      <c r="DV66" s="199">
        <f t="shared" si="144"/>
        <v>0</v>
      </c>
      <c r="DW66" s="199">
        <f t="shared" si="145"/>
        <v>0</v>
      </c>
      <c r="DX66" s="199">
        <f t="shared" si="146"/>
        <v>0</v>
      </c>
      <c r="DY66" s="199">
        <f t="shared" si="147"/>
        <v>0</v>
      </c>
      <c r="DZ66" s="199">
        <f t="shared" si="148"/>
        <v>0</v>
      </c>
      <c r="EA66" s="199">
        <f t="shared" si="149"/>
        <v>5.977667246841788</v>
      </c>
      <c r="EB66" s="199">
        <f t="shared" si="150"/>
        <v>1.141551380790054</v>
      </c>
      <c r="EC66" s="202">
        <f t="shared" si="51"/>
        <v>61.74059420413074</v>
      </c>
      <c r="ED66" s="202">
        <f>SUM(CV66:DI66,DS66:DT66,DW66,DY66,EA66:EB66)</f>
        <v>61.74059420413074</v>
      </c>
      <c r="EE66" s="203">
        <f t="shared" si="52"/>
        <v>10.22009836032096</v>
      </c>
      <c r="EF66" s="199"/>
      <c r="EI66" s="1">
        <f t="shared" si="151"/>
        <v>0</v>
      </c>
      <c r="EJ66" s="1">
        <f t="shared" si="152"/>
        <v>0.010606863429336002</v>
      </c>
      <c r="EK66" s="1">
        <f t="shared" si="153"/>
        <v>0</v>
      </c>
      <c r="EL66" s="1">
        <f t="shared" si="154"/>
        <v>0</v>
      </c>
      <c r="EM66" s="1">
        <f t="shared" si="155"/>
        <v>0</v>
      </c>
      <c r="EN66" s="1">
        <f t="shared" si="156"/>
        <v>0</v>
      </c>
      <c r="EO66" s="1">
        <f t="shared" si="157"/>
        <v>0</v>
      </c>
      <c r="EP66" s="1">
        <f t="shared" si="158"/>
        <v>0</v>
      </c>
      <c r="EQ66" s="1">
        <f t="shared" si="159"/>
        <v>0</v>
      </c>
      <c r="ER66" s="1">
        <f t="shared" si="160"/>
        <v>0</v>
      </c>
      <c r="ES66" s="1">
        <f t="shared" si="161"/>
        <v>0</v>
      </c>
      <c r="ET66" s="1">
        <f t="shared" si="162"/>
        <v>0</v>
      </c>
      <c r="EU66" s="1">
        <f t="shared" si="163"/>
        <v>0</v>
      </c>
      <c r="EV66" s="1">
        <f t="shared" si="164"/>
        <v>0</v>
      </c>
      <c r="EW66" s="1">
        <f t="shared" si="165"/>
        <v>0</v>
      </c>
      <c r="EX66" s="1">
        <f t="shared" si="166"/>
        <v>0</v>
      </c>
      <c r="EY66" s="1">
        <f t="shared" si="167"/>
        <v>0</v>
      </c>
      <c r="EZ66" s="1">
        <f t="shared" si="168"/>
        <v>0</v>
      </c>
      <c r="FA66" s="1">
        <f t="shared" si="169"/>
        <v>0</v>
      </c>
      <c r="FB66" s="1">
        <f t="shared" si="170"/>
        <v>0</v>
      </c>
      <c r="FC66" s="1">
        <f t="shared" si="171"/>
        <v>0</v>
      </c>
      <c r="FD66" s="1">
        <f t="shared" si="172"/>
        <v>0</v>
      </c>
      <c r="FE66" s="1">
        <f t="shared" si="173"/>
        <v>0</v>
      </c>
      <c r="FF66" s="1">
        <f t="shared" si="174"/>
        <v>0</v>
      </c>
      <c r="FG66" s="1">
        <f t="shared" si="175"/>
        <v>0.059350736407200004</v>
      </c>
      <c r="FH66" s="1">
        <f t="shared" si="176"/>
        <v>0</v>
      </c>
      <c r="FI66" s="1">
        <f t="shared" si="177"/>
        <v>0</v>
      </c>
      <c r="FJ66" s="1">
        <f t="shared" si="178"/>
        <v>0</v>
      </c>
      <c r="FK66" s="1">
        <f t="shared" si="179"/>
        <v>0</v>
      </c>
      <c r="FL66" s="1">
        <f t="shared" si="180"/>
        <v>0</v>
      </c>
      <c r="FM66" s="1">
        <f t="shared" si="181"/>
        <v>0</v>
      </c>
      <c r="FN66" s="1">
        <f t="shared" si="182"/>
        <v>4.472293968912</v>
      </c>
      <c r="FO66" s="1">
        <f>IF(O66=0,0,SUM(EI66:FN66))</f>
        <v>4.542251568748536</v>
      </c>
    </row>
    <row r="67" spans="1:171" ht="12.75">
      <c r="A67" s="33">
        <v>129.5</v>
      </c>
      <c r="B67" s="34" t="s">
        <v>204</v>
      </c>
      <c r="C67" s="34" t="s">
        <v>205</v>
      </c>
      <c r="D67" s="35" t="s">
        <v>171</v>
      </c>
      <c r="E67" s="35">
        <v>3</v>
      </c>
      <c r="F67" s="35" t="s">
        <v>186</v>
      </c>
      <c r="G67" s="35" t="s">
        <v>74</v>
      </c>
      <c r="H67" s="35" t="s">
        <v>75</v>
      </c>
      <c r="I67" s="35">
        <v>3</v>
      </c>
      <c r="J67" s="35"/>
      <c r="K67" s="26">
        <f t="shared" si="85"/>
        <v>0</v>
      </c>
      <c r="L67" s="26">
        <f t="shared" si="86"/>
        <v>1</v>
      </c>
      <c r="M67" s="33"/>
      <c r="N67" s="33"/>
      <c r="O67" s="27">
        <f>IF(Q67&gt;0,P67,IF(R67&gt;0,R67,W67+AE67)*0.9)</f>
        <v>3600</v>
      </c>
      <c r="P67" s="30">
        <v>0</v>
      </c>
      <c r="Q67" s="30">
        <v>0</v>
      </c>
      <c r="R67" s="30">
        <v>0</v>
      </c>
      <c r="S67" s="31">
        <v>0</v>
      </c>
      <c r="T67" s="31">
        <v>0</v>
      </c>
      <c r="U67" s="31">
        <v>0</v>
      </c>
      <c r="V67" s="31">
        <v>0</v>
      </c>
      <c r="W67" s="30">
        <v>0</v>
      </c>
      <c r="X67" s="31">
        <v>0</v>
      </c>
      <c r="Y67" s="31">
        <v>0</v>
      </c>
      <c r="Z67" s="30">
        <v>0</v>
      </c>
      <c r="AA67" s="31">
        <v>0</v>
      </c>
      <c r="AB67" s="30">
        <v>1500</v>
      </c>
      <c r="AC67" s="30">
        <v>0</v>
      </c>
      <c r="AD67" s="30">
        <v>0</v>
      </c>
      <c r="AE67" s="30">
        <v>4000</v>
      </c>
      <c r="AF67" s="30">
        <v>0</v>
      </c>
      <c r="AG67" s="30">
        <v>0</v>
      </c>
      <c r="AH67" s="30">
        <v>0</v>
      </c>
      <c r="AI67" s="30">
        <v>0</v>
      </c>
      <c r="AJ67" s="30">
        <v>0</v>
      </c>
      <c r="AK67" s="30">
        <v>0</v>
      </c>
      <c r="AL67" s="30">
        <v>2500</v>
      </c>
      <c r="AM67" s="30">
        <v>0</v>
      </c>
      <c r="AN67" s="31">
        <v>1100</v>
      </c>
      <c r="AO67" s="30">
        <v>0</v>
      </c>
      <c r="AP67" s="31">
        <v>0</v>
      </c>
      <c r="AQ67" s="31">
        <v>1500</v>
      </c>
      <c r="AR67" s="31">
        <v>0</v>
      </c>
      <c r="AS67" s="31">
        <v>0</v>
      </c>
      <c r="AT67" s="31">
        <v>2</v>
      </c>
      <c r="AU67" s="30">
        <v>0</v>
      </c>
      <c r="AX67" s="2">
        <f t="shared" si="0"/>
        <v>4000</v>
      </c>
      <c r="AY67" s="32">
        <f t="shared" si="105"/>
        <v>3600</v>
      </c>
      <c r="AZ67" s="186">
        <f t="shared" si="106"/>
        <v>0.4365833993075444</v>
      </c>
      <c r="BA67" s="186">
        <f t="shared" si="107"/>
        <v>0.09071934388191041</v>
      </c>
      <c r="BB67" s="186">
        <f t="shared" si="108"/>
        <v>0.2968784773273695</v>
      </c>
      <c r="BC67" s="53">
        <f t="shared" si="88"/>
        <v>0</v>
      </c>
      <c r="BD67" s="53">
        <f t="shared" si="5"/>
        <v>1906.9838020837024</v>
      </c>
      <c r="BE67" s="53">
        <f t="shared" si="6"/>
        <v>396.25949954317196</v>
      </c>
      <c r="BF67" s="53">
        <f t="shared" si="7"/>
        <v>1296.7566983731256</v>
      </c>
      <c r="BG67" s="53"/>
      <c r="BH67" s="53">
        <f t="shared" si="89"/>
        <v>0</v>
      </c>
      <c r="BI67" s="53">
        <f t="shared" si="90"/>
        <v>3</v>
      </c>
      <c r="BJ67" s="53">
        <f t="shared" si="91"/>
        <v>3</v>
      </c>
      <c r="BK67" s="53">
        <f t="shared" si="92"/>
        <v>2</v>
      </c>
      <c r="BL67" s="53"/>
      <c r="BM67" s="53">
        <f t="shared" si="93"/>
        <v>0</v>
      </c>
      <c r="BN67" s="53">
        <f t="shared" si="94"/>
        <v>2</v>
      </c>
      <c r="BO67" s="53">
        <f t="shared" si="95"/>
        <v>2</v>
      </c>
      <c r="BP67" s="53">
        <f t="shared" si="96"/>
        <v>0</v>
      </c>
      <c r="BQ67" s="53"/>
      <c r="BR67" s="53">
        <f t="shared" si="97"/>
        <v>0</v>
      </c>
      <c r="BS67" s="53">
        <f t="shared" si="98"/>
        <v>34.2</v>
      </c>
      <c r="BT67" s="53">
        <f t="shared" si="99"/>
        <v>11</v>
      </c>
      <c r="BU67" s="53">
        <f t="shared" si="109"/>
        <v>21696</v>
      </c>
      <c r="BV67" s="53"/>
      <c r="BW67" s="53">
        <f t="shared" si="183"/>
        <v>10400</v>
      </c>
      <c r="BX67" s="53">
        <f t="shared" si="101"/>
        <v>-19176</v>
      </c>
      <c r="BY67" s="53">
        <f t="shared" si="110"/>
        <v>-17695.273971635408</v>
      </c>
      <c r="BZ67" s="240">
        <f t="shared" si="102"/>
        <v>5.2128000000000005</v>
      </c>
      <c r="CC67" s="1">
        <f t="shared" si="111"/>
        <v>0</v>
      </c>
      <c r="CD67" s="195">
        <f t="shared" si="112"/>
        <v>2873.2</v>
      </c>
      <c r="CE67" s="195">
        <f t="shared" si="113"/>
        <v>2873.2</v>
      </c>
      <c r="CF67" s="239">
        <f t="shared" si="114"/>
        <v>1.45</v>
      </c>
      <c r="CG67" s="239">
        <f t="shared" si="114"/>
        <v>9.96</v>
      </c>
      <c r="CH67" s="1">
        <f t="shared" si="103"/>
        <v>4780.8</v>
      </c>
      <c r="CK67" s="211">
        <f t="shared" si="115"/>
        <v>0</v>
      </c>
      <c r="CL67" s="211">
        <f t="shared" si="116"/>
        <v>0</v>
      </c>
      <c r="CM67" s="211">
        <f t="shared" si="117"/>
        <v>0</v>
      </c>
      <c r="CQ67" s="1">
        <f t="shared" si="104"/>
        <v>0</v>
      </c>
      <c r="CR67" s="195">
        <f t="shared" si="17"/>
        <v>0</v>
      </c>
      <c r="CS67" s="195"/>
      <c r="CT67" s="195"/>
      <c r="CV67" s="199">
        <f t="shared" si="118"/>
        <v>0</v>
      </c>
      <c r="CW67" s="199">
        <f t="shared" si="119"/>
        <v>0</v>
      </c>
      <c r="CX67" s="199">
        <f t="shared" si="120"/>
        <v>0</v>
      </c>
      <c r="CY67" s="199">
        <f t="shared" si="121"/>
        <v>0</v>
      </c>
      <c r="CZ67" s="199">
        <f t="shared" si="122"/>
        <v>0</v>
      </c>
      <c r="DA67" s="199">
        <f t="shared" si="123"/>
        <v>0</v>
      </c>
      <c r="DB67" s="199">
        <f t="shared" si="124"/>
        <v>0</v>
      </c>
      <c r="DC67" s="199">
        <f t="shared" si="125"/>
        <v>0</v>
      </c>
      <c r="DD67" s="199">
        <f t="shared" si="126"/>
        <v>0</v>
      </c>
      <c r="DE67" s="199">
        <f t="shared" si="127"/>
        <v>0</v>
      </c>
      <c r="DF67" s="199">
        <f t="shared" si="128"/>
        <v>0</v>
      </c>
      <c r="DG67" s="199">
        <f t="shared" si="129"/>
        <v>1.9894926809705233</v>
      </c>
      <c r="DH67" s="199">
        <f t="shared" si="130"/>
        <v>0</v>
      </c>
      <c r="DI67" s="199">
        <f t="shared" si="131"/>
        <v>0</v>
      </c>
      <c r="DJ67" s="199">
        <f t="shared" si="132"/>
        <v>0.5465474233005814</v>
      </c>
      <c r="DK67" s="199">
        <f t="shared" si="133"/>
        <v>0</v>
      </c>
      <c r="DL67" s="199">
        <f t="shared" si="134"/>
        <v>0</v>
      </c>
      <c r="DM67" s="199">
        <f t="shared" si="135"/>
        <v>0</v>
      </c>
      <c r="DN67" s="199">
        <f t="shared" si="136"/>
        <v>0</v>
      </c>
      <c r="DO67" s="199">
        <f t="shared" si="137"/>
        <v>0</v>
      </c>
      <c r="DP67" s="199">
        <f t="shared" si="138"/>
        <v>0</v>
      </c>
      <c r="DQ67" s="199">
        <f t="shared" si="139"/>
        <v>0.3415921395628634</v>
      </c>
      <c r="DR67" s="199">
        <f t="shared" si="140"/>
        <v>0</v>
      </c>
      <c r="DS67" s="199">
        <f t="shared" si="141"/>
        <v>2.917922598756767</v>
      </c>
      <c r="DT67" s="199">
        <f t="shared" si="142"/>
        <v>0</v>
      </c>
      <c r="DU67" s="199">
        <f t="shared" si="143"/>
        <v>0</v>
      </c>
      <c r="DV67" s="199">
        <f t="shared" si="144"/>
        <v>0.00043793864046520953</v>
      </c>
      <c r="DW67" s="199">
        <f t="shared" si="145"/>
        <v>0</v>
      </c>
      <c r="DX67" s="199">
        <f t="shared" si="146"/>
        <v>0</v>
      </c>
      <c r="DY67" s="199">
        <f t="shared" si="147"/>
        <v>0.08274954882695007</v>
      </c>
      <c r="DZ67" s="199">
        <f t="shared" si="148"/>
        <v>0</v>
      </c>
      <c r="EA67" s="199">
        <f t="shared" si="149"/>
        <v>2.090093442951674</v>
      </c>
      <c r="EB67" s="199">
        <f t="shared" si="150"/>
        <v>0.22582618808903146</v>
      </c>
      <c r="EC67" s="202">
        <f t="shared" si="51"/>
        <v>8.194661961098856</v>
      </c>
      <c r="ED67" s="202">
        <f>SUM(CV67:DI67,DS67:DT67,DW67,DY67,EA67:EB67)</f>
        <v>7.3060844595949455</v>
      </c>
      <c r="EE67" s="203">
        <f t="shared" si="52"/>
        <v>1.209397200794628</v>
      </c>
      <c r="EF67" s="199"/>
      <c r="EI67" s="1">
        <f t="shared" si="151"/>
        <v>0</v>
      </c>
      <c r="EJ67" s="1">
        <f t="shared" si="152"/>
        <v>0</v>
      </c>
      <c r="EK67" s="1">
        <f t="shared" si="153"/>
        <v>0</v>
      </c>
      <c r="EL67" s="1">
        <f t="shared" si="154"/>
        <v>0</v>
      </c>
      <c r="EM67" s="1">
        <f t="shared" si="155"/>
        <v>0</v>
      </c>
      <c r="EN67" s="1">
        <f t="shared" si="156"/>
        <v>0</v>
      </c>
      <c r="EO67" s="1">
        <f t="shared" si="157"/>
        <v>0</v>
      </c>
      <c r="EP67" s="1">
        <f t="shared" si="158"/>
        <v>0</v>
      </c>
      <c r="EQ67" s="1">
        <f t="shared" si="159"/>
        <v>0</v>
      </c>
      <c r="ER67" s="1">
        <f t="shared" si="160"/>
        <v>0</v>
      </c>
      <c r="ES67" s="1">
        <f t="shared" si="161"/>
        <v>0</v>
      </c>
      <c r="ET67" s="1">
        <f t="shared" si="162"/>
        <v>0.07346601658824001</v>
      </c>
      <c r="EU67" s="1">
        <f t="shared" si="163"/>
        <v>0</v>
      </c>
      <c r="EV67" s="1">
        <f t="shared" si="164"/>
        <v>0</v>
      </c>
      <c r="EW67" s="1">
        <f t="shared" si="165"/>
        <v>0.059350736407200004</v>
      </c>
      <c r="EX67" s="1">
        <f t="shared" si="166"/>
        <v>0</v>
      </c>
      <c r="EY67" s="1">
        <f t="shared" si="167"/>
        <v>0</v>
      </c>
      <c r="EZ67" s="1">
        <f t="shared" si="168"/>
        <v>0</v>
      </c>
      <c r="FA67" s="1">
        <f t="shared" si="169"/>
        <v>0</v>
      </c>
      <c r="FB67" s="1">
        <f t="shared" si="170"/>
        <v>0</v>
      </c>
      <c r="FC67" s="1">
        <f t="shared" si="171"/>
        <v>0</v>
      </c>
      <c r="FD67" s="1">
        <f t="shared" si="172"/>
        <v>0.059350736407200004</v>
      </c>
      <c r="FE67" s="1">
        <f t="shared" si="173"/>
        <v>0</v>
      </c>
      <c r="FF67" s="1">
        <f t="shared" si="174"/>
        <v>0.059350736407200004</v>
      </c>
      <c r="FG67" s="1">
        <f t="shared" si="175"/>
        <v>0</v>
      </c>
      <c r="FH67" s="1">
        <f t="shared" si="176"/>
        <v>0</v>
      </c>
      <c r="FI67" s="1">
        <f t="shared" si="177"/>
        <v>0</v>
      </c>
      <c r="FJ67" s="1">
        <f t="shared" si="178"/>
        <v>0</v>
      </c>
      <c r="FK67" s="1">
        <f t="shared" si="179"/>
        <v>0</v>
      </c>
      <c r="FL67" s="1">
        <f t="shared" si="180"/>
        <v>4.300268812675172</v>
      </c>
      <c r="FM67" s="1">
        <f t="shared" si="181"/>
        <v>0</v>
      </c>
      <c r="FN67" s="1">
        <f t="shared" si="182"/>
        <v>4.472293968912</v>
      </c>
      <c r="FO67" s="1">
        <f>IF(O67=0,0,SUM(EI67:FN67))</f>
        <v>9.024081007397012</v>
      </c>
    </row>
    <row r="68" spans="1:171" ht="12.75">
      <c r="A68" s="33">
        <v>132</v>
      </c>
      <c r="B68" s="34" t="s">
        <v>206</v>
      </c>
      <c r="C68" s="34" t="s">
        <v>189</v>
      </c>
      <c r="D68" s="35" t="s">
        <v>171</v>
      </c>
      <c r="E68" s="35">
        <v>3</v>
      </c>
      <c r="F68" s="35" t="s">
        <v>186</v>
      </c>
      <c r="G68" s="35" t="s">
        <v>74</v>
      </c>
      <c r="H68" s="35" t="s">
        <v>75</v>
      </c>
      <c r="I68" s="35">
        <v>3</v>
      </c>
      <c r="J68" s="35"/>
      <c r="K68" s="26">
        <f t="shared" si="85"/>
        <v>1</v>
      </c>
      <c r="L68" s="26">
        <f t="shared" si="86"/>
        <v>1</v>
      </c>
      <c r="M68" s="33">
        <v>274854</v>
      </c>
      <c r="N68" s="33">
        <v>972921</v>
      </c>
      <c r="O68" s="27">
        <f t="shared" si="87"/>
        <v>142000</v>
      </c>
      <c r="P68" s="30">
        <v>142000</v>
      </c>
      <c r="Q68" s="30">
        <v>146000</v>
      </c>
      <c r="R68" s="30">
        <v>97000</v>
      </c>
      <c r="S68" s="31">
        <v>18500</v>
      </c>
      <c r="T68" s="31">
        <v>0</v>
      </c>
      <c r="U68" s="31">
        <v>0</v>
      </c>
      <c r="V68" s="31">
        <v>0</v>
      </c>
      <c r="W68" s="30">
        <v>114500</v>
      </c>
      <c r="X68" s="31">
        <v>0</v>
      </c>
      <c r="Y68" s="31">
        <v>0</v>
      </c>
      <c r="Z68" s="30">
        <v>49000</v>
      </c>
      <c r="AA68" s="31">
        <v>0</v>
      </c>
      <c r="AB68" s="30">
        <v>59000</v>
      </c>
      <c r="AC68" s="30">
        <v>10000</v>
      </c>
      <c r="AD68" s="30">
        <v>0</v>
      </c>
      <c r="AE68" s="30">
        <v>66000</v>
      </c>
      <c r="AF68" s="30">
        <v>60000</v>
      </c>
      <c r="AG68" s="30">
        <v>11000</v>
      </c>
      <c r="AH68" s="30">
        <v>13000</v>
      </c>
      <c r="AI68" s="30">
        <v>0</v>
      </c>
      <c r="AJ68" s="30">
        <v>74000</v>
      </c>
      <c r="AK68" s="30">
        <v>28000</v>
      </c>
      <c r="AL68" s="30">
        <v>0</v>
      </c>
      <c r="AM68" s="30">
        <v>17000</v>
      </c>
      <c r="AN68" s="31">
        <v>21000</v>
      </c>
      <c r="AO68" s="30">
        <v>38000</v>
      </c>
      <c r="AP68" s="31">
        <v>17000</v>
      </c>
      <c r="AQ68" s="31">
        <v>12000</v>
      </c>
      <c r="AR68" s="31">
        <v>0</v>
      </c>
      <c r="AS68" s="31">
        <v>6270</v>
      </c>
      <c r="AT68" s="31">
        <v>195</v>
      </c>
      <c r="AU68" s="30">
        <v>1288</v>
      </c>
      <c r="AX68" s="2">
        <f t="shared" si="0"/>
        <v>71042.4</v>
      </c>
      <c r="AY68" s="32">
        <f t="shared" si="105"/>
        <v>69096.03287671233</v>
      </c>
      <c r="AZ68" s="186">
        <f t="shared" si="106"/>
        <v>0.4365833993075444</v>
      </c>
      <c r="BA68" s="186">
        <f t="shared" si="107"/>
        <v>0.09071934388191041</v>
      </c>
      <c r="BB68" s="186">
        <f t="shared" si="108"/>
        <v>0.2968784773273695</v>
      </c>
      <c r="BC68" s="53">
        <f t="shared" si="88"/>
        <v>142000</v>
      </c>
      <c r="BD68" s="53">
        <f t="shared" si="5"/>
        <v>36601.393190037044</v>
      </c>
      <c r="BE68" s="53">
        <f t="shared" si="6"/>
        <v>7605.544280040162</v>
      </c>
      <c r="BF68" s="53">
        <f t="shared" si="7"/>
        <v>24889.095406635122</v>
      </c>
      <c r="BG68" s="53"/>
      <c r="BH68" s="53">
        <f t="shared" si="89"/>
        <v>6</v>
      </c>
      <c r="BI68" s="53">
        <f t="shared" si="90"/>
        <v>4</v>
      </c>
      <c r="BJ68" s="53">
        <f t="shared" si="91"/>
        <v>3</v>
      </c>
      <c r="BK68" s="53">
        <f t="shared" si="92"/>
        <v>3</v>
      </c>
      <c r="BL68" s="53"/>
      <c r="BM68" s="53">
        <f t="shared" si="93"/>
        <v>3</v>
      </c>
      <c r="BN68" s="53">
        <f t="shared" si="94"/>
        <v>2</v>
      </c>
      <c r="BO68" s="53">
        <f t="shared" si="95"/>
        <v>2</v>
      </c>
      <c r="BP68" s="53">
        <f t="shared" si="96"/>
        <v>0</v>
      </c>
      <c r="BQ68" s="53"/>
      <c r="BR68" s="53">
        <f t="shared" si="97"/>
        <v>9.75</v>
      </c>
      <c r="BS68" s="53">
        <f t="shared" si="98"/>
        <v>34.2</v>
      </c>
      <c r="BT68" s="53">
        <f t="shared" si="99"/>
        <v>11</v>
      </c>
      <c r="BU68" s="53">
        <f t="shared" si="109"/>
        <v>26376</v>
      </c>
      <c r="BV68" s="53"/>
      <c r="BW68" s="53">
        <f t="shared" si="183"/>
        <v>18200</v>
      </c>
      <c r="BX68" s="53">
        <f t="shared" si="101"/>
        <v>-21966</v>
      </c>
      <c r="BY68" s="53">
        <f t="shared" si="110"/>
        <v>-19374.729450361963</v>
      </c>
      <c r="BZ68" s="240">
        <f t="shared" si="102"/>
        <v>6.080550000000001</v>
      </c>
      <c r="CC68" s="1">
        <f t="shared" si="111"/>
        <v>0</v>
      </c>
      <c r="CD68" s="195">
        <f t="shared" si="112"/>
        <v>5746.4</v>
      </c>
      <c r="CE68" s="195">
        <f t="shared" si="113"/>
        <v>5746.4</v>
      </c>
      <c r="CF68" s="239">
        <f t="shared" si="114"/>
        <v>2.9</v>
      </c>
      <c r="CG68" s="239">
        <f t="shared" si="114"/>
        <v>19.92</v>
      </c>
      <c r="CH68" s="1">
        <f t="shared" si="103"/>
        <v>9561.6</v>
      </c>
      <c r="CK68" s="211">
        <f t="shared" si="115"/>
        <v>0</v>
      </c>
      <c r="CL68" s="211">
        <f t="shared" si="116"/>
        <v>0</v>
      </c>
      <c r="CM68" s="211">
        <f t="shared" si="117"/>
        <v>0</v>
      </c>
      <c r="CQ68" s="1">
        <f t="shared" si="104"/>
        <v>1</v>
      </c>
      <c r="CR68" s="195">
        <f t="shared" si="17"/>
        <v>10000</v>
      </c>
      <c r="CS68" s="195"/>
      <c r="CT68" s="195"/>
      <c r="CV68" s="199">
        <f t="shared" si="118"/>
        <v>74.16928814918788</v>
      </c>
      <c r="CW68" s="199">
        <f t="shared" si="119"/>
        <v>29.129175857228795</v>
      </c>
      <c r="CX68" s="199">
        <f t="shared" si="120"/>
        <v>36.41981150992581</v>
      </c>
      <c r="CY68" s="199">
        <f t="shared" si="121"/>
        <v>0</v>
      </c>
      <c r="CZ68" s="199">
        <f t="shared" si="122"/>
        <v>0</v>
      </c>
      <c r="DA68" s="199">
        <f t="shared" si="123"/>
        <v>0</v>
      </c>
      <c r="DB68" s="199">
        <f t="shared" si="124"/>
        <v>29.7998476037698</v>
      </c>
      <c r="DC68" s="199">
        <f t="shared" si="125"/>
        <v>0</v>
      </c>
      <c r="DD68" s="199">
        <f t="shared" si="126"/>
        <v>0</v>
      </c>
      <c r="DE68" s="199">
        <f t="shared" si="127"/>
        <v>14.878235412071385</v>
      </c>
      <c r="DF68" s="199">
        <f t="shared" si="128"/>
        <v>0</v>
      </c>
      <c r="DG68" s="199">
        <f t="shared" si="129"/>
        <v>78.25337878484058</v>
      </c>
      <c r="DH68" s="199">
        <f t="shared" si="130"/>
        <v>13.263284539803488</v>
      </c>
      <c r="DI68" s="199">
        <f t="shared" si="131"/>
        <v>0</v>
      </c>
      <c r="DJ68" s="199">
        <f t="shared" si="132"/>
        <v>9.018032484459594</v>
      </c>
      <c r="DK68" s="199">
        <f t="shared" si="133"/>
        <v>8.198211349508723</v>
      </c>
      <c r="DL68" s="199">
        <f t="shared" si="134"/>
        <v>1.5030054140765992</v>
      </c>
      <c r="DM68" s="199">
        <f t="shared" si="135"/>
        <v>1.7762791257268897</v>
      </c>
      <c r="DN68" s="199">
        <f t="shared" si="136"/>
        <v>0</v>
      </c>
      <c r="DO68" s="199">
        <f t="shared" si="137"/>
        <v>10.111127331060757</v>
      </c>
      <c r="DP68" s="199">
        <f t="shared" si="138"/>
        <v>3.8258319631040703</v>
      </c>
      <c r="DQ68" s="199">
        <f t="shared" si="139"/>
        <v>0</v>
      </c>
      <c r="DR68" s="199">
        <f t="shared" si="140"/>
        <v>2.5525566472829353</v>
      </c>
      <c r="DS68" s="199">
        <f t="shared" si="141"/>
        <v>55.70579506717465</v>
      </c>
      <c r="DT68" s="199">
        <f t="shared" si="142"/>
        <v>109.04255063164226</v>
      </c>
      <c r="DU68" s="199">
        <f t="shared" si="143"/>
        <v>0.00496330459193904</v>
      </c>
      <c r="DV68" s="199">
        <f t="shared" si="144"/>
        <v>0.0035035091237216763</v>
      </c>
      <c r="DW68" s="199">
        <f t="shared" si="145"/>
        <v>0</v>
      </c>
      <c r="DX68" s="199">
        <f t="shared" si="146"/>
        <v>0.40586651694405446</v>
      </c>
      <c r="DY68" s="199">
        <f t="shared" si="147"/>
        <v>8.068081010627631</v>
      </c>
      <c r="DZ68" s="199">
        <f t="shared" si="148"/>
        <v>0.0833741744535793</v>
      </c>
      <c r="EA68" s="199">
        <f t="shared" si="149"/>
        <v>40.11587923599715</v>
      </c>
      <c r="EB68" s="199">
        <f t="shared" si="150"/>
        <v>6.620973947953446</v>
      </c>
      <c r="EC68" s="202">
        <f aca="true" t="shared" si="184" ref="EC68:EC131">SUM(CV68:EB68)</f>
        <v>532.9490535705555</v>
      </c>
      <c r="ED68" s="202">
        <f>SUM(CV68:DI68,DS68:DT68,DW68,DY68,EA68:EB68)</f>
        <v>495.46630175022284</v>
      </c>
      <c r="EE68" s="203">
        <f t="shared" si="52"/>
        <v>82.01596378178292</v>
      </c>
      <c r="EF68" s="199"/>
      <c r="EI68" s="1">
        <f t="shared" si="151"/>
        <v>0.5699766927982697</v>
      </c>
      <c r="EJ68" s="1">
        <f t="shared" si="152"/>
        <v>0.010606863429336002</v>
      </c>
      <c r="EK68" s="1">
        <f t="shared" si="153"/>
        <v>0.24682268761392</v>
      </c>
      <c r="EL68" s="1">
        <f t="shared" si="154"/>
        <v>0</v>
      </c>
      <c r="EM68" s="1">
        <f t="shared" si="155"/>
        <v>0</v>
      </c>
      <c r="EN68" s="1">
        <f t="shared" si="156"/>
        <v>0</v>
      </c>
      <c r="EO68" s="1">
        <f t="shared" si="157"/>
        <v>0.2644897670328</v>
      </c>
      <c r="EP68" s="1">
        <f t="shared" si="158"/>
        <v>0</v>
      </c>
      <c r="EQ68" s="1">
        <f t="shared" si="159"/>
        <v>0.21621849683808003</v>
      </c>
      <c r="ER68" s="1">
        <f t="shared" si="160"/>
        <v>0</v>
      </c>
      <c r="ES68" s="1">
        <f t="shared" si="161"/>
        <v>0</v>
      </c>
      <c r="ET68" s="1">
        <f t="shared" si="162"/>
        <v>0.14589546715944002</v>
      </c>
      <c r="EU68" s="1">
        <f t="shared" si="163"/>
        <v>0.07346601658824001</v>
      </c>
      <c r="EV68" s="1">
        <f t="shared" si="164"/>
        <v>0</v>
      </c>
      <c r="EW68" s="1">
        <f t="shared" si="165"/>
        <v>0.10099701098903999</v>
      </c>
      <c r="EX68" s="1">
        <f t="shared" si="166"/>
        <v>0.10099701098903999</v>
      </c>
      <c r="EY68" s="1">
        <f t="shared" si="167"/>
        <v>0.059350736407200004</v>
      </c>
      <c r="EZ68" s="1">
        <f t="shared" si="168"/>
        <v>0.059350736407200004</v>
      </c>
      <c r="FA68" s="1">
        <f t="shared" si="169"/>
        <v>0</v>
      </c>
      <c r="FB68" s="1">
        <f t="shared" si="170"/>
        <v>0.10099701098903999</v>
      </c>
      <c r="FC68" s="1">
        <f t="shared" si="171"/>
        <v>0.059350736407200004</v>
      </c>
      <c r="FD68" s="1">
        <f t="shared" si="172"/>
        <v>0</v>
      </c>
      <c r="FE68" s="1">
        <f t="shared" si="173"/>
        <v>0.059350736407200004</v>
      </c>
      <c r="FF68" s="1">
        <f t="shared" si="174"/>
        <v>0.059350736407200004</v>
      </c>
      <c r="FG68" s="1">
        <f t="shared" si="175"/>
        <v>0.10099701098903999</v>
      </c>
      <c r="FH68" s="1">
        <f t="shared" si="176"/>
        <v>0</v>
      </c>
      <c r="FI68" s="1">
        <f t="shared" si="177"/>
        <v>0</v>
      </c>
      <c r="FJ68" s="1">
        <f t="shared" si="178"/>
        <v>0</v>
      </c>
      <c r="FK68" s="1">
        <f t="shared" si="179"/>
        <v>0</v>
      </c>
      <c r="FL68" s="1">
        <f t="shared" si="180"/>
        <v>4.263919336981805</v>
      </c>
      <c r="FM68" s="1">
        <f t="shared" si="181"/>
        <v>0.0057571153094400015</v>
      </c>
      <c r="FN68" s="1">
        <f t="shared" si="182"/>
        <v>7.46760736344</v>
      </c>
      <c r="FO68" s="1">
        <f>IF(O68=0,0,SUM(EI68:FN68))</f>
        <v>13.96550153318349</v>
      </c>
    </row>
    <row r="69" spans="1:171" ht="12.75">
      <c r="A69" s="33">
        <v>133</v>
      </c>
      <c r="B69" s="34" t="s">
        <v>207</v>
      </c>
      <c r="C69" s="34" t="s">
        <v>197</v>
      </c>
      <c r="D69" s="35" t="s">
        <v>171</v>
      </c>
      <c r="E69" s="35">
        <v>3</v>
      </c>
      <c r="F69" s="35" t="s">
        <v>186</v>
      </c>
      <c r="G69" s="35" t="s">
        <v>74</v>
      </c>
      <c r="H69" s="35" t="s">
        <v>75</v>
      </c>
      <c r="I69" s="35">
        <v>2</v>
      </c>
      <c r="J69" s="35"/>
      <c r="K69" s="26">
        <f t="shared" si="85"/>
        <v>1</v>
      </c>
      <c r="L69" s="26">
        <f t="shared" si="86"/>
        <v>1</v>
      </c>
      <c r="M69" s="33">
        <v>294248</v>
      </c>
      <c r="N69" s="33">
        <v>951513</v>
      </c>
      <c r="O69" s="27">
        <f t="shared" si="87"/>
        <v>83000</v>
      </c>
      <c r="P69" s="30">
        <v>83000</v>
      </c>
      <c r="Q69" s="30">
        <v>85000</v>
      </c>
      <c r="R69" s="30">
        <v>39000</v>
      </c>
      <c r="S69" s="31">
        <v>0</v>
      </c>
      <c r="T69" s="31">
        <v>0</v>
      </c>
      <c r="U69" s="31">
        <v>0</v>
      </c>
      <c r="V69" s="31">
        <v>0</v>
      </c>
      <c r="W69" s="30">
        <v>65000</v>
      </c>
      <c r="X69" s="31">
        <v>0</v>
      </c>
      <c r="Y69" s="31">
        <v>0</v>
      </c>
      <c r="Z69" s="30">
        <v>0</v>
      </c>
      <c r="AA69" s="31">
        <v>0</v>
      </c>
      <c r="AB69" s="30">
        <v>0</v>
      </c>
      <c r="AC69" s="30">
        <v>11500</v>
      </c>
      <c r="AD69" s="30">
        <v>18000</v>
      </c>
      <c r="AE69" s="30">
        <v>12000</v>
      </c>
      <c r="AF69" s="30">
        <v>16900</v>
      </c>
      <c r="AG69" s="30">
        <v>0</v>
      </c>
      <c r="AH69" s="30">
        <v>18000</v>
      </c>
      <c r="AI69" s="30">
        <v>0</v>
      </c>
      <c r="AJ69" s="30">
        <v>0</v>
      </c>
      <c r="AK69" s="30">
        <v>0</v>
      </c>
      <c r="AL69" s="30">
        <v>0</v>
      </c>
      <c r="AM69" s="30">
        <v>11000</v>
      </c>
      <c r="AN69" s="31">
        <v>0</v>
      </c>
      <c r="AO69" s="30">
        <v>4800</v>
      </c>
      <c r="AP69" s="31">
        <v>0</v>
      </c>
      <c r="AQ69" s="31">
        <v>0</v>
      </c>
      <c r="AR69" s="31">
        <v>0</v>
      </c>
      <c r="AS69" s="31">
        <v>0</v>
      </c>
      <c r="AT69" s="31">
        <v>0</v>
      </c>
      <c r="AU69" s="30">
        <v>110</v>
      </c>
      <c r="AX69" s="2">
        <f t="shared" si="0"/>
        <v>70576</v>
      </c>
      <c r="AY69" s="32">
        <f aca="true" t="shared" si="185" ref="AY69:AY100">IF(AX69&lt;0,0,AX69)*IF(Q69&gt;0,P69/Q69,0.9)</f>
        <v>68915.38823529411</v>
      </c>
      <c r="AZ69" s="186">
        <f aca="true" t="shared" si="186" ref="AZ69:AZ100">HLOOKUP($F69,yields,3)/100</f>
        <v>0.4365833993075444</v>
      </c>
      <c r="BA69" s="186">
        <f aca="true" t="shared" si="187" ref="BA69:BA100">(HLOOKUP($F69,yields,4)+(HLOOKUP($F69,yields,5)+HLOOKUP($F69,yields,6))/2+HLOOKUP($F69,yields,9)+HLOOKUP($F69,yields,11))/100</f>
        <v>0.09071934388191041</v>
      </c>
      <c r="BB69" s="186">
        <f aca="true" t="shared" si="188" ref="BB69:BB100">((HLOOKUP($F69,yields,5)+HLOOKUP($F69,yields,6))/2+HLOOKUP($F69,yields,7))/100</f>
        <v>0.2968784773273695</v>
      </c>
      <c r="BC69" s="53">
        <f t="shared" si="88"/>
        <v>83000</v>
      </c>
      <c r="BD69" s="53">
        <f aca="true" t="shared" si="189" ref="BD69:BD132">$AY69*AZ69/SUM($AZ69:$BB69)</f>
        <v>36505.702521948784</v>
      </c>
      <c r="BE69" s="53">
        <f aca="true" t="shared" si="190" ref="BE69:BE132">$AY69*BA69/SUM($AZ69:$BB69)</f>
        <v>7585.660348039181</v>
      </c>
      <c r="BF69" s="53">
        <f aca="true" t="shared" si="191" ref="BF69:BF132">$AY69*BB69/SUM($AZ69:$BB69)</f>
        <v>24824.02536530615</v>
      </c>
      <c r="BG69" s="53"/>
      <c r="BH69" s="53">
        <f t="shared" si="89"/>
        <v>4</v>
      </c>
      <c r="BI69" s="53">
        <f t="shared" si="90"/>
        <v>4</v>
      </c>
      <c r="BJ69" s="53">
        <f t="shared" si="91"/>
        <v>3</v>
      </c>
      <c r="BK69" s="53">
        <f t="shared" si="92"/>
        <v>3</v>
      </c>
      <c r="BL69" s="53"/>
      <c r="BM69" s="53">
        <f t="shared" si="93"/>
        <v>2</v>
      </c>
      <c r="BN69" s="53">
        <f t="shared" si="94"/>
        <v>2</v>
      </c>
      <c r="BO69" s="53">
        <f t="shared" si="95"/>
        <v>2</v>
      </c>
      <c r="BP69" s="53">
        <f t="shared" si="96"/>
        <v>0</v>
      </c>
      <c r="BQ69" s="53"/>
      <c r="BR69" s="53">
        <f t="shared" si="97"/>
        <v>6.5</v>
      </c>
      <c r="BS69" s="53">
        <f t="shared" si="98"/>
        <v>34.2</v>
      </c>
      <c r="BT69" s="53">
        <f t="shared" si="99"/>
        <v>11</v>
      </c>
      <c r="BU69" s="53">
        <f aca="true" t="shared" si="192" ref="BU69:BU100">SUM(BR69:BT69)*BU$3</f>
        <v>24816</v>
      </c>
      <c r="BV69" s="53"/>
      <c r="BW69" s="53">
        <f t="shared" si="183"/>
        <v>15600</v>
      </c>
      <c r="BX69" s="53">
        <f t="shared" si="101"/>
        <v>-21036</v>
      </c>
      <c r="BY69" s="53">
        <f aca="true" t="shared" si="193" ref="BY69:BY100">BW69*CRF+BX69</f>
        <v>-18814.91095745311</v>
      </c>
      <c r="BZ69" s="240">
        <f t="shared" si="102"/>
        <v>5.791300000000001</v>
      </c>
      <c r="CC69" s="1">
        <f aca="true" t="shared" si="194" ref="CC69:CC100">IF($O69=0,CT_idle,IF($O69&lt;Small_cutoff,CT_small,IF($O69&gt;Large_cutoff,CT_large,CT_med)))*CC$3</f>
        <v>0</v>
      </c>
      <c r="CD69" s="195">
        <f aca="true" t="shared" si="195" ref="CD69:CD100">IF($O69=0,CT_idle,IF($O69&lt;Small_cutoff,CT_small,IF($O69&gt;Large_cutoff,CT_large,CT_med)))*CD$3-CH69</f>
        <v>5746.4</v>
      </c>
      <c r="CE69" s="195">
        <f aca="true" t="shared" si="196" ref="CE69:CE100">CC69*CRF+CD69</f>
        <v>5746.4</v>
      </c>
      <c r="CF69" s="239">
        <f aca="true" t="shared" si="197" ref="CF69:CG100">IF($O69=0,CT_idle,IF($O69&lt;Small_cutoff,CT_small,IF($O69&gt;Large_cutoff,CT_large,CT_med)))*CF$3</f>
        <v>2.9</v>
      </c>
      <c r="CG69" s="239">
        <f t="shared" si="197"/>
        <v>19.92</v>
      </c>
      <c r="CH69" s="1">
        <f t="shared" si="103"/>
        <v>9561.6</v>
      </c>
      <c r="CK69" s="211">
        <f aca="true" t="shared" si="198" ref="CK69:CK100">IF($O69=0,TCI_idle,IF($O69&lt;Small_cutoff,TCI_small,IF($O69&gt;Large_cutoff,TCI_large,TCI_med)))</f>
        <v>0</v>
      </c>
      <c r="CL69" s="211">
        <f aca="true" t="shared" si="199" ref="CL69:CL100">IF($O69=0,AOC_idle,IF($O69&lt;Small_cutoff,AOC_small,IF($O69&gt;Large_cutoff,AOC_large,AOC_med)))</f>
        <v>0</v>
      </c>
      <c r="CM69" s="211">
        <f aca="true" t="shared" si="200" ref="CM69:CM100">CK69*CRF+CL69</f>
        <v>0</v>
      </c>
      <c r="CQ69" s="1">
        <f t="shared" si="104"/>
        <v>1</v>
      </c>
      <c r="CR69" s="195">
        <f aca="true" t="shared" si="201" ref="CR69:CR132">(CQ$2/CQ$4+CQ$3)*CQ69</f>
        <v>10000</v>
      </c>
      <c r="CS69" s="195"/>
      <c r="CT69" s="195"/>
      <c r="CV69" s="199">
        <f aca="true" t="shared" si="202" ref="CV69:CV100">Q69*CV$2*CV$3*WW_density/1000000</f>
        <v>43.18074994986966</v>
      </c>
      <c r="CW69" s="199">
        <f aca="true" t="shared" si="203" ref="CW69:CW100">R69*CW$2*CW$3*WW_density/1000000</f>
        <v>11.711730499298174</v>
      </c>
      <c r="CX69" s="199">
        <f aca="true" t="shared" si="204" ref="CX69:CX100">S69*CX$2*CX$3*WW_density/1000000</f>
        <v>0</v>
      </c>
      <c r="CY69" s="199">
        <f aca="true" t="shared" si="205" ref="CY69:CY100">T69*CY$2*CY$3*WW_density/1000000</f>
        <v>0</v>
      </c>
      <c r="CZ69" s="199">
        <f aca="true" t="shared" si="206" ref="CZ69:CZ100">U69*CZ$2*CZ$3*WW_density/1000000</f>
        <v>0</v>
      </c>
      <c r="DA69" s="199">
        <f aca="true" t="shared" si="207" ref="DA69:DA100">V69*DA$2*DA$3*WW_density/1000000</f>
        <v>0</v>
      </c>
      <c r="DB69" s="199">
        <f aca="true" t="shared" si="208" ref="DB69:DB100">W69*DB$2*DB$3*WW_density/1000000</f>
        <v>16.91694405454181</v>
      </c>
      <c r="DC69" s="199">
        <f aca="true" t="shared" si="209" ref="DC69:DC100">X69*DC$2*DC$3*WW_density/1000000</f>
        <v>0</v>
      </c>
      <c r="DD69" s="199">
        <f aca="true" t="shared" si="210" ref="DD69:DD100">Y69*DD$2*DD$3*WW_density/1000000</f>
        <v>0</v>
      </c>
      <c r="DE69" s="199">
        <f aca="true" t="shared" si="211" ref="DE69:DE100">Z69*DE$2*DE$3*WW_density/1000000</f>
        <v>0</v>
      </c>
      <c r="DF69" s="199">
        <f aca="true" t="shared" si="212" ref="DF69:DF100">AA69*DF$2*DF$3*WW_density/1000000</f>
        <v>0</v>
      </c>
      <c r="DG69" s="199">
        <f aca="true" t="shared" si="213" ref="DG69:DG100">AB69*DG$2*DG$3*WW_density/1000000</f>
        <v>0</v>
      </c>
      <c r="DH69" s="199">
        <f aca="true" t="shared" si="214" ref="DH69:DH100">AC69*DH$2*DH$3*WW_density/1000000</f>
        <v>15.252777220774012</v>
      </c>
      <c r="DI69" s="199">
        <f aca="true" t="shared" si="215" ref="DI69:DI100">AD69*DI$2*DI$3*WW_density/1000000</f>
        <v>51.65173450972528</v>
      </c>
      <c r="DJ69" s="199">
        <f aca="true" t="shared" si="216" ref="DJ69:DJ100">AE69*DJ$2*DJ$3*WW_density/1000000</f>
        <v>1.6396422699017443</v>
      </c>
      <c r="DK69" s="199">
        <f aca="true" t="shared" si="217" ref="DK69:DK100">AF69*DK$2*DK$3*WW_density/1000000</f>
        <v>2.3091628634449566</v>
      </c>
      <c r="DL69" s="199">
        <f aca="true" t="shared" si="218" ref="DL69:DL100">AG69*DL$2*DL$3*WW_density/1000000</f>
        <v>0</v>
      </c>
      <c r="DM69" s="199">
        <f aca="true" t="shared" si="219" ref="DM69:DM100">AH69*DM$2*DM$3*WW_density/1000000</f>
        <v>2.4594634048526167</v>
      </c>
      <c r="DN69" s="199">
        <f aca="true" t="shared" si="220" ref="DN69:DN100">AI69*DN$2*DN$3*WW_density/1000000</f>
        <v>0</v>
      </c>
      <c r="DO69" s="199">
        <f aca="true" t="shared" si="221" ref="DO69:DO100">AJ69*DO$2*DO$3*WW_density/1000000</f>
        <v>0</v>
      </c>
      <c r="DP69" s="199">
        <f aca="true" t="shared" si="222" ref="DP69:DP100">AK69*DP$2*DP$3*WW_density/1000000</f>
        <v>0</v>
      </c>
      <c r="DQ69" s="199">
        <f aca="true" t="shared" si="223" ref="DQ69:DQ100">AL69*DQ$2*DQ$3*WW_density/1000000</f>
        <v>0</v>
      </c>
      <c r="DR69" s="199">
        <f aca="true" t="shared" si="224" ref="DR69:DR100">AM69*DR$2*DR$3*WW_density/1000000</f>
        <v>1.6516543011830758</v>
      </c>
      <c r="DS69" s="199">
        <f aca="true" t="shared" si="225" ref="DS69:DS100">AN69*DS$2*DS$3*WW_density/1000000</f>
        <v>0</v>
      </c>
      <c r="DT69" s="199">
        <f aca="true" t="shared" si="226" ref="DT69:DT100">AO69*DT$2*DT$3*WW_density/1000000</f>
        <v>13.773795869260075</v>
      </c>
      <c r="DU69" s="199">
        <f aca="true" t="shared" si="227" ref="DU69:DU100">AP69*DU$2*DU$3*WW_density/1000000</f>
        <v>0</v>
      </c>
      <c r="DV69" s="199">
        <f aca="true" t="shared" si="228" ref="DV69:DV100">AQ69*DV$2*DV$3*WW_density/1000000</f>
        <v>0</v>
      </c>
      <c r="DW69" s="199">
        <f aca="true" t="shared" si="229" ref="DW69:DW100">AR69*DW$2*DW$3*WW_density/1000000</f>
        <v>0</v>
      </c>
      <c r="DX69" s="199">
        <f aca="true" t="shared" si="230" ref="DX69:DX100">AS69*DX$2*DX$3*WW_density/1000000</f>
        <v>0</v>
      </c>
      <c r="DY69" s="199">
        <f aca="true" t="shared" si="231" ref="DY69:DY100">AT69*DY$2*DY$3*WW_density/1000000</f>
        <v>0</v>
      </c>
      <c r="DZ69" s="199">
        <f aca="true" t="shared" si="232" ref="DZ69:DZ100">AU69*DZ$2*DZ$3*WW_density/1000000</f>
        <v>0.007120465209544817</v>
      </c>
      <c r="EA69" s="199">
        <f aca="true" t="shared" si="233" ref="EA69:EA100">$AY69*EA$2*EA$3*WW_density/1000000</f>
        <v>40.011000296960326</v>
      </c>
      <c r="EB69" s="199">
        <f aca="true" t="shared" si="234" ref="EB69:EB100">($AY69+O69)*EB$2*EB$3*WW_density/1000000</f>
        <v>4.764787921839134</v>
      </c>
      <c r="EC69" s="202">
        <f t="shared" si="184"/>
        <v>205.3305636268604</v>
      </c>
      <c r="ED69" s="202">
        <f>SUM(CV69:DI69,DS69:DT69,DW69,DY69,EA69:EB69)</f>
        <v>197.26352032226848</v>
      </c>
      <c r="EE69" s="203">
        <f aca="true" t="shared" si="235" ref="EE69:EE132">ED69*365/2205</f>
        <v>32.65359860209886</v>
      </c>
      <c r="EF69" s="199"/>
      <c r="EI69" s="1">
        <f aca="true" t="shared" si="236" ref="EI69:EI100">IF(Q69=0,0,IF(Q69&gt;EI$2,EI$4,EI$3))</f>
        <v>0.5699766927982697</v>
      </c>
      <c r="EJ69" s="1">
        <f aca="true" t="shared" si="237" ref="EJ69:EJ100">IF(R69=0,0,IF(R69&gt;EJ$2,EJ$4,EJ$3))</f>
        <v>0.010606863429336002</v>
      </c>
      <c r="EK69" s="1">
        <f aca="true" t="shared" si="238" ref="EK69:EK100">IF(S69=0,0,IF(S69&gt;EK$2,EK$4,EK$3))</f>
        <v>0</v>
      </c>
      <c r="EL69" s="1">
        <f aca="true" t="shared" si="239" ref="EL69:EL100">IF(T69=0,0,IF(T69&gt;EL$2,EL$4,EL$3))</f>
        <v>0</v>
      </c>
      <c r="EM69" s="1">
        <f aca="true" t="shared" si="240" ref="EM69:EM100">IF(U69=0,0,IF(U69&gt;EM$2,EM$4,EM$3))</f>
        <v>0</v>
      </c>
      <c r="EN69" s="1">
        <f aca="true" t="shared" si="241" ref="EN69:EN100">IF(V69=0,0,IF(V69&gt;EN$2,EN$4,EN$3))</f>
        <v>0</v>
      </c>
      <c r="EO69" s="1">
        <f aca="true" t="shared" si="242" ref="EO69:EO100">IF(W69=0,0,IF(W69&gt;EO$2,EO$4,EO$3))</f>
        <v>0.2644897670328</v>
      </c>
      <c r="EP69" s="1">
        <f aca="true" t="shared" si="243" ref="EP69:EP100">IF(X69=0,0,IF(X69&gt;EP$2,EP$4,EP$3))</f>
        <v>0</v>
      </c>
      <c r="EQ69" s="1">
        <f aca="true" t="shared" si="244" ref="EQ69:EQ100">IF(SUM(Y69:AA69)=0,0,IF(SUM(Y69:AA69)&gt;EQ$2,EQ$4,EQ$3))</f>
        <v>0</v>
      </c>
      <c r="ER69" s="1">
        <f aca="true" t="shared" si="245" ref="ER69:ER100">IF(Z69=0,0,IF(Z69&gt;ER$2,ER$4,ER$3))</f>
        <v>0</v>
      </c>
      <c r="ES69" s="1">
        <f aca="true" t="shared" si="246" ref="ES69:ES100">IF(AA69=0,0,IF(AA69&gt;ES$2,ES$4,ES$3))</f>
        <v>0</v>
      </c>
      <c r="ET69" s="1">
        <f aca="true" t="shared" si="247" ref="ET69:ET100">IF(AB69=0,0,IF(AB69&gt;ET$2,ET$4,ET$3))</f>
        <v>0</v>
      </c>
      <c r="EU69" s="1">
        <f aca="true" t="shared" si="248" ref="EU69:EU100">IF(AC69=0,0,IF(AC69&gt;EU$2,EU$4,EU$3))</f>
        <v>0.14589546715944002</v>
      </c>
      <c r="EV69" s="1">
        <f aca="true" t="shared" si="249" ref="EV69:EV100">IF(AD69=0,0,IF(AD69&gt;EV$2,EV$4,EV$3))</f>
        <v>0</v>
      </c>
      <c r="EW69" s="1">
        <f aca="true" t="shared" si="250" ref="EW69:EW100">IF(AE69=0,0,IF(AE69&gt;EW$2,EW$4,EW$3))</f>
        <v>0.059350736407200004</v>
      </c>
      <c r="EX69" s="1">
        <f aca="true" t="shared" si="251" ref="EX69:EX100">IF(AF69=0,0,IF(AF69&gt;EX$2,EX$4,EX$3))</f>
        <v>0.059350736407200004</v>
      </c>
      <c r="EY69" s="1">
        <f aca="true" t="shared" si="252" ref="EY69:EY100">IF(AG69=0,0,IF(AG69&gt;EY$2,EY$4,EY$3))</f>
        <v>0</v>
      </c>
      <c r="EZ69" s="1">
        <f aca="true" t="shared" si="253" ref="EZ69:EZ100">IF(AH69=0,0,IF(AH69&gt;EZ$2,EZ$4,EZ$3))</f>
        <v>0.059350736407200004</v>
      </c>
      <c r="FA69" s="1">
        <f aca="true" t="shared" si="254" ref="FA69:FA100">IF(AI69=0,0,IF(AI69&gt;FA$2,FA$4,FA$3))</f>
        <v>0</v>
      </c>
      <c r="FB69" s="1">
        <f aca="true" t="shared" si="255" ref="FB69:FB100">IF(AJ69=0,0,IF(AJ69&gt;FB$2,FB$4,FB$3))</f>
        <v>0</v>
      </c>
      <c r="FC69" s="1">
        <f aca="true" t="shared" si="256" ref="FC69:FC100">IF(AK69=0,0,IF(AK69&gt;FC$2,FC$4,FC$3))</f>
        <v>0</v>
      </c>
      <c r="FD69" s="1">
        <f aca="true" t="shared" si="257" ref="FD69:FD100">IF(AL69=0,0,IF(AL69&gt;FD$2,FD$4,FD$3))</f>
        <v>0</v>
      </c>
      <c r="FE69" s="1">
        <f aca="true" t="shared" si="258" ref="FE69:FE100">IF(AM69=0,0,IF(AM69&gt;FE$2,FE$4,FE$3))</f>
        <v>0.059350736407200004</v>
      </c>
      <c r="FF69" s="1">
        <f aca="true" t="shared" si="259" ref="FF69:FF100">IF(AN69=0,0,IF(AN69&gt;FF$2,FF$4,FF$3))</f>
        <v>0</v>
      </c>
      <c r="FG69" s="1">
        <f aca="true" t="shared" si="260" ref="FG69:FG100">IF(AO69=0,0,IF(AO69&gt;FG$2,FG$4,FG$3))</f>
        <v>0.059350736407200004</v>
      </c>
      <c r="FH69" s="1">
        <f aca="true" t="shared" si="261" ref="FH69:FH100">IF(AP69=0,0,IF(AP69&gt;FH$2,FH$4,FH$3))</f>
        <v>0</v>
      </c>
      <c r="FI69" s="1">
        <f aca="true" t="shared" si="262" ref="FI69:FI100">IF(AQ69=0,0,IF(AQ69&gt;FI$2,FI$4,FI$3))</f>
        <v>0</v>
      </c>
      <c r="FJ69" s="1">
        <f aca="true" t="shared" si="263" ref="FJ69:FJ100">IF(AR69=0,0,IF(AR69&gt;FJ$2,FJ$4,FJ$3))</f>
        <v>0</v>
      </c>
      <c r="FK69" s="1">
        <f aca="true" t="shared" si="264" ref="FK69:FK100">IF(AS69=0,0,IF(AS69&gt;FK$2,FK$4,FK$3))</f>
        <v>0</v>
      </c>
      <c r="FL69" s="1">
        <f aca="true" t="shared" si="265" ref="FL69:FL100">IF(AT69=0,0,IF(AT69&gt;FL$2,FL$4,FL$3))</f>
        <v>0</v>
      </c>
      <c r="FM69" s="1">
        <f aca="true" t="shared" si="266" ref="FM69:FM100">IF(AU69=0,0,IF(AU69&gt;FM$2,FM$4,FM$3))</f>
        <v>0.0057571153094400015</v>
      </c>
      <c r="FN69" s="1">
        <f aca="true" t="shared" si="267" ref="FN69:FN100">IF(O69=0,0,IF(O69&gt;FN$2,FN$4,FN$3))</f>
        <v>7.46760736344</v>
      </c>
      <c r="FO69" s="1">
        <f>IF(O69=0,0,SUM(EI69:FN69))</f>
        <v>8.761086951205286</v>
      </c>
    </row>
    <row r="70" spans="1:171" ht="12.75">
      <c r="A70" s="33">
        <v>134</v>
      </c>
      <c r="B70" s="34" t="s">
        <v>207</v>
      </c>
      <c r="C70" s="34" t="s">
        <v>187</v>
      </c>
      <c r="D70" s="35" t="s">
        <v>171</v>
      </c>
      <c r="E70" s="35">
        <v>3</v>
      </c>
      <c r="F70" s="35" t="s">
        <v>186</v>
      </c>
      <c r="G70" s="35" t="s">
        <v>74</v>
      </c>
      <c r="H70" s="35" t="s">
        <v>75</v>
      </c>
      <c r="I70" s="35">
        <v>3</v>
      </c>
      <c r="J70" s="35"/>
      <c r="K70" s="26">
        <f aca="true" t="shared" si="268" ref="K70:K133">IF(SUM(S70:AA70)&gt;0,1,0)</f>
        <v>1</v>
      </c>
      <c r="L70" s="26">
        <f aca="true" t="shared" si="269" ref="L70:L133">IF(AB70+AC70+AN70&gt;0,1,0)</f>
        <v>1</v>
      </c>
      <c r="M70" s="33">
        <v>292210</v>
      </c>
      <c r="N70" s="33">
        <v>945435</v>
      </c>
      <c r="O70" s="27">
        <f aca="true" t="shared" si="270" ref="O70:O133">IF(Q70&gt;0,P70,IF(R70&gt;0,R70,W70+AE70)*0.9)</f>
        <v>213750</v>
      </c>
      <c r="P70" s="30">
        <v>213750</v>
      </c>
      <c r="Q70" s="30">
        <v>225000</v>
      </c>
      <c r="R70" s="30">
        <v>210000</v>
      </c>
      <c r="S70" s="31">
        <v>50000</v>
      </c>
      <c r="T70" s="31">
        <v>0</v>
      </c>
      <c r="U70" s="31">
        <v>0</v>
      </c>
      <c r="V70" s="31">
        <v>0</v>
      </c>
      <c r="W70" s="30">
        <v>83000</v>
      </c>
      <c r="X70" s="31">
        <v>0</v>
      </c>
      <c r="Y70" s="31">
        <v>0</v>
      </c>
      <c r="Z70" s="30">
        <v>0</v>
      </c>
      <c r="AA70" s="31">
        <v>0</v>
      </c>
      <c r="AB70" s="30">
        <v>16500</v>
      </c>
      <c r="AC70" s="30">
        <v>0</v>
      </c>
      <c r="AD70" s="30">
        <v>35000</v>
      </c>
      <c r="AE70" s="30">
        <v>17000</v>
      </c>
      <c r="AF70" s="30">
        <v>53000</v>
      </c>
      <c r="AG70" s="30">
        <v>36000</v>
      </c>
      <c r="AH70" s="30">
        <v>52000</v>
      </c>
      <c r="AI70" s="30">
        <v>0</v>
      </c>
      <c r="AJ70" s="30">
        <v>110000</v>
      </c>
      <c r="AK70" s="30">
        <v>0</v>
      </c>
      <c r="AL70" s="30">
        <v>6500</v>
      </c>
      <c r="AM70" s="30">
        <v>12000</v>
      </c>
      <c r="AN70" s="31">
        <v>0</v>
      </c>
      <c r="AO70" s="30">
        <v>0</v>
      </c>
      <c r="AP70" s="31">
        <v>0</v>
      </c>
      <c r="AQ70" s="31">
        <v>6500</v>
      </c>
      <c r="AR70" s="31">
        <v>0</v>
      </c>
      <c r="AS70" s="31">
        <v>18000</v>
      </c>
      <c r="AT70" s="31">
        <v>0</v>
      </c>
      <c r="AU70" s="30">
        <v>924</v>
      </c>
      <c r="AX70" s="2">
        <f aca="true" t="shared" si="271" ref="AX70:AX133">IF(Q70+R70&gt;0,0.88*(IF(Q70=0,R70,Q70)-(AR70+AS70+AO70+AN70)),IF(W70=0,SUM(AE70:AI70),0.6*(W70+X70))+AM70)</f>
        <v>182160</v>
      </c>
      <c r="AY70" s="32">
        <f t="shared" si="185"/>
        <v>173052</v>
      </c>
      <c r="AZ70" s="186">
        <f t="shared" si="186"/>
        <v>0.4365833993075444</v>
      </c>
      <c r="BA70" s="186">
        <f t="shared" si="187"/>
        <v>0.09071934388191041</v>
      </c>
      <c r="BB70" s="186">
        <f t="shared" si="188"/>
        <v>0.2968784773273695</v>
      </c>
      <c r="BC70" s="53">
        <f aca="true" t="shared" si="272" ref="BC70:BC133">P70</f>
        <v>213750</v>
      </c>
      <c r="BD70" s="53">
        <f t="shared" si="189"/>
        <v>91668.71136616357</v>
      </c>
      <c r="BE70" s="53">
        <f t="shared" si="190"/>
        <v>19048.19414304028</v>
      </c>
      <c r="BF70" s="53">
        <f t="shared" si="191"/>
        <v>62335.09449079615</v>
      </c>
      <c r="BG70" s="53"/>
      <c r="BH70" s="53">
        <f aca="true" t="shared" si="273" ref="BH70:BH133">ROUNDUP(BC70/BH$3,0)+IF(P70=0,0,1)</f>
        <v>9</v>
      </c>
      <c r="BI70" s="53">
        <f aca="true" t="shared" si="274" ref="BI70:BI133">ROUNDUP(BD70/BI$3,0)+IF($AY70=0,0,2)</f>
        <v>7</v>
      </c>
      <c r="BJ70" s="53">
        <f aca="true" t="shared" si="275" ref="BJ70:BJ133">ROUNDUP(BE70/BJ$3,0)+IF($O70=0,0,2)</f>
        <v>4</v>
      </c>
      <c r="BK70" s="53">
        <f aca="true" t="shared" si="276" ref="BK70:BK133">ROUNDUP(BF70/BK$3,0)+IF($AY70=0,0,1)</f>
        <v>6</v>
      </c>
      <c r="BL70" s="53"/>
      <c r="BM70" s="53">
        <f aca="true" t="shared" si="277" ref="BM70:BM133">IF(H70="yes",0,ROUNDUP(BH70*$BM$3,0))</f>
        <v>4</v>
      </c>
      <c r="BN70" s="53">
        <f aca="true" t="shared" si="278" ref="BN70:BN133">ROUNDUP(BI70*BN$3,0)</f>
        <v>3</v>
      </c>
      <c r="BO70" s="53">
        <f aca="true" t="shared" si="279" ref="BO70:BO133">ROUNDUP(BJ70*BO$3,0)</f>
        <v>2</v>
      </c>
      <c r="BP70" s="53">
        <f aca="true" t="shared" si="280" ref="BP70:BP133">ROUNDUP(BK70*BP$3,0)</f>
        <v>0</v>
      </c>
      <c r="BQ70" s="53"/>
      <c r="BR70" s="53">
        <f aca="true" t="shared" si="281" ref="BR70:BR133">BR$3/2000*BM70</f>
        <v>13</v>
      </c>
      <c r="BS70" s="53">
        <f aca="true" t="shared" si="282" ref="BS70:BS133">BS$3/2000*BN70</f>
        <v>51.300000000000004</v>
      </c>
      <c r="BT70" s="53">
        <f aca="true" t="shared" si="283" ref="BT70:BT133">BT$3/2000*BO70</f>
        <v>11</v>
      </c>
      <c r="BU70" s="53">
        <f t="shared" si="192"/>
        <v>36144.00000000001</v>
      </c>
      <c r="BV70" s="53"/>
      <c r="BW70" s="53">
        <f aca="true" t="shared" si="284" ref="BW70:BW101">SUM($BM70:$BO70)*BW$3</f>
        <v>23400</v>
      </c>
      <c r="BX70" s="53">
        <f aca="true" t="shared" si="285" ref="BX70:BX133">SUM($BM70:$BO70)*BX$3-BU70</f>
        <v>-30474.000000000007</v>
      </c>
      <c r="BY70" s="53">
        <f t="shared" si="193"/>
        <v>-27142.366436179673</v>
      </c>
      <c r="BZ70" s="240">
        <f aca="true" t="shared" si="286" ref="BZ70:BZ133">BR70*BR$158+BS70*BS$158+BT70*BT$158</f>
        <v>8.2337</v>
      </c>
      <c r="CC70" s="1">
        <f t="shared" si="194"/>
        <v>0</v>
      </c>
      <c r="CD70" s="195">
        <f t="shared" si="195"/>
        <v>8619.599999999999</v>
      </c>
      <c r="CE70" s="195">
        <f t="shared" si="196"/>
        <v>8619.599999999999</v>
      </c>
      <c r="CF70" s="239">
        <f t="shared" si="197"/>
        <v>4.35</v>
      </c>
      <c r="CG70" s="239">
        <f t="shared" si="197"/>
        <v>29.880000000000003</v>
      </c>
      <c r="CH70" s="1">
        <f aca="true" t="shared" si="287" ref="CH70:CH133">$BU$3*CG70</f>
        <v>14342.400000000001</v>
      </c>
      <c r="CK70" s="211">
        <f t="shared" si="198"/>
        <v>0</v>
      </c>
      <c r="CL70" s="211">
        <f t="shared" si="199"/>
        <v>0</v>
      </c>
      <c r="CM70" s="211">
        <f t="shared" si="200"/>
        <v>0</v>
      </c>
      <c r="CQ70" s="1">
        <f aca="true" t="shared" si="288" ref="CQ70:CQ133">IF(EE70&lt;10,0,1)</f>
        <v>1</v>
      </c>
      <c r="CR70" s="195">
        <f t="shared" si="201"/>
        <v>10000</v>
      </c>
      <c r="CS70" s="195"/>
      <c r="CT70" s="195"/>
      <c r="CV70" s="199">
        <f t="shared" si="202"/>
        <v>114.30198516141968</v>
      </c>
      <c r="CW70" s="199">
        <f t="shared" si="203"/>
        <v>63.06316422699017</v>
      </c>
      <c r="CX70" s="199">
        <f t="shared" si="204"/>
        <v>98.43192299979947</v>
      </c>
      <c r="CY70" s="199">
        <f t="shared" si="205"/>
        <v>0</v>
      </c>
      <c r="CZ70" s="199">
        <f t="shared" si="206"/>
        <v>0</v>
      </c>
      <c r="DA70" s="199">
        <f t="shared" si="207"/>
        <v>0</v>
      </c>
      <c r="DB70" s="199">
        <f t="shared" si="208"/>
        <v>21.601636254261077</v>
      </c>
      <c r="DC70" s="199">
        <f t="shared" si="209"/>
        <v>0</v>
      </c>
      <c r="DD70" s="199">
        <f t="shared" si="210"/>
        <v>0</v>
      </c>
      <c r="DE70" s="199">
        <f t="shared" si="211"/>
        <v>0</v>
      </c>
      <c r="DF70" s="199">
        <f t="shared" si="212"/>
        <v>0</v>
      </c>
      <c r="DG70" s="199">
        <f t="shared" si="213"/>
        <v>21.884419490675754</v>
      </c>
      <c r="DH70" s="199">
        <f t="shared" si="214"/>
        <v>0</v>
      </c>
      <c r="DI70" s="199">
        <f t="shared" si="215"/>
        <v>100.4339282133547</v>
      </c>
      <c r="DJ70" s="199">
        <f t="shared" si="216"/>
        <v>2.3228265490274715</v>
      </c>
      <c r="DK70" s="199">
        <f t="shared" si="217"/>
        <v>7.241753358732704</v>
      </c>
      <c r="DL70" s="199">
        <f t="shared" si="218"/>
        <v>4.918926809705233</v>
      </c>
      <c r="DM70" s="199">
        <f t="shared" si="219"/>
        <v>7.105116502907559</v>
      </c>
      <c r="DN70" s="199">
        <f t="shared" si="220"/>
        <v>0</v>
      </c>
      <c r="DO70" s="199">
        <f t="shared" si="221"/>
        <v>15.03005414076599</v>
      </c>
      <c r="DP70" s="199">
        <f t="shared" si="222"/>
        <v>0</v>
      </c>
      <c r="DQ70" s="199">
        <f t="shared" si="223"/>
        <v>0.8881395628634449</v>
      </c>
      <c r="DR70" s="199">
        <f t="shared" si="224"/>
        <v>1.801804692199719</v>
      </c>
      <c r="DS70" s="199">
        <f t="shared" si="225"/>
        <v>0</v>
      </c>
      <c r="DT70" s="199">
        <f t="shared" si="226"/>
        <v>0</v>
      </c>
      <c r="DU70" s="199">
        <f t="shared" si="227"/>
        <v>0</v>
      </c>
      <c r="DV70" s="199">
        <f t="shared" si="228"/>
        <v>0.0018977341086825745</v>
      </c>
      <c r="DW70" s="199">
        <f t="shared" si="229"/>
        <v>0</v>
      </c>
      <c r="DX70" s="199">
        <f t="shared" si="230"/>
        <v>1.1651670342891516</v>
      </c>
      <c r="DY70" s="199">
        <f t="shared" si="231"/>
        <v>0</v>
      </c>
      <c r="DZ70" s="199">
        <f t="shared" si="232"/>
        <v>0.059811907760176454</v>
      </c>
      <c r="EA70" s="199">
        <f t="shared" si="233"/>
        <v>100.47079180268697</v>
      </c>
      <c r="EB70" s="199">
        <f t="shared" si="234"/>
        <v>12.131947389612993</v>
      </c>
      <c r="EC70" s="202">
        <f t="shared" si="184"/>
        <v>572.8552938311609</v>
      </c>
      <c r="ED70" s="202">
        <f>SUM(CV70:DI70,DS70:DT70,DW70,DY70,EA70:EB70)</f>
        <v>532.3197955388008</v>
      </c>
      <c r="EE70" s="203">
        <f t="shared" si="235"/>
        <v>88.1164287399829</v>
      </c>
      <c r="EF70" s="199"/>
      <c r="EI70" s="1">
        <f t="shared" si="236"/>
        <v>0.5699766927982697</v>
      </c>
      <c r="EJ70" s="1">
        <f t="shared" si="237"/>
        <v>0.010606863429336002</v>
      </c>
      <c r="EK70" s="1">
        <f t="shared" si="238"/>
        <v>0.24682268761392</v>
      </c>
      <c r="EL70" s="1">
        <f t="shared" si="239"/>
        <v>0</v>
      </c>
      <c r="EM70" s="1">
        <f t="shared" si="240"/>
        <v>0</v>
      </c>
      <c r="EN70" s="1">
        <f t="shared" si="241"/>
        <v>0</v>
      </c>
      <c r="EO70" s="1">
        <f t="shared" si="242"/>
        <v>0.2644897670328</v>
      </c>
      <c r="EP70" s="1">
        <f t="shared" si="243"/>
        <v>0</v>
      </c>
      <c r="EQ70" s="1">
        <f t="shared" si="244"/>
        <v>0</v>
      </c>
      <c r="ER70" s="1">
        <f t="shared" si="245"/>
        <v>0</v>
      </c>
      <c r="ES70" s="1">
        <f t="shared" si="246"/>
        <v>0</v>
      </c>
      <c r="ET70" s="1">
        <f t="shared" si="247"/>
        <v>0.14589546715944002</v>
      </c>
      <c r="EU70" s="1">
        <f t="shared" si="248"/>
        <v>0</v>
      </c>
      <c r="EV70" s="1">
        <f t="shared" si="249"/>
        <v>0</v>
      </c>
      <c r="EW70" s="1">
        <f t="shared" si="250"/>
        <v>0.059350736407200004</v>
      </c>
      <c r="EX70" s="1">
        <f t="shared" si="251"/>
        <v>0.10099701098903999</v>
      </c>
      <c r="EY70" s="1">
        <f t="shared" si="252"/>
        <v>0.10099701098903999</v>
      </c>
      <c r="EZ70" s="1">
        <f t="shared" si="253"/>
        <v>0.10099701098903999</v>
      </c>
      <c r="FA70" s="1">
        <f t="shared" si="254"/>
        <v>0</v>
      </c>
      <c r="FB70" s="1">
        <f t="shared" si="255"/>
        <v>0.10099701098903999</v>
      </c>
      <c r="FC70" s="1">
        <f t="shared" si="256"/>
        <v>0</v>
      </c>
      <c r="FD70" s="1">
        <f t="shared" si="257"/>
        <v>0.059350736407200004</v>
      </c>
      <c r="FE70" s="1">
        <f t="shared" si="258"/>
        <v>0.059350736407200004</v>
      </c>
      <c r="FF70" s="1">
        <f t="shared" si="259"/>
        <v>0</v>
      </c>
      <c r="FG70" s="1">
        <f t="shared" si="260"/>
        <v>0</v>
      </c>
      <c r="FH70" s="1">
        <f t="shared" si="261"/>
        <v>0</v>
      </c>
      <c r="FI70" s="1">
        <f t="shared" si="262"/>
        <v>0</v>
      </c>
      <c r="FJ70" s="1">
        <f t="shared" si="263"/>
        <v>0</v>
      </c>
      <c r="FK70" s="1">
        <f t="shared" si="264"/>
        <v>0</v>
      </c>
      <c r="FL70" s="1">
        <f t="shared" si="265"/>
        <v>0</v>
      </c>
      <c r="FM70" s="1">
        <f t="shared" si="266"/>
        <v>0.0057571153094400015</v>
      </c>
      <c r="FN70" s="1">
        <f t="shared" si="267"/>
        <v>7.46760736344</v>
      </c>
      <c r="FO70" s="1">
        <f>IF(O70=0,0,SUM(EI70:FN70))</f>
        <v>9.293196209960964</v>
      </c>
    </row>
    <row r="71" spans="1:171" ht="12.75">
      <c r="A71" s="24">
        <v>1</v>
      </c>
      <c r="B71" s="25" t="s">
        <v>208</v>
      </c>
      <c r="C71" s="25" t="s">
        <v>209</v>
      </c>
      <c r="D71" s="26" t="s">
        <v>210</v>
      </c>
      <c r="E71" s="26">
        <v>3</v>
      </c>
      <c r="F71" s="26" t="s">
        <v>211</v>
      </c>
      <c r="G71" s="26" t="s">
        <v>74</v>
      </c>
      <c r="H71" s="26" t="s">
        <v>75</v>
      </c>
      <c r="I71" s="26">
        <v>3</v>
      </c>
      <c r="J71" s="26"/>
      <c r="K71" s="26">
        <f t="shared" si="268"/>
        <v>0</v>
      </c>
      <c r="L71" s="26">
        <f t="shared" si="269"/>
        <v>0</v>
      </c>
      <c r="M71" s="24">
        <v>304512</v>
      </c>
      <c r="N71" s="24">
        <v>883000</v>
      </c>
      <c r="O71" s="27">
        <f t="shared" si="270"/>
        <v>16700</v>
      </c>
      <c r="P71" s="28">
        <v>16700</v>
      </c>
      <c r="Q71" s="28">
        <v>22000</v>
      </c>
      <c r="R71" s="28">
        <v>15400</v>
      </c>
      <c r="S71" s="29">
        <v>0</v>
      </c>
      <c r="T71" s="29">
        <v>0</v>
      </c>
      <c r="U71" s="29">
        <v>0</v>
      </c>
      <c r="V71" s="29">
        <v>0</v>
      </c>
      <c r="W71" s="28">
        <v>0</v>
      </c>
      <c r="X71" s="29">
        <v>0</v>
      </c>
      <c r="Y71" s="28">
        <v>0</v>
      </c>
      <c r="Z71" s="28">
        <v>0</v>
      </c>
      <c r="AA71" s="28">
        <v>0</v>
      </c>
      <c r="AB71" s="28">
        <v>0</v>
      </c>
      <c r="AC71" s="28">
        <v>0</v>
      </c>
      <c r="AD71" s="28">
        <v>0</v>
      </c>
      <c r="AE71" s="28">
        <v>0</v>
      </c>
      <c r="AF71" s="28">
        <v>0</v>
      </c>
      <c r="AG71" s="28">
        <v>0</v>
      </c>
      <c r="AH71" s="28">
        <v>0</v>
      </c>
      <c r="AI71" s="28">
        <v>0</v>
      </c>
      <c r="AJ71" s="28">
        <v>0</v>
      </c>
      <c r="AK71" s="28">
        <v>0</v>
      </c>
      <c r="AL71" s="28">
        <v>0</v>
      </c>
      <c r="AM71" s="30">
        <v>0</v>
      </c>
      <c r="AN71" s="30">
        <v>0</v>
      </c>
      <c r="AO71" s="30">
        <v>13200</v>
      </c>
      <c r="AP71" s="30">
        <v>0</v>
      </c>
      <c r="AQ71" s="30">
        <v>0</v>
      </c>
      <c r="AR71" s="30">
        <v>0</v>
      </c>
      <c r="AS71" s="30">
        <v>0</v>
      </c>
      <c r="AT71" s="30">
        <v>0</v>
      </c>
      <c r="AU71" s="30">
        <v>0</v>
      </c>
      <c r="AX71" s="2">
        <f t="shared" si="271"/>
        <v>7744</v>
      </c>
      <c r="AY71" s="32">
        <f t="shared" si="185"/>
        <v>5878.4</v>
      </c>
      <c r="AZ71" s="186">
        <f t="shared" si="186"/>
        <v>0.43041608946933585</v>
      </c>
      <c r="BA71" s="186">
        <f t="shared" si="187"/>
        <v>0.08214614971485576</v>
      </c>
      <c r="BB71" s="186">
        <f t="shared" si="188"/>
        <v>0.3013649779476315</v>
      </c>
      <c r="BC71" s="53">
        <f t="shared" si="272"/>
        <v>16700</v>
      </c>
      <c r="BD71" s="53">
        <f t="shared" si="189"/>
        <v>3108.5800880974357</v>
      </c>
      <c r="BE71" s="53">
        <f t="shared" si="190"/>
        <v>593.281458488935</v>
      </c>
      <c r="BF71" s="53">
        <f t="shared" si="191"/>
        <v>2176.5384534136283</v>
      </c>
      <c r="BG71" s="53"/>
      <c r="BH71" s="53">
        <f t="shared" si="273"/>
        <v>2</v>
      </c>
      <c r="BI71" s="53">
        <f t="shared" si="274"/>
        <v>3</v>
      </c>
      <c r="BJ71" s="53">
        <f t="shared" si="275"/>
        <v>3</v>
      </c>
      <c r="BK71" s="53">
        <f t="shared" si="276"/>
        <v>2</v>
      </c>
      <c r="BL71" s="53"/>
      <c r="BM71" s="53">
        <f t="shared" si="277"/>
        <v>1</v>
      </c>
      <c r="BN71" s="53">
        <f t="shared" si="278"/>
        <v>2</v>
      </c>
      <c r="BO71" s="53">
        <f t="shared" si="279"/>
        <v>2</v>
      </c>
      <c r="BP71" s="53">
        <f t="shared" si="280"/>
        <v>0</v>
      </c>
      <c r="BQ71" s="53"/>
      <c r="BR71" s="53">
        <f t="shared" si="281"/>
        <v>3.25</v>
      </c>
      <c r="BS71" s="53">
        <f t="shared" si="282"/>
        <v>34.2</v>
      </c>
      <c r="BT71" s="53">
        <f t="shared" si="283"/>
        <v>11</v>
      </c>
      <c r="BU71" s="53">
        <f t="shared" si="192"/>
        <v>23256</v>
      </c>
      <c r="BV71" s="53"/>
      <c r="BW71" s="53">
        <f t="shared" si="284"/>
        <v>13000</v>
      </c>
      <c r="BX71" s="53">
        <f t="shared" si="285"/>
        <v>-20106</v>
      </c>
      <c r="BY71" s="53">
        <f t="shared" si="193"/>
        <v>-18255.092464544257</v>
      </c>
      <c r="BZ71" s="240">
        <f t="shared" si="286"/>
        <v>5.5020500000000006</v>
      </c>
      <c r="CC71" s="1">
        <f t="shared" si="194"/>
        <v>0</v>
      </c>
      <c r="CD71" s="195">
        <f t="shared" si="195"/>
        <v>2873.2</v>
      </c>
      <c r="CE71" s="195">
        <f t="shared" si="196"/>
        <v>2873.2</v>
      </c>
      <c r="CF71" s="239">
        <f t="shared" si="197"/>
        <v>1.45</v>
      </c>
      <c r="CG71" s="239">
        <f t="shared" si="197"/>
        <v>9.96</v>
      </c>
      <c r="CH71" s="1">
        <f t="shared" si="287"/>
        <v>4780.8</v>
      </c>
      <c r="CK71" s="211">
        <f t="shared" si="198"/>
        <v>0</v>
      </c>
      <c r="CL71" s="211">
        <f t="shared" si="199"/>
        <v>0</v>
      </c>
      <c r="CM71" s="211">
        <f t="shared" si="200"/>
        <v>0</v>
      </c>
      <c r="CQ71" s="1">
        <f t="shared" si="288"/>
        <v>0</v>
      </c>
      <c r="CR71" s="195">
        <f t="shared" si="201"/>
        <v>0</v>
      </c>
      <c r="CS71" s="195"/>
      <c r="CT71" s="195"/>
      <c r="CV71" s="199">
        <f t="shared" si="202"/>
        <v>11.176194104672147</v>
      </c>
      <c r="CW71" s="199">
        <f t="shared" si="203"/>
        <v>4.624632043312612</v>
      </c>
      <c r="CX71" s="199">
        <f t="shared" si="204"/>
        <v>0</v>
      </c>
      <c r="CY71" s="199">
        <f t="shared" si="205"/>
        <v>0</v>
      </c>
      <c r="CZ71" s="199">
        <f t="shared" si="206"/>
        <v>0</v>
      </c>
      <c r="DA71" s="199">
        <f t="shared" si="207"/>
        <v>0</v>
      </c>
      <c r="DB71" s="199">
        <f t="shared" si="208"/>
        <v>0</v>
      </c>
      <c r="DC71" s="199">
        <f t="shared" si="209"/>
        <v>0</v>
      </c>
      <c r="DD71" s="199">
        <f t="shared" si="210"/>
        <v>0</v>
      </c>
      <c r="DE71" s="199">
        <f t="shared" si="211"/>
        <v>0</v>
      </c>
      <c r="DF71" s="199">
        <f t="shared" si="212"/>
        <v>0</v>
      </c>
      <c r="DG71" s="199">
        <f t="shared" si="213"/>
        <v>0</v>
      </c>
      <c r="DH71" s="199">
        <f t="shared" si="214"/>
        <v>0</v>
      </c>
      <c r="DI71" s="199">
        <f t="shared" si="215"/>
        <v>0</v>
      </c>
      <c r="DJ71" s="199">
        <f t="shared" si="216"/>
        <v>0</v>
      </c>
      <c r="DK71" s="199">
        <f t="shared" si="217"/>
        <v>0</v>
      </c>
      <c r="DL71" s="199">
        <f t="shared" si="218"/>
        <v>0</v>
      </c>
      <c r="DM71" s="199">
        <f t="shared" si="219"/>
        <v>0</v>
      </c>
      <c r="DN71" s="199">
        <f t="shared" si="220"/>
        <v>0</v>
      </c>
      <c r="DO71" s="199">
        <f t="shared" si="221"/>
        <v>0</v>
      </c>
      <c r="DP71" s="199">
        <f t="shared" si="222"/>
        <v>0</v>
      </c>
      <c r="DQ71" s="199">
        <f t="shared" si="223"/>
        <v>0</v>
      </c>
      <c r="DR71" s="199">
        <f t="shared" si="224"/>
        <v>0</v>
      </c>
      <c r="DS71" s="199">
        <f t="shared" si="225"/>
        <v>0</v>
      </c>
      <c r="DT71" s="199">
        <f t="shared" si="226"/>
        <v>37.87793864046521</v>
      </c>
      <c r="DU71" s="199">
        <f t="shared" si="227"/>
        <v>0</v>
      </c>
      <c r="DV71" s="199">
        <f t="shared" si="228"/>
        <v>0</v>
      </c>
      <c r="DW71" s="199">
        <f t="shared" si="229"/>
        <v>0</v>
      </c>
      <c r="DX71" s="199">
        <f t="shared" si="230"/>
        <v>0</v>
      </c>
      <c r="DY71" s="199">
        <f t="shared" si="231"/>
        <v>0</v>
      </c>
      <c r="DZ71" s="199">
        <f t="shared" si="232"/>
        <v>0</v>
      </c>
      <c r="EA71" s="199">
        <f t="shared" si="233"/>
        <v>3.4128903597353104</v>
      </c>
      <c r="EB71" s="199">
        <f t="shared" si="234"/>
        <v>0.7081658340485263</v>
      </c>
      <c r="EC71" s="202">
        <f t="shared" si="184"/>
        <v>57.799820982233804</v>
      </c>
      <c r="ED71" s="202">
        <f>SUM(CV71:DI71,DS71:DT71,DW71,DY71,EA71:EB71)</f>
        <v>57.799820982233804</v>
      </c>
      <c r="EE71" s="203">
        <f t="shared" si="235"/>
        <v>9.567770820188363</v>
      </c>
      <c r="EF71" s="199"/>
      <c r="EI71" s="1">
        <f t="shared" si="236"/>
        <v>0.18495710758393283</v>
      </c>
      <c r="EJ71" s="1">
        <f t="shared" si="237"/>
        <v>0.002442336444552</v>
      </c>
      <c r="EK71" s="1">
        <f t="shared" si="238"/>
        <v>0</v>
      </c>
      <c r="EL71" s="1">
        <f t="shared" si="239"/>
        <v>0</v>
      </c>
      <c r="EM71" s="1">
        <f t="shared" si="240"/>
        <v>0</v>
      </c>
      <c r="EN71" s="1">
        <f t="shared" si="241"/>
        <v>0</v>
      </c>
      <c r="EO71" s="1">
        <f t="shared" si="242"/>
        <v>0</v>
      </c>
      <c r="EP71" s="1">
        <f t="shared" si="243"/>
        <v>0</v>
      </c>
      <c r="EQ71" s="1">
        <f t="shared" si="244"/>
        <v>0</v>
      </c>
      <c r="ER71" s="1">
        <f t="shared" si="245"/>
        <v>0</v>
      </c>
      <c r="ES71" s="1">
        <f t="shared" si="246"/>
        <v>0</v>
      </c>
      <c r="ET71" s="1">
        <f t="shared" si="247"/>
        <v>0</v>
      </c>
      <c r="EU71" s="1">
        <f t="shared" si="248"/>
        <v>0</v>
      </c>
      <c r="EV71" s="1">
        <f t="shared" si="249"/>
        <v>0</v>
      </c>
      <c r="EW71" s="1">
        <f t="shared" si="250"/>
        <v>0</v>
      </c>
      <c r="EX71" s="1">
        <f t="shared" si="251"/>
        <v>0</v>
      </c>
      <c r="EY71" s="1">
        <f t="shared" si="252"/>
        <v>0</v>
      </c>
      <c r="EZ71" s="1">
        <f t="shared" si="253"/>
        <v>0</v>
      </c>
      <c r="FA71" s="1">
        <f t="shared" si="254"/>
        <v>0</v>
      </c>
      <c r="FB71" s="1">
        <f t="shared" si="255"/>
        <v>0</v>
      </c>
      <c r="FC71" s="1">
        <f t="shared" si="256"/>
        <v>0</v>
      </c>
      <c r="FD71" s="1">
        <f t="shared" si="257"/>
        <v>0</v>
      </c>
      <c r="FE71" s="1">
        <f t="shared" si="258"/>
        <v>0</v>
      </c>
      <c r="FF71" s="1">
        <f t="shared" si="259"/>
        <v>0</v>
      </c>
      <c r="FG71" s="1">
        <f t="shared" si="260"/>
        <v>0.059350736407200004</v>
      </c>
      <c r="FH71" s="1">
        <f t="shared" si="261"/>
        <v>0</v>
      </c>
      <c r="FI71" s="1">
        <f t="shared" si="262"/>
        <v>0</v>
      </c>
      <c r="FJ71" s="1">
        <f t="shared" si="263"/>
        <v>0</v>
      </c>
      <c r="FK71" s="1">
        <f t="shared" si="264"/>
        <v>0</v>
      </c>
      <c r="FL71" s="1">
        <f t="shared" si="265"/>
        <v>0</v>
      </c>
      <c r="FM71" s="1">
        <f t="shared" si="266"/>
        <v>0</v>
      </c>
      <c r="FN71" s="1">
        <f t="shared" si="267"/>
        <v>4.472293968912</v>
      </c>
      <c r="FO71" s="1">
        <f>IF(O71=0,0,SUM(EI71:FN71))</f>
        <v>4.719044149347685</v>
      </c>
    </row>
    <row r="72" spans="1:171" ht="12.75">
      <c r="A72" s="24">
        <v>3</v>
      </c>
      <c r="B72" s="25" t="s">
        <v>212</v>
      </c>
      <c r="C72" s="25" t="s">
        <v>213</v>
      </c>
      <c r="D72" s="26" t="s">
        <v>210</v>
      </c>
      <c r="E72" s="26">
        <v>3</v>
      </c>
      <c r="F72" s="26" t="s">
        <v>211</v>
      </c>
      <c r="G72" s="26" t="s">
        <v>74</v>
      </c>
      <c r="H72" s="26" t="s">
        <v>75</v>
      </c>
      <c r="I72" s="26">
        <v>3</v>
      </c>
      <c r="J72" s="26"/>
      <c r="K72" s="26">
        <f t="shared" si="268"/>
        <v>0</v>
      </c>
      <c r="L72" s="26">
        <f t="shared" si="269"/>
        <v>1</v>
      </c>
      <c r="M72" s="24">
        <v>304723</v>
      </c>
      <c r="N72" s="24">
        <v>880332</v>
      </c>
      <c r="O72" s="27">
        <f t="shared" si="270"/>
        <v>80000</v>
      </c>
      <c r="P72" s="28">
        <v>80000</v>
      </c>
      <c r="Q72" s="28">
        <v>85000</v>
      </c>
      <c r="R72" s="28">
        <v>30000</v>
      </c>
      <c r="S72" s="29">
        <v>0</v>
      </c>
      <c r="T72" s="29">
        <v>0</v>
      </c>
      <c r="U72" s="29">
        <v>0</v>
      </c>
      <c r="V72" s="29">
        <v>0</v>
      </c>
      <c r="W72" s="28">
        <v>0</v>
      </c>
      <c r="X72" s="29">
        <v>0</v>
      </c>
      <c r="Y72" s="28">
        <v>0</v>
      </c>
      <c r="Z72" s="28">
        <v>0</v>
      </c>
      <c r="AA72" s="28">
        <v>0</v>
      </c>
      <c r="AB72" s="28">
        <v>0</v>
      </c>
      <c r="AC72" s="28">
        <v>20000</v>
      </c>
      <c r="AD72" s="28">
        <v>0</v>
      </c>
      <c r="AE72" s="28">
        <v>18500</v>
      </c>
      <c r="AF72" s="28">
        <v>0</v>
      </c>
      <c r="AG72" s="28">
        <v>0</v>
      </c>
      <c r="AH72" s="28">
        <v>30000</v>
      </c>
      <c r="AI72" s="28">
        <v>0</v>
      </c>
      <c r="AJ72" s="28">
        <v>0</v>
      </c>
      <c r="AK72" s="28">
        <v>0</v>
      </c>
      <c r="AL72" s="28">
        <v>0</v>
      </c>
      <c r="AM72" s="30">
        <v>0</v>
      </c>
      <c r="AN72" s="30">
        <v>0</v>
      </c>
      <c r="AO72" s="30">
        <v>0</v>
      </c>
      <c r="AP72" s="30">
        <v>1200</v>
      </c>
      <c r="AQ72" s="30">
        <v>2000</v>
      </c>
      <c r="AR72" s="30">
        <v>0</v>
      </c>
      <c r="AS72" s="30">
        <v>0</v>
      </c>
      <c r="AT72" s="30">
        <v>0</v>
      </c>
      <c r="AU72" s="30">
        <v>35</v>
      </c>
      <c r="AX72" s="2">
        <f t="shared" si="271"/>
        <v>74800</v>
      </c>
      <c r="AY72" s="32">
        <f t="shared" si="185"/>
        <v>70400</v>
      </c>
      <c r="AZ72" s="186">
        <f t="shared" si="186"/>
        <v>0.43041608946933585</v>
      </c>
      <c r="BA72" s="186">
        <f t="shared" si="187"/>
        <v>0.08214614971485576</v>
      </c>
      <c r="BB72" s="186">
        <f t="shared" si="188"/>
        <v>0.3013649779476315</v>
      </c>
      <c r="BC72" s="53">
        <f t="shared" si="272"/>
        <v>80000</v>
      </c>
      <c r="BD72" s="53">
        <f t="shared" si="189"/>
        <v>37228.50404907109</v>
      </c>
      <c r="BE72" s="53">
        <f t="shared" si="190"/>
        <v>7105.167167532156</v>
      </c>
      <c r="BF72" s="53">
        <f t="shared" si="191"/>
        <v>26066.328783396748</v>
      </c>
      <c r="BG72" s="53"/>
      <c r="BH72" s="53">
        <f t="shared" si="273"/>
        <v>4</v>
      </c>
      <c r="BI72" s="53">
        <f t="shared" si="274"/>
        <v>4</v>
      </c>
      <c r="BJ72" s="53">
        <f t="shared" si="275"/>
        <v>3</v>
      </c>
      <c r="BK72" s="53">
        <f t="shared" si="276"/>
        <v>3</v>
      </c>
      <c r="BL72" s="53"/>
      <c r="BM72" s="53">
        <f t="shared" si="277"/>
        <v>2</v>
      </c>
      <c r="BN72" s="53">
        <f t="shared" si="278"/>
        <v>2</v>
      </c>
      <c r="BO72" s="53">
        <f t="shared" si="279"/>
        <v>2</v>
      </c>
      <c r="BP72" s="53">
        <f t="shared" si="280"/>
        <v>0</v>
      </c>
      <c r="BQ72" s="53"/>
      <c r="BR72" s="53">
        <f t="shared" si="281"/>
        <v>6.5</v>
      </c>
      <c r="BS72" s="53">
        <f t="shared" si="282"/>
        <v>34.2</v>
      </c>
      <c r="BT72" s="53">
        <f t="shared" si="283"/>
        <v>11</v>
      </c>
      <c r="BU72" s="53">
        <f t="shared" si="192"/>
        <v>24816</v>
      </c>
      <c r="BV72" s="53"/>
      <c r="BW72" s="53">
        <f t="shared" si="284"/>
        <v>15600</v>
      </c>
      <c r="BX72" s="53">
        <f t="shared" si="285"/>
        <v>-21036</v>
      </c>
      <c r="BY72" s="53">
        <f t="shared" si="193"/>
        <v>-18814.91095745311</v>
      </c>
      <c r="BZ72" s="240">
        <f t="shared" si="286"/>
        <v>5.791300000000001</v>
      </c>
      <c r="CC72" s="1">
        <f t="shared" si="194"/>
        <v>0</v>
      </c>
      <c r="CD72" s="195">
        <f t="shared" si="195"/>
        <v>5746.4</v>
      </c>
      <c r="CE72" s="195">
        <f t="shared" si="196"/>
        <v>5746.4</v>
      </c>
      <c r="CF72" s="239">
        <f t="shared" si="197"/>
        <v>2.9</v>
      </c>
      <c r="CG72" s="239">
        <f t="shared" si="197"/>
        <v>19.92</v>
      </c>
      <c r="CH72" s="1">
        <f t="shared" si="287"/>
        <v>9561.6</v>
      </c>
      <c r="CK72" s="211">
        <f t="shared" si="198"/>
        <v>0</v>
      </c>
      <c r="CL72" s="211">
        <f t="shared" si="199"/>
        <v>0</v>
      </c>
      <c r="CM72" s="211">
        <f t="shared" si="200"/>
        <v>0</v>
      </c>
      <c r="CQ72" s="1">
        <f t="shared" si="288"/>
        <v>1</v>
      </c>
      <c r="CR72" s="195">
        <f t="shared" si="201"/>
        <v>10000</v>
      </c>
      <c r="CS72" s="195"/>
      <c r="CT72" s="195"/>
      <c r="CV72" s="199">
        <f t="shared" si="202"/>
        <v>43.18074994986966</v>
      </c>
      <c r="CW72" s="199">
        <f t="shared" si="203"/>
        <v>9.009023460998595</v>
      </c>
      <c r="CX72" s="199">
        <f t="shared" si="204"/>
        <v>0</v>
      </c>
      <c r="CY72" s="199">
        <f t="shared" si="205"/>
        <v>0</v>
      </c>
      <c r="CZ72" s="199">
        <f t="shared" si="206"/>
        <v>0</v>
      </c>
      <c r="DA72" s="199">
        <f t="shared" si="207"/>
        <v>0</v>
      </c>
      <c r="DB72" s="199">
        <f t="shared" si="208"/>
        <v>0</v>
      </c>
      <c r="DC72" s="199">
        <f t="shared" si="209"/>
        <v>0</v>
      </c>
      <c r="DD72" s="199">
        <f t="shared" si="210"/>
        <v>0</v>
      </c>
      <c r="DE72" s="199">
        <f t="shared" si="211"/>
        <v>0</v>
      </c>
      <c r="DF72" s="199">
        <f t="shared" si="212"/>
        <v>0</v>
      </c>
      <c r="DG72" s="199">
        <f t="shared" si="213"/>
        <v>0</v>
      </c>
      <c r="DH72" s="199">
        <f t="shared" si="214"/>
        <v>26.526569079606976</v>
      </c>
      <c r="DI72" s="199">
        <f t="shared" si="215"/>
        <v>0</v>
      </c>
      <c r="DJ72" s="199">
        <f t="shared" si="216"/>
        <v>2.5277818327651893</v>
      </c>
      <c r="DK72" s="199">
        <f t="shared" si="217"/>
        <v>0</v>
      </c>
      <c r="DL72" s="199">
        <f t="shared" si="218"/>
        <v>0</v>
      </c>
      <c r="DM72" s="199">
        <f t="shared" si="219"/>
        <v>4.0991056747543615</v>
      </c>
      <c r="DN72" s="199">
        <f t="shared" si="220"/>
        <v>0</v>
      </c>
      <c r="DO72" s="199">
        <f t="shared" si="221"/>
        <v>0</v>
      </c>
      <c r="DP72" s="199">
        <f t="shared" si="222"/>
        <v>0</v>
      </c>
      <c r="DQ72" s="199">
        <f t="shared" si="223"/>
        <v>0</v>
      </c>
      <c r="DR72" s="199">
        <f t="shared" si="224"/>
        <v>0</v>
      </c>
      <c r="DS72" s="199">
        <f t="shared" si="225"/>
        <v>0</v>
      </c>
      <c r="DT72" s="199">
        <f t="shared" si="226"/>
        <v>0</v>
      </c>
      <c r="DU72" s="199">
        <f t="shared" si="227"/>
        <v>0.0003503509123721676</v>
      </c>
      <c r="DV72" s="199">
        <f t="shared" si="228"/>
        <v>0.000583918187286946</v>
      </c>
      <c r="DW72" s="199">
        <f t="shared" si="229"/>
        <v>0</v>
      </c>
      <c r="DX72" s="199">
        <f t="shared" si="230"/>
        <v>0</v>
      </c>
      <c r="DY72" s="199">
        <f t="shared" si="231"/>
        <v>0</v>
      </c>
      <c r="DZ72" s="199">
        <f t="shared" si="232"/>
        <v>0.002265602566673351</v>
      </c>
      <c r="EA72" s="199">
        <f t="shared" si="233"/>
        <v>40.87293843994385</v>
      </c>
      <c r="EB72" s="199">
        <f t="shared" si="234"/>
        <v>4.717258151193102</v>
      </c>
      <c r="EC72" s="202">
        <f t="shared" si="184"/>
        <v>130.93662646079804</v>
      </c>
      <c r="ED72" s="202">
        <f>SUM(CV72:DI72,DS72:DT72,DW72,DY72,EA72:EB72)</f>
        <v>124.30653908161219</v>
      </c>
      <c r="EE72" s="203">
        <f t="shared" si="235"/>
        <v>20.576819394461882</v>
      </c>
      <c r="EF72" s="199"/>
      <c r="EI72" s="1">
        <f t="shared" si="236"/>
        <v>0.5699766927982697</v>
      </c>
      <c r="EJ72" s="1">
        <f t="shared" si="237"/>
        <v>0.010606863429336002</v>
      </c>
      <c r="EK72" s="1">
        <f t="shared" si="238"/>
        <v>0</v>
      </c>
      <c r="EL72" s="1">
        <f t="shared" si="239"/>
        <v>0</v>
      </c>
      <c r="EM72" s="1">
        <f t="shared" si="240"/>
        <v>0</v>
      </c>
      <c r="EN72" s="1">
        <f t="shared" si="241"/>
        <v>0</v>
      </c>
      <c r="EO72" s="1">
        <f t="shared" si="242"/>
        <v>0</v>
      </c>
      <c r="EP72" s="1">
        <f t="shared" si="243"/>
        <v>0</v>
      </c>
      <c r="EQ72" s="1">
        <f t="shared" si="244"/>
        <v>0</v>
      </c>
      <c r="ER72" s="1">
        <f t="shared" si="245"/>
        <v>0</v>
      </c>
      <c r="ES72" s="1">
        <f t="shared" si="246"/>
        <v>0</v>
      </c>
      <c r="ET72" s="1">
        <f t="shared" si="247"/>
        <v>0</v>
      </c>
      <c r="EU72" s="1">
        <f t="shared" si="248"/>
        <v>0.14589546715944002</v>
      </c>
      <c r="EV72" s="1">
        <f t="shared" si="249"/>
        <v>0</v>
      </c>
      <c r="EW72" s="1">
        <f t="shared" si="250"/>
        <v>0.059350736407200004</v>
      </c>
      <c r="EX72" s="1">
        <f t="shared" si="251"/>
        <v>0</v>
      </c>
      <c r="EY72" s="1">
        <f t="shared" si="252"/>
        <v>0</v>
      </c>
      <c r="EZ72" s="1">
        <f t="shared" si="253"/>
        <v>0.059350736407200004</v>
      </c>
      <c r="FA72" s="1">
        <f t="shared" si="254"/>
        <v>0</v>
      </c>
      <c r="FB72" s="1">
        <f t="shared" si="255"/>
        <v>0</v>
      </c>
      <c r="FC72" s="1">
        <f t="shared" si="256"/>
        <v>0</v>
      </c>
      <c r="FD72" s="1">
        <f t="shared" si="257"/>
        <v>0</v>
      </c>
      <c r="FE72" s="1">
        <f t="shared" si="258"/>
        <v>0</v>
      </c>
      <c r="FF72" s="1">
        <f t="shared" si="259"/>
        <v>0</v>
      </c>
      <c r="FG72" s="1">
        <f t="shared" si="260"/>
        <v>0</v>
      </c>
      <c r="FH72" s="1">
        <f t="shared" si="261"/>
        <v>0</v>
      </c>
      <c r="FI72" s="1">
        <f t="shared" si="262"/>
        <v>0</v>
      </c>
      <c r="FJ72" s="1">
        <f t="shared" si="263"/>
        <v>0</v>
      </c>
      <c r="FK72" s="1">
        <f t="shared" si="264"/>
        <v>0</v>
      </c>
      <c r="FL72" s="1">
        <f t="shared" si="265"/>
        <v>0</v>
      </c>
      <c r="FM72" s="1">
        <f t="shared" si="266"/>
        <v>0.0034234991863440005</v>
      </c>
      <c r="FN72" s="1">
        <f t="shared" si="267"/>
        <v>7.46760736344</v>
      </c>
      <c r="FO72" s="1">
        <f>IF(O72=0,0,SUM(EI72:FN72))</f>
        <v>8.31621135882779</v>
      </c>
    </row>
    <row r="73" spans="1:171" ht="12.75">
      <c r="A73" s="24">
        <v>55</v>
      </c>
      <c r="B73" s="25" t="s">
        <v>214</v>
      </c>
      <c r="C73" s="25" t="s">
        <v>215</v>
      </c>
      <c r="D73" s="26" t="s">
        <v>216</v>
      </c>
      <c r="E73" s="26">
        <v>3</v>
      </c>
      <c r="F73" s="26" t="s">
        <v>211</v>
      </c>
      <c r="G73" s="26" t="s">
        <v>74</v>
      </c>
      <c r="H73" s="26" t="s">
        <v>75</v>
      </c>
      <c r="I73" s="26">
        <v>3</v>
      </c>
      <c r="J73" s="26"/>
      <c r="K73" s="26">
        <f t="shared" si="268"/>
        <v>0</v>
      </c>
      <c r="L73" s="26">
        <f t="shared" si="269"/>
        <v>0</v>
      </c>
      <c r="M73" s="24">
        <v>300700</v>
      </c>
      <c r="N73" s="24">
        <v>931800</v>
      </c>
      <c r="O73" s="27">
        <f t="shared" si="270"/>
        <v>13500</v>
      </c>
      <c r="P73" s="28">
        <v>0</v>
      </c>
      <c r="Q73" s="28">
        <v>0</v>
      </c>
      <c r="R73" s="28">
        <v>15000</v>
      </c>
      <c r="S73" s="29">
        <v>0</v>
      </c>
      <c r="T73" s="29">
        <v>0</v>
      </c>
      <c r="U73" s="29">
        <v>0</v>
      </c>
      <c r="V73" s="29">
        <v>0</v>
      </c>
      <c r="W73" s="28">
        <v>0</v>
      </c>
      <c r="X73" s="29">
        <v>0</v>
      </c>
      <c r="Y73" s="29">
        <v>0</v>
      </c>
      <c r="Z73" s="28">
        <v>0</v>
      </c>
      <c r="AA73" s="29">
        <v>0</v>
      </c>
      <c r="AB73" s="28">
        <v>0</v>
      </c>
      <c r="AC73" s="28">
        <v>0</v>
      </c>
      <c r="AD73" s="28">
        <v>0</v>
      </c>
      <c r="AE73" s="28">
        <v>0</v>
      </c>
      <c r="AF73" s="28">
        <v>0</v>
      </c>
      <c r="AG73" s="28">
        <v>0</v>
      </c>
      <c r="AH73" s="28">
        <v>0</v>
      </c>
      <c r="AI73" s="28">
        <v>0</v>
      </c>
      <c r="AJ73" s="28">
        <v>0</v>
      </c>
      <c r="AK73" s="28">
        <v>0</v>
      </c>
      <c r="AL73" s="28">
        <v>0</v>
      </c>
      <c r="AM73" s="30">
        <v>0</v>
      </c>
      <c r="AN73" s="31">
        <v>0</v>
      </c>
      <c r="AO73" s="30">
        <v>0</v>
      </c>
      <c r="AP73" s="31">
        <v>0</v>
      </c>
      <c r="AQ73" s="31">
        <v>0</v>
      </c>
      <c r="AR73" s="31">
        <v>0</v>
      </c>
      <c r="AS73" s="31">
        <v>0</v>
      </c>
      <c r="AT73" s="31">
        <v>0</v>
      </c>
      <c r="AU73" s="30">
        <v>0</v>
      </c>
      <c r="AX73" s="2">
        <f t="shared" si="271"/>
        <v>13200</v>
      </c>
      <c r="AY73" s="32">
        <f t="shared" si="185"/>
        <v>11880</v>
      </c>
      <c r="AZ73" s="186">
        <f t="shared" si="186"/>
        <v>0.43041608946933585</v>
      </c>
      <c r="BA73" s="186">
        <f t="shared" si="187"/>
        <v>0.08214614971485576</v>
      </c>
      <c r="BB73" s="186">
        <f t="shared" si="188"/>
        <v>0.3013649779476315</v>
      </c>
      <c r="BC73" s="53">
        <f t="shared" si="272"/>
        <v>0</v>
      </c>
      <c r="BD73" s="53">
        <f t="shared" si="189"/>
        <v>6282.310058280747</v>
      </c>
      <c r="BE73" s="53">
        <f t="shared" si="190"/>
        <v>1198.9969595210512</v>
      </c>
      <c r="BF73" s="53">
        <f t="shared" si="191"/>
        <v>4398.692982198201</v>
      </c>
      <c r="BG73" s="53"/>
      <c r="BH73" s="53">
        <f t="shared" si="273"/>
        <v>0</v>
      </c>
      <c r="BI73" s="53">
        <f t="shared" si="274"/>
        <v>3</v>
      </c>
      <c r="BJ73" s="53">
        <f t="shared" si="275"/>
        <v>3</v>
      </c>
      <c r="BK73" s="53">
        <f t="shared" si="276"/>
        <v>2</v>
      </c>
      <c r="BL73" s="53"/>
      <c r="BM73" s="53">
        <f t="shared" si="277"/>
        <v>0</v>
      </c>
      <c r="BN73" s="53">
        <f t="shared" si="278"/>
        <v>2</v>
      </c>
      <c r="BO73" s="53">
        <f t="shared" si="279"/>
        <v>2</v>
      </c>
      <c r="BP73" s="53">
        <f t="shared" si="280"/>
        <v>0</v>
      </c>
      <c r="BQ73" s="53"/>
      <c r="BR73" s="53">
        <f t="shared" si="281"/>
        <v>0</v>
      </c>
      <c r="BS73" s="53">
        <f t="shared" si="282"/>
        <v>34.2</v>
      </c>
      <c r="BT73" s="53">
        <f t="shared" si="283"/>
        <v>11</v>
      </c>
      <c r="BU73" s="53">
        <f t="shared" si="192"/>
        <v>21696</v>
      </c>
      <c r="BV73" s="53"/>
      <c r="BW73" s="53">
        <f t="shared" si="284"/>
        <v>10400</v>
      </c>
      <c r="BX73" s="53">
        <f t="shared" si="285"/>
        <v>-19176</v>
      </c>
      <c r="BY73" s="53">
        <f t="shared" si="193"/>
        <v>-17695.273971635408</v>
      </c>
      <c r="BZ73" s="240">
        <f t="shared" si="286"/>
        <v>5.2128000000000005</v>
      </c>
      <c r="CC73" s="1">
        <f t="shared" si="194"/>
        <v>0</v>
      </c>
      <c r="CD73" s="195">
        <f t="shared" si="195"/>
        <v>2873.2</v>
      </c>
      <c r="CE73" s="195">
        <f t="shared" si="196"/>
        <v>2873.2</v>
      </c>
      <c r="CF73" s="239">
        <f t="shared" si="197"/>
        <v>1.45</v>
      </c>
      <c r="CG73" s="239">
        <f t="shared" si="197"/>
        <v>9.96</v>
      </c>
      <c r="CH73" s="1">
        <f t="shared" si="287"/>
        <v>4780.8</v>
      </c>
      <c r="CK73" s="211">
        <f t="shared" si="198"/>
        <v>0</v>
      </c>
      <c r="CL73" s="211">
        <f t="shared" si="199"/>
        <v>0</v>
      </c>
      <c r="CM73" s="211">
        <f t="shared" si="200"/>
        <v>0</v>
      </c>
      <c r="CQ73" s="1">
        <f t="shared" si="288"/>
        <v>0</v>
      </c>
      <c r="CR73" s="195">
        <f t="shared" si="201"/>
        <v>0</v>
      </c>
      <c r="CS73" s="195"/>
      <c r="CT73" s="195"/>
      <c r="CV73" s="199">
        <f t="shared" si="202"/>
        <v>0</v>
      </c>
      <c r="CW73" s="199">
        <f t="shared" si="203"/>
        <v>4.504511730499297</v>
      </c>
      <c r="CX73" s="199">
        <f t="shared" si="204"/>
        <v>0</v>
      </c>
      <c r="CY73" s="199">
        <f t="shared" si="205"/>
        <v>0</v>
      </c>
      <c r="CZ73" s="199">
        <f t="shared" si="206"/>
        <v>0</v>
      </c>
      <c r="DA73" s="199">
        <f t="shared" si="207"/>
        <v>0</v>
      </c>
      <c r="DB73" s="199">
        <f t="shared" si="208"/>
        <v>0</v>
      </c>
      <c r="DC73" s="199">
        <f t="shared" si="209"/>
        <v>0</v>
      </c>
      <c r="DD73" s="199">
        <f t="shared" si="210"/>
        <v>0</v>
      </c>
      <c r="DE73" s="199">
        <f t="shared" si="211"/>
        <v>0</v>
      </c>
      <c r="DF73" s="199">
        <f t="shared" si="212"/>
        <v>0</v>
      </c>
      <c r="DG73" s="199">
        <f t="shared" si="213"/>
        <v>0</v>
      </c>
      <c r="DH73" s="199">
        <f t="shared" si="214"/>
        <v>0</v>
      </c>
      <c r="DI73" s="199">
        <f t="shared" si="215"/>
        <v>0</v>
      </c>
      <c r="DJ73" s="199">
        <f t="shared" si="216"/>
        <v>0</v>
      </c>
      <c r="DK73" s="199">
        <f t="shared" si="217"/>
        <v>0</v>
      </c>
      <c r="DL73" s="199">
        <f t="shared" si="218"/>
        <v>0</v>
      </c>
      <c r="DM73" s="199">
        <f t="shared" si="219"/>
        <v>0</v>
      </c>
      <c r="DN73" s="199">
        <f t="shared" si="220"/>
        <v>0</v>
      </c>
      <c r="DO73" s="199">
        <f t="shared" si="221"/>
        <v>0</v>
      </c>
      <c r="DP73" s="199">
        <f t="shared" si="222"/>
        <v>0</v>
      </c>
      <c r="DQ73" s="199">
        <f t="shared" si="223"/>
        <v>0</v>
      </c>
      <c r="DR73" s="199">
        <f t="shared" si="224"/>
        <v>0</v>
      </c>
      <c r="DS73" s="199">
        <f t="shared" si="225"/>
        <v>0</v>
      </c>
      <c r="DT73" s="199">
        <f t="shared" si="226"/>
        <v>0</v>
      </c>
      <c r="DU73" s="199">
        <f t="shared" si="227"/>
        <v>0</v>
      </c>
      <c r="DV73" s="199">
        <f t="shared" si="228"/>
        <v>0</v>
      </c>
      <c r="DW73" s="199">
        <f t="shared" si="229"/>
        <v>0</v>
      </c>
      <c r="DX73" s="199">
        <f t="shared" si="230"/>
        <v>0</v>
      </c>
      <c r="DY73" s="199">
        <f t="shared" si="231"/>
        <v>0</v>
      </c>
      <c r="DZ73" s="199">
        <f t="shared" si="232"/>
        <v>0</v>
      </c>
      <c r="EA73" s="199">
        <f t="shared" si="233"/>
        <v>6.897308361740525</v>
      </c>
      <c r="EB73" s="199">
        <f t="shared" si="234"/>
        <v>0.796037313013836</v>
      </c>
      <c r="EC73" s="202">
        <f t="shared" si="184"/>
        <v>12.197857405253659</v>
      </c>
      <c r="ED73" s="202">
        <f>SUM(CV73:DI73,DS73:DT73,DW73,DY73,EA73:EB73)</f>
        <v>12.197857405253659</v>
      </c>
      <c r="EE73" s="203">
        <f t="shared" si="235"/>
        <v>2.019146463908202</v>
      </c>
      <c r="EF73" s="199"/>
      <c r="EI73" s="1">
        <f t="shared" si="236"/>
        <v>0</v>
      </c>
      <c r="EJ73" s="1">
        <f t="shared" si="237"/>
        <v>0.002442336444552</v>
      </c>
      <c r="EK73" s="1">
        <f t="shared" si="238"/>
        <v>0</v>
      </c>
      <c r="EL73" s="1">
        <f t="shared" si="239"/>
        <v>0</v>
      </c>
      <c r="EM73" s="1">
        <f t="shared" si="240"/>
        <v>0</v>
      </c>
      <c r="EN73" s="1">
        <f t="shared" si="241"/>
        <v>0</v>
      </c>
      <c r="EO73" s="1">
        <f t="shared" si="242"/>
        <v>0</v>
      </c>
      <c r="EP73" s="1">
        <f t="shared" si="243"/>
        <v>0</v>
      </c>
      <c r="EQ73" s="1">
        <f t="shared" si="244"/>
        <v>0</v>
      </c>
      <c r="ER73" s="1">
        <f t="shared" si="245"/>
        <v>0</v>
      </c>
      <c r="ES73" s="1">
        <f t="shared" si="246"/>
        <v>0</v>
      </c>
      <c r="ET73" s="1">
        <f t="shared" si="247"/>
        <v>0</v>
      </c>
      <c r="EU73" s="1">
        <f t="shared" si="248"/>
        <v>0</v>
      </c>
      <c r="EV73" s="1">
        <f t="shared" si="249"/>
        <v>0</v>
      </c>
      <c r="EW73" s="1">
        <f t="shared" si="250"/>
        <v>0</v>
      </c>
      <c r="EX73" s="1">
        <f t="shared" si="251"/>
        <v>0</v>
      </c>
      <c r="EY73" s="1">
        <f t="shared" si="252"/>
        <v>0</v>
      </c>
      <c r="EZ73" s="1">
        <f t="shared" si="253"/>
        <v>0</v>
      </c>
      <c r="FA73" s="1">
        <f t="shared" si="254"/>
        <v>0</v>
      </c>
      <c r="FB73" s="1">
        <f t="shared" si="255"/>
        <v>0</v>
      </c>
      <c r="FC73" s="1">
        <f t="shared" si="256"/>
        <v>0</v>
      </c>
      <c r="FD73" s="1">
        <f t="shared" si="257"/>
        <v>0</v>
      </c>
      <c r="FE73" s="1">
        <f t="shared" si="258"/>
        <v>0</v>
      </c>
      <c r="FF73" s="1">
        <f t="shared" si="259"/>
        <v>0</v>
      </c>
      <c r="FG73" s="1">
        <f t="shared" si="260"/>
        <v>0</v>
      </c>
      <c r="FH73" s="1">
        <f t="shared" si="261"/>
        <v>0</v>
      </c>
      <c r="FI73" s="1">
        <f t="shared" si="262"/>
        <v>0</v>
      </c>
      <c r="FJ73" s="1">
        <f t="shared" si="263"/>
        <v>0</v>
      </c>
      <c r="FK73" s="1">
        <f t="shared" si="264"/>
        <v>0</v>
      </c>
      <c r="FL73" s="1">
        <f t="shared" si="265"/>
        <v>0</v>
      </c>
      <c r="FM73" s="1">
        <f t="shared" si="266"/>
        <v>0</v>
      </c>
      <c r="FN73" s="1">
        <f t="shared" si="267"/>
        <v>4.472293968912</v>
      </c>
      <c r="FO73" s="1">
        <f>IF(O73=0,0,SUM(EI73:FN73))</f>
        <v>4.474736305356552</v>
      </c>
    </row>
    <row r="74" spans="1:171" ht="12.75">
      <c r="A74" s="24">
        <v>56</v>
      </c>
      <c r="B74" s="25" t="s">
        <v>217</v>
      </c>
      <c r="C74" s="25" t="s">
        <v>215</v>
      </c>
      <c r="D74" s="26" t="s">
        <v>216</v>
      </c>
      <c r="E74" s="26">
        <v>3</v>
      </c>
      <c r="F74" s="26" t="s">
        <v>211</v>
      </c>
      <c r="G74" s="26" t="s">
        <v>74</v>
      </c>
      <c r="H74" s="26" t="s">
        <v>75</v>
      </c>
      <c r="I74" s="26">
        <v>3</v>
      </c>
      <c r="J74" s="26"/>
      <c r="K74" s="26">
        <f t="shared" si="268"/>
        <v>0</v>
      </c>
      <c r="L74" s="26">
        <f t="shared" si="269"/>
        <v>0</v>
      </c>
      <c r="M74" s="24">
        <v>300705</v>
      </c>
      <c r="N74" s="24">
        <v>931842</v>
      </c>
      <c r="O74" s="27">
        <f t="shared" si="270"/>
        <v>30000</v>
      </c>
      <c r="P74" s="28">
        <v>30000</v>
      </c>
      <c r="Q74" s="28">
        <v>32000</v>
      </c>
      <c r="R74" s="28">
        <v>0</v>
      </c>
      <c r="S74" s="29">
        <v>0</v>
      </c>
      <c r="T74" s="29">
        <v>0</v>
      </c>
      <c r="U74" s="29">
        <v>0</v>
      </c>
      <c r="V74" s="29">
        <v>0</v>
      </c>
      <c r="W74" s="28">
        <v>0</v>
      </c>
      <c r="X74" s="29">
        <v>0</v>
      </c>
      <c r="Y74" s="29">
        <v>0</v>
      </c>
      <c r="Z74" s="28">
        <v>0</v>
      </c>
      <c r="AA74" s="29">
        <v>0</v>
      </c>
      <c r="AB74" s="28">
        <v>0</v>
      </c>
      <c r="AC74" s="28">
        <v>0</v>
      </c>
      <c r="AD74" s="28">
        <v>0</v>
      </c>
      <c r="AE74" s="28">
        <v>0</v>
      </c>
      <c r="AF74" s="28">
        <v>0</v>
      </c>
      <c r="AG74" s="28">
        <v>0</v>
      </c>
      <c r="AH74" s="28">
        <v>0</v>
      </c>
      <c r="AI74" s="28">
        <v>0</v>
      </c>
      <c r="AJ74" s="28">
        <v>0</v>
      </c>
      <c r="AK74" s="28">
        <v>0</v>
      </c>
      <c r="AL74" s="28">
        <v>0</v>
      </c>
      <c r="AM74" s="30">
        <v>0</v>
      </c>
      <c r="AN74" s="31">
        <v>0</v>
      </c>
      <c r="AO74" s="30">
        <v>0</v>
      </c>
      <c r="AP74" s="31">
        <v>3400</v>
      </c>
      <c r="AQ74" s="31">
        <v>0</v>
      </c>
      <c r="AR74" s="31">
        <v>0</v>
      </c>
      <c r="AS74" s="31">
        <v>0</v>
      </c>
      <c r="AT74" s="31">
        <v>0</v>
      </c>
      <c r="AU74" s="30">
        <v>0</v>
      </c>
      <c r="AX74" s="2">
        <f t="shared" si="271"/>
        <v>28160</v>
      </c>
      <c r="AY74" s="32">
        <f t="shared" si="185"/>
        <v>26400</v>
      </c>
      <c r="AZ74" s="186">
        <f t="shared" si="186"/>
        <v>0.43041608946933585</v>
      </c>
      <c r="BA74" s="186">
        <f t="shared" si="187"/>
        <v>0.08214614971485576</v>
      </c>
      <c r="BB74" s="186">
        <f t="shared" si="188"/>
        <v>0.3013649779476315</v>
      </c>
      <c r="BC74" s="53">
        <f t="shared" si="272"/>
        <v>30000</v>
      </c>
      <c r="BD74" s="53">
        <f t="shared" si="189"/>
        <v>13960.68901840166</v>
      </c>
      <c r="BE74" s="53">
        <f t="shared" si="190"/>
        <v>2664.437687824558</v>
      </c>
      <c r="BF74" s="53">
        <f t="shared" si="191"/>
        <v>9774.873293773782</v>
      </c>
      <c r="BG74" s="53"/>
      <c r="BH74" s="53">
        <f t="shared" si="273"/>
        <v>2</v>
      </c>
      <c r="BI74" s="53">
        <f t="shared" si="274"/>
        <v>3</v>
      </c>
      <c r="BJ74" s="53">
        <f t="shared" si="275"/>
        <v>3</v>
      </c>
      <c r="BK74" s="53">
        <f t="shared" si="276"/>
        <v>2</v>
      </c>
      <c r="BL74" s="53"/>
      <c r="BM74" s="53">
        <f t="shared" si="277"/>
        <v>1</v>
      </c>
      <c r="BN74" s="53">
        <f t="shared" si="278"/>
        <v>2</v>
      </c>
      <c r="BO74" s="53">
        <f t="shared" si="279"/>
        <v>2</v>
      </c>
      <c r="BP74" s="53">
        <f t="shared" si="280"/>
        <v>0</v>
      </c>
      <c r="BQ74" s="53"/>
      <c r="BR74" s="53">
        <f t="shared" si="281"/>
        <v>3.25</v>
      </c>
      <c r="BS74" s="53">
        <f t="shared" si="282"/>
        <v>34.2</v>
      </c>
      <c r="BT74" s="53">
        <f t="shared" si="283"/>
        <v>11</v>
      </c>
      <c r="BU74" s="53">
        <f t="shared" si="192"/>
        <v>23256</v>
      </c>
      <c r="BV74" s="53"/>
      <c r="BW74" s="53">
        <f t="shared" si="284"/>
        <v>13000</v>
      </c>
      <c r="BX74" s="53">
        <f t="shared" si="285"/>
        <v>-20106</v>
      </c>
      <c r="BY74" s="53">
        <f t="shared" si="193"/>
        <v>-18255.092464544257</v>
      </c>
      <c r="BZ74" s="240">
        <f t="shared" si="286"/>
        <v>5.5020500000000006</v>
      </c>
      <c r="CC74" s="1">
        <f t="shared" si="194"/>
        <v>0</v>
      </c>
      <c r="CD74" s="195">
        <f t="shared" si="195"/>
        <v>2873.2</v>
      </c>
      <c r="CE74" s="195">
        <f t="shared" si="196"/>
        <v>2873.2</v>
      </c>
      <c r="CF74" s="239">
        <f t="shared" si="197"/>
        <v>1.45</v>
      </c>
      <c r="CG74" s="239">
        <f t="shared" si="197"/>
        <v>9.96</v>
      </c>
      <c r="CH74" s="1">
        <f t="shared" si="287"/>
        <v>4780.8</v>
      </c>
      <c r="CK74" s="211">
        <f t="shared" si="198"/>
        <v>0</v>
      </c>
      <c r="CL74" s="211">
        <f t="shared" si="199"/>
        <v>0</v>
      </c>
      <c r="CM74" s="211">
        <f t="shared" si="200"/>
        <v>0</v>
      </c>
      <c r="CQ74" s="1">
        <f t="shared" si="288"/>
        <v>0</v>
      </c>
      <c r="CR74" s="195">
        <f t="shared" si="201"/>
        <v>0</v>
      </c>
      <c r="CS74" s="195"/>
      <c r="CT74" s="195"/>
      <c r="CV74" s="199">
        <f t="shared" si="202"/>
        <v>16.256282334068576</v>
      </c>
      <c r="CW74" s="199">
        <f t="shared" si="203"/>
        <v>0</v>
      </c>
      <c r="CX74" s="199">
        <f t="shared" si="204"/>
        <v>0</v>
      </c>
      <c r="CY74" s="199">
        <f t="shared" si="205"/>
        <v>0</v>
      </c>
      <c r="CZ74" s="199">
        <f t="shared" si="206"/>
        <v>0</v>
      </c>
      <c r="DA74" s="199">
        <f t="shared" si="207"/>
        <v>0</v>
      </c>
      <c r="DB74" s="199">
        <f t="shared" si="208"/>
        <v>0</v>
      </c>
      <c r="DC74" s="199">
        <f t="shared" si="209"/>
        <v>0</v>
      </c>
      <c r="DD74" s="199">
        <f t="shared" si="210"/>
        <v>0</v>
      </c>
      <c r="DE74" s="199">
        <f t="shared" si="211"/>
        <v>0</v>
      </c>
      <c r="DF74" s="199">
        <f t="shared" si="212"/>
        <v>0</v>
      </c>
      <c r="DG74" s="199">
        <f t="shared" si="213"/>
        <v>0</v>
      </c>
      <c r="DH74" s="199">
        <f t="shared" si="214"/>
        <v>0</v>
      </c>
      <c r="DI74" s="199">
        <f t="shared" si="215"/>
        <v>0</v>
      </c>
      <c r="DJ74" s="199">
        <f t="shared" si="216"/>
        <v>0</v>
      </c>
      <c r="DK74" s="199">
        <f t="shared" si="217"/>
        <v>0</v>
      </c>
      <c r="DL74" s="199">
        <f t="shared" si="218"/>
        <v>0</v>
      </c>
      <c r="DM74" s="199">
        <f t="shared" si="219"/>
        <v>0</v>
      </c>
      <c r="DN74" s="199">
        <f t="shared" si="220"/>
        <v>0</v>
      </c>
      <c r="DO74" s="199">
        <f t="shared" si="221"/>
        <v>0</v>
      </c>
      <c r="DP74" s="199">
        <f t="shared" si="222"/>
        <v>0</v>
      </c>
      <c r="DQ74" s="199">
        <f t="shared" si="223"/>
        <v>0</v>
      </c>
      <c r="DR74" s="199">
        <f t="shared" si="224"/>
        <v>0</v>
      </c>
      <c r="DS74" s="199">
        <f t="shared" si="225"/>
        <v>0</v>
      </c>
      <c r="DT74" s="199">
        <f t="shared" si="226"/>
        <v>0</v>
      </c>
      <c r="DU74" s="199">
        <f t="shared" si="227"/>
        <v>0.0009926609183878083</v>
      </c>
      <c r="DV74" s="199">
        <f t="shared" si="228"/>
        <v>0</v>
      </c>
      <c r="DW74" s="199">
        <f t="shared" si="229"/>
        <v>0</v>
      </c>
      <c r="DX74" s="199">
        <f t="shared" si="230"/>
        <v>0</v>
      </c>
      <c r="DY74" s="199">
        <f t="shared" si="231"/>
        <v>0</v>
      </c>
      <c r="DZ74" s="199">
        <f t="shared" si="232"/>
        <v>0</v>
      </c>
      <c r="EA74" s="199">
        <f t="shared" si="233"/>
        <v>15.327351914978944</v>
      </c>
      <c r="EB74" s="199">
        <f t="shared" si="234"/>
        <v>1.7689718066974132</v>
      </c>
      <c r="EC74" s="202">
        <f t="shared" si="184"/>
        <v>33.35359871666332</v>
      </c>
      <c r="ED74" s="202">
        <f>SUM(CV74:DI74,DS74:DT74,DW74,DY74,EA74:EB74)</f>
        <v>33.352606055744936</v>
      </c>
      <c r="EE74" s="203">
        <f t="shared" si="235"/>
        <v>5.520952929862541</v>
      </c>
      <c r="EF74" s="199"/>
      <c r="EI74" s="1">
        <f t="shared" si="236"/>
        <v>0.18495710758393283</v>
      </c>
      <c r="EJ74" s="1">
        <f t="shared" si="237"/>
        <v>0</v>
      </c>
      <c r="EK74" s="1">
        <f t="shared" si="238"/>
        <v>0</v>
      </c>
      <c r="EL74" s="1">
        <f t="shared" si="239"/>
        <v>0</v>
      </c>
      <c r="EM74" s="1">
        <f t="shared" si="240"/>
        <v>0</v>
      </c>
      <c r="EN74" s="1">
        <f t="shared" si="241"/>
        <v>0</v>
      </c>
      <c r="EO74" s="1">
        <f t="shared" si="242"/>
        <v>0</v>
      </c>
      <c r="EP74" s="1">
        <f t="shared" si="243"/>
        <v>0</v>
      </c>
      <c r="EQ74" s="1">
        <f t="shared" si="244"/>
        <v>0</v>
      </c>
      <c r="ER74" s="1">
        <f t="shared" si="245"/>
        <v>0</v>
      </c>
      <c r="ES74" s="1">
        <f t="shared" si="246"/>
        <v>0</v>
      </c>
      <c r="ET74" s="1">
        <f t="shared" si="247"/>
        <v>0</v>
      </c>
      <c r="EU74" s="1">
        <f t="shared" si="248"/>
        <v>0</v>
      </c>
      <c r="EV74" s="1">
        <f t="shared" si="249"/>
        <v>0</v>
      </c>
      <c r="EW74" s="1">
        <f t="shared" si="250"/>
        <v>0</v>
      </c>
      <c r="EX74" s="1">
        <f t="shared" si="251"/>
        <v>0</v>
      </c>
      <c r="EY74" s="1">
        <f t="shared" si="252"/>
        <v>0</v>
      </c>
      <c r="EZ74" s="1">
        <f t="shared" si="253"/>
        <v>0</v>
      </c>
      <c r="FA74" s="1">
        <f t="shared" si="254"/>
        <v>0</v>
      </c>
      <c r="FB74" s="1">
        <f t="shared" si="255"/>
        <v>0</v>
      </c>
      <c r="FC74" s="1">
        <f t="shared" si="256"/>
        <v>0</v>
      </c>
      <c r="FD74" s="1">
        <f t="shared" si="257"/>
        <v>0</v>
      </c>
      <c r="FE74" s="1">
        <f t="shared" si="258"/>
        <v>0</v>
      </c>
      <c r="FF74" s="1">
        <f t="shared" si="259"/>
        <v>0</v>
      </c>
      <c r="FG74" s="1">
        <f t="shared" si="260"/>
        <v>0</v>
      </c>
      <c r="FH74" s="1">
        <f t="shared" si="261"/>
        <v>0</v>
      </c>
      <c r="FI74" s="1">
        <f t="shared" si="262"/>
        <v>0</v>
      </c>
      <c r="FJ74" s="1">
        <f t="shared" si="263"/>
        <v>0</v>
      </c>
      <c r="FK74" s="1">
        <f t="shared" si="264"/>
        <v>0</v>
      </c>
      <c r="FL74" s="1">
        <f t="shared" si="265"/>
        <v>0</v>
      </c>
      <c r="FM74" s="1">
        <f t="shared" si="266"/>
        <v>0</v>
      </c>
      <c r="FN74" s="1">
        <f t="shared" si="267"/>
        <v>4.472293968912</v>
      </c>
      <c r="FO74" s="1">
        <f>IF(O74=0,0,SUM(EI74:FN74))</f>
        <v>4.657251076495933</v>
      </c>
    </row>
    <row r="75" spans="1:171" ht="12.75">
      <c r="A75" s="24">
        <v>61</v>
      </c>
      <c r="B75" s="25" t="s">
        <v>218</v>
      </c>
      <c r="C75" s="25" t="s">
        <v>215</v>
      </c>
      <c r="D75" s="26" t="s">
        <v>216</v>
      </c>
      <c r="E75" s="26">
        <v>3</v>
      </c>
      <c r="F75" s="26" t="s">
        <v>211</v>
      </c>
      <c r="G75" s="26" t="s">
        <v>74</v>
      </c>
      <c r="H75" s="26" t="s">
        <v>75</v>
      </c>
      <c r="I75" s="26">
        <v>3</v>
      </c>
      <c r="J75" s="26"/>
      <c r="K75" s="26">
        <f t="shared" si="268"/>
        <v>1</v>
      </c>
      <c r="L75" s="26">
        <f t="shared" si="269"/>
        <v>1</v>
      </c>
      <c r="M75" s="24">
        <v>301105</v>
      </c>
      <c r="N75" s="24">
        <v>931915</v>
      </c>
      <c r="O75" s="27">
        <f t="shared" si="270"/>
        <v>429500</v>
      </c>
      <c r="P75" s="28">
        <v>429500</v>
      </c>
      <c r="Q75" s="28">
        <v>454500</v>
      </c>
      <c r="R75" s="28">
        <v>200000</v>
      </c>
      <c r="S75" s="29">
        <v>104000</v>
      </c>
      <c r="T75" s="29">
        <v>0</v>
      </c>
      <c r="U75" s="29">
        <v>0</v>
      </c>
      <c r="V75" s="29">
        <v>0</v>
      </c>
      <c r="W75" s="28">
        <v>147000</v>
      </c>
      <c r="X75" s="29">
        <v>3000</v>
      </c>
      <c r="Y75" s="29">
        <v>0</v>
      </c>
      <c r="Z75" s="28">
        <v>42000</v>
      </c>
      <c r="AA75" s="29">
        <v>0</v>
      </c>
      <c r="AB75" s="28">
        <v>58000</v>
      </c>
      <c r="AC75" s="28">
        <v>52800</v>
      </c>
      <c r="AD75" s="28">
        <v>0</v>
      </c>
      <c r="AE75" s="28">
        <v>123000</v>
      </c>
      <c r="AF75" s="28">
        <v>77000</v>
      </c>
      <c r="AG75" s="28">
        <v>29000</v>
      </c>
      <c r="AH75" s="28">
        <v>37500</v>
      </c>
      <c r="AI75" s="28">
        <v>0</v>
      </c>
      <c r="AJ75" s="28">
        <v>0</v>
      </c>
      <c r="AK75" s="28">
        <v>0</v>
      </c>
      <c r="AL75" s="28">
        <v>0</v>
      </c>
      <c r="AM75" s="30">
        <v>22000</v>
      </c>
      <c r="AN75" s="31">
        <v>17200</v>
      </c>
      <c r="AO75" s="30">
        <v>0</v>
      </c>
      <c r="AP75" s="31">
        <v>0</v>
      </c>
      <c r="AQ75" s="31">
        <v>28000</v>
      </c>
      <c r="AR75" s="31">
        <v>11000</v>
      </c>
      <c r="AS75" s="31">
        <v>26500</v>
      </c>
      <c r="AT75" s="31">
        <v>0</v>
      </c>
      <c r="AU75" s="30">
        <v>640</v>
      </c>
      <c r="AX75" s="2">
        <f t="shared" si="271"/>
        <v>351824</v>
      </c>
      <c r="AY75" s="32">
        <f t="shared" si="185"/>
        <v>332471.74477447744</v>
      </c>
      <c r="AZ75" s="186">
        <f t="shared" si="186"/>
        <v>0.43041608946933585</v>
      </c>
      <c r="BA75" s="186">
        <f t="shared" si="187"/>
        <v>0.08214614971485576</v>
      </c>
      <c r="BB75" s="186">
        <f t="shared" si="188"/>
        <v>0.3013649779476315</v>
      </c>
      <c r="BC75" s="53">
        <f t="shared" si="272"/>
        <v>429500</v>
      </c>
      <c r="BD75" s="53">
        <f t="shared" si="189"/>
        <v>175815.70591673814</v>
      </c>
      <c r="BE75" s="53">
        <f t="shared" si="190"/>
        <v>33554.93359522369</v>
      </c>
      <c r="BF75" s="53">
        <f t="shared" si="191"/>
        <v>123101.10526251562</v>
      </c>
      <c r="BG75" s="53"/>
      <c r="BH75" s="53">
        <f t="shared" si="273"/>
        <v>16</v>
      </c>
      <c r="BI75" s="53">
        <f t="shared" si="274"/>
        <v>11</v>
      </c>
      <c r="BJ75" s="53">
        <f t="shared" si="275"/>
        <v>6</v>
      </c>
      <c r="BK75" s="53">
        <f t="shared" si="276"/>
        <v>10</v>
      </c>
      <c r="BL75" s="53"/>
      <c r="BM75" s="53">
        <f t="shared" si="277"/>
        <v>7</v>
      </c>
      <c r="BN75" s="53">
        <f t="shared" si="278"/>
        <v>5</v>
      </c>
      <c r="BO75" s="53">
        <f t="shared" si="279"/>
        <v>3</v>
      </c>
      <c r="BP75" s="53">
        <f t="shared" si="280"/>
        <v>0</v>
      </c>
      <c r="BQ75" s="53"/>
      <c r="BR75" s="53">
        <f t="shared" si="281"/>
        <v>22.75</v>
      </c>
      <c r="BS75" s="53">
        <f t="shared" si="282"/>
        <v>85.5</v>
      </c>
      <c r="BT75" s="53">
        <f t="shared" si="283"/>
        <v>16.5</v>
      </c>
      <c r="BU75" s="53">
        <f t="shared" si="192"/>
        <v>59880</v>
      </c>
      <c r="BV75" s="53"/>
      <c r="BW75" s="53">
        <f t="shared" si="284"/>
        <v>39000</v>
      </c>
      <c r="BX75" s="53">
        <f t="shared" si="285"/>
        <v>-50430</v>
      </c>
      <c r="BY75" s="53">
        <f t="shared" si="193"/>
        <v>-44877.27739363277</v>
      </c>
      <c r="BZ75" s="240">
        <f t="shared" si="286"/>
        <v>13.571749999999998</v>
      </c>
      <c r="CC75" s="1">
        <f t="shared" si="194"/>
        <v>0</v>
      </c>
      <c r="CD75" s="195">
        <f t="shared" si="195"/>
        <v>8619.599999999999</v>
      </c>
      <c r="CE75" s="195">
        <f t="shared" si="196"/>
        <v>8619.599999999999</v>
      </c>
      <c r="CF75" s="239">
        <f t="shared" si="197"/>
        <v>4.35</v>
      </c>
      <c r="CG75" s="239">
        <f t="shared" si="197"/>
        <v>29.880000000000003</v>
      </c>
      <c r="CH75" s="1">
        <f t="shared" si="287"/>
        <v>14342.400000000001</v>
      </c>
      <c r="CK75" s="211">
        <f t="shared" si="198"/>
        <v>0</v>
      </c>
      <c r="CL75" s="211">
        <f t="shared" si="199"/>
        <v>0</v>
      </c>
      <c r="CM75" s="211">
        <f t="shared" si="200"/>
        <v>0</v>
      </c>
      <c r="CQ75" s="1">
        <f t="shared" si="288"/>
        <v>1</v>
      </c>
      <c r="CR75" s="195">
        <f t="shared" si="201"/>
        <v>10000</v>
      </c>
      <c r="CS75" s="195"/>
      <c r="CT75" s="195"/>
      <c r="CV75" s="199">
        <f t="shared" si="202"/>
        <v>230.89001002606776</v>
      </c>
      <c r="CW75" s="199">
        <f t="shared" si="203"/>
        <v>60.0601564066573</v>
      </c>
      <c r="CX75" s="199">
        <f t="shared" si="204"/>
        <v>204.73839983958288</v>
      </c>
      <c r="CY75" s="199">
        <f t="shared" si="205"/>
        <v>0</v>
      </c>
      <c r="CZ75" s="199">
        <f t="shared" si="206"/>
        <v>0</v>
      </c>
      <c r="DA75" s="199">
        <f t="shared" si="207"/>
        <v>0</v>
      </c>
      <c r="DB75" s="199">
        <f t="shared" si="208"/>
        <v>38.2583196310407</v>
      </c>
      <c r="DC75" s="199">
        <f t="shared" si="209"/>
        <v>0.7807820332865449</v>
      </c>
      <c r="DD75" s="199">
        <f t="shared" si="210"/>
        <v>0</v>
      </c>
      <c r="DE75" s="199">
        <f t="shared" si="211"/>
        <v>12.7527732103469</v>
      </c>
      <c r="DF75" s="199">
        <f t="shared" si="212"/>
        <v>0</v>
      </c>
      <c r="DG75" s="199">
        <f t="shared" si="213"/>
        <v>76.92705033086023</v>
      </c>
      <c r="DH75" s="199">
        <f t="shared" si="214"/>
        <v>70.03014237016241</v>
      </c>
      <c r="DI75" s="199">
        <f t="shared" si="215"/>
        <v>0</v>
      </c>
      <c r="DJ75" s="199">
        <f t="shared" si="216"/>
        <v>16.80633326649288</v>
      </c>
      <c r="DK75" s="199">
        <f t="shared" si="217"/>
        <v>10.521037898536193</v>
      </c>
      <c r="DL75" s="199">
        <f t="shared" si="218"/>
        <v>3.9624688189292154</v>
      </c>
      <c r="DM75" s="199">
        <f t="shared" si="219"/>
        <v>5.123882093442951</v>
      </c>
      <c r="DN75" s="199">
        <f t="shared" si="220"/>
        <v>0</v>
      </c>
      <c r="DO75" s="199">
        <f t="shared" si="221"/>
        <v>0</v>
      </c>
      <c r="DP75" s="199">
        <f t="shared" si="222"/>
        <v>0</v>
      </c>
      <c r="DQ75" s="199">
        <f t="shared" si="223"/>
        <v>0</v>
      </c>
      <c r="DR75" s="199">
        <f t="shared" si="224"/>
        <v>3.3033086023661515</v>
      </c>
      <c r="DS75" s="199">
        <f t="shared" si="225"/>
        <v>45.625698816924</v>
      </c>
      <c r="DT75" s="199">
        <f t="shared" si="226"/>
        <v>0</v>
      </c>
      <c r="DU75" s="199">
        <f t="shared" si="227"/>
        <v>0</v>
      </c>
      <c r="DV75" s="199">
        <f t="shared" si="228"/>
        <v>0.008174854622017244</v>
      </c>
      <c r="DW75" s="199">
        <f t="shared" si="229"/>
        <v>9.175857228794865</v>
      </c>
      <c r="DX75" s="199">
        <f t="shared" si="230"/>
        <v>1.715384800481251</v>
      </c>
      <c r="DY75" s="199">
        <f t="shared" si="231"/>
        <v>0</v>
      </c>
      <c r="DZ75" s="199">
        <f t="shared" si="232"/>
        <v>0.04142816121916985</v>
      </c>
      <c r="EA75" s="199">
        <f t="shared" si="233"/>
        <v>193.02694825551052</v>
      </c>
      <c r="EB75" s="199">
        <f t="shared" si="234"/>
        <v>23.89905202138453</v>
      </c>
      <c r="EC75" s="202">
        <f t="shared" si="184"/>
        <v>1007.6472086667083</v>
      </c>
      <c r="ED75" s="202">
        <f>SUM(CV75:DI75,DS75:DT75,DW75,DY75,EA75:EB75)</f>
        <v>966.1651901706184</v>
      </c>
      <c r="EE75" s="203">
        <f t="shared" si="235"/>
        <v>159.9321063094221</v>
      </c>
      <c r="EF75" s="199"/>
      <c r="EI75" s="1">
        <f t="shared" si="236"/>
        <v>0.5699766927982697</v>
      </c>
      <c r="EJ75" s="1">
        <f t="shared" si="237"/>
        <v>0.010606863429336002</v>
      </c>
      <c r="EK75" s="1">
        <f t="shared" si="238"/>
        <v>0.24682268761392</v>
      </c>
      <c r="EL75" s="1">
        <f t="shared" si="239"/>
        <v>0</v>
      </c>
      <c r="EM75" s="1">
        <f t="shared" si="240"/>
        <v>0</v>
      </c>
      <c r="EN75" s="1">
        <f t="shared" si="241"/>
        <v>0</v>
      </c>
      <c r="EO75" s="1">
        <f t="shared" si="242"/>
        <v>0.2644897670328</v>
      </c>
      <c r="EP75" s="1">
        <f t="shared" si="243"/>
        <v>0</v>
      </c>
      <c r="EQ75" s="1">
        <f t="shared" si="244"/>
        <v>0.21621849683808003</v>
      </c>
      <c r="ER75" s="1">
        <f t="shared" si="245"/>
        <v>0</v>
      </c>
      <c r="ES75" s="1">
        <f t="shared" si="246"/>
        <v>0</v>
      </c>
      <c r="ET75" s="1">
        <f t="shared" si="247"/>
        <v>0.14589546715944002</v>
      </c>
      <c r="EU75" s="1">
        <f t="shared" si="248"/>
        <v>0.14589546715944002</v>
      </c>
      <c r="EV75" s="1">
        <f t="shared" si="249"/>
        <v>0</v>
      </c>
      <c r="EW75" s="1">
        <f t="shared" si="250"/>
        <v>0.10099701098903999</v>
      </c>
      <c r="EX75" s="1">
        <f t="shared" si="251"/>
        <v>0.10099701098903999</v>
      </c>
      <c r="EY75" s="1">
        <f t="shared" si="252"/>
        <v>0.059350736407200004</v>
      </c>
      <c r="EZ75" s="1">
        <f t="shared" si="253"/>
        <v>0.10099701098903999</v>
      </c>
      <c r="FA75" s="1">
        <f t="shared" si="254"/>
        <v>0</v>
      </c>
      <c r="FB75" s="1">
        <f t="shared" si="255"/>
        <v>0</v>
      </c>
      <c r="FC75" s="1">
        <f t="shared" si="256"/>
        <v>0</v>
      </c>
      <c r="FD75" s="1">
        <f t="shared" si="257"/>
        <v>0</v>
      </c>
      <c r="FE75" s="1">
        <f t="shared" si="258"/>
        <v>0.059350736407200004</v>
      </c>
      <c r="FF75" s="1">
        <f t="shared" si="259"/>
        <v>0.059350736407200004</v>
      </c>
      <c r="FG75" s="1">
        <f t="shared" si="260"/>
        <v>0</v>
      </c>
      <c r="FH75" s="1">
        <f t="shared" si="261"/>
        <v>0</v>
      </c>
      <c r="FI75" s="1">
        <f t="shared" si="262"/>
        <v>0</v>
      </c>
      <c r="FJ75" s="1">
        <f t="shared" si="263"/>
        <v>0</v>
      </c>
      <c r="FK75" s="1">
        <f t="shared" si="264"/>
        <v>0</v>
      </c>
      <c r="FL75" s="1">
        <f t="shared" si="265"/>
        <v>0</v>
      </c>
      <c r="FM75" s="1">
        <f t="shared" si="266"/>
        <v>0.0057571153094400015</v>
      </c>
      <c r="FN75" s="1">
        <f t="shared" si="267"/>
        <v>7.46760736344</v>
      </c>
      <c r="FO75" s="1">
        <f>IF(O75=0,0,SUM(EI75:FN75))</f>
        <v>9.554313162969445</v>
      </c>
    </row>
    <row r="76" spans="1:171" ht="12.75">
      <c r="A76" s="24">
        <v>62</v>
      </c>
      <c r="B76" s="25" t="s">
        <v>219</v>
      </c>
      <c r="C76" s="25" t="s">
        <v>220</v>
      </c>
      <c r="D76" s="26" t="s">
        <v>216</v>
      </c>
      <c r="E76" s="26">
        <v>3</v>
      </c>
      <c r="F76" s="26" t="s">
        <v>211</v>
      </c>
      <c r="G76" s="26" t="s">
        <v>74</v>
      </c>
      <c r="H76" s="26" t="s">
        <v>75</v>
      </c>
      <c r="I76" s="26">
        <v>3</v>
      </c>
      <c r="J76" s="26"/>
      <c r="K76" s="26">
        <f t="shared" si="268"/>
        <v>1</v>
      </c>
      <c r="L76" s="26">
        <f t="shared" si="269"/>
        <v>1</v>
      </c>
      <c r="M76" s="24">
        <v>301400</v>
      </c>
      <c r="N76" s="24">
        <v>931600</v>
      </c>
      <c r="O76" s="27">
        <f t="shared" si="270"/>
        <v>239400</v>
      </c>
      <c r="P76" s="28">
        <v>239400</v>
      </c>
      <c r="Q76" s="28">
        <v>252000</v>
      </c>
      <c r="R76" s="28">
        <v>132000</v>
      </c>
      <c r="S76" s="29">
        <v>64000</v>
      </c>
      <c r="T76" s="29">
        <v>0</v>
      </c>
      <c r="U76" s="29">
        <v>0</v>
      </c>
      <c r="V76" s="29">
        <v>10600</v>
      </c>
      <c r="W76" s="28">
        <v>50000</v>
      </c>
      <c r="X76" s="29">
        <v>0</v>
      </c>
      <c r="Y76" s="29">
        <v>0</v>
      </c>
      <c r="Z76" s="28">
        <v>34000</v>
      </c>
      <c r="AA76" s="29">
        <v>0</v>
      </c>
      <c r="AB76" s="28">
        <v>44000</v>
      </c>
      <c r="AC76" s="28">
        <v>0</v>
      </c>
      <c r="AD76" s="28">
        <v>0</v>
      </c>
      <c r="AE76" s="28">
        <v>50000</v>
      </c>
      <c r="AF76" s="28">
        <v>38500</v>
      </c>
      <c r="AG76" s="28">
        <v>24000</v>
      </c>
      <c r="AH76" s="28">
        <v>55000</v>
      </c>
      <c r="AI76" s="28">
        <v>0</v>
      </c>
      <c r="AJ76" s="28">
        <v>12500</v>
      </c>
      <c r="AK76" s="28">
        <v>49000</v>
      </c>
      <c r="AL76" s="28">
        <v>0</v>
      </c>
      <c r="AM76" s="30">
        <v>6000</v>
      </c>
      <c r="AN76" s="31">
        <v>0</v>
      </c>
      <c r="AO76" s="30">
        <v>0</v>
      </c>
      <c r="AP76" s="31">
        <v>930</v>
      </c>
      <c r="AQ76" s="31">
        <v>0</v>
      </c>
      <c r="AR76" s="31">
        <v>24000</v>
      </c>
      <c r="AS76" s="31">
        <v>22500</v>
      </c>
      <c r="AT76" s="31">
        <v>0</v>
      </c>
      <c r="AU76" s="30">
        <v>860</v>
      </c>
      <c r="AX76" s="2">
        <f t="shared" si="271"/>
        <v>180840</v>
      </c>
      <c r="AY76" s="32">
        <f t="shared" si="185"/>
        <v>171798</v>
      </c>
      <c r="AZ76" s="186">
        <f t="shared" si="186"/>
        <v>0.43041608946933585</v>
      </c>
      <c r="BA76" s="186">
        <f t="shared" si="187"/>
        <v>0.08214614971485576</v>
      </c>
      <c r="BB76" s="186">
        <f t="shared" si="188"/>
        <v>0.3013649779476315</v>
      </c>
      <c r="BC76" s="53">
        <f t="shared" si="272"/>
        <v>239400</v>
      </c>
      <c r="BD76" s="53">
        <f t="shared" si="189"/>
        <v>90849.18378724881</v>
      </c>
      <c r="BE76" s="53">
        <f t="shared" si="190"/>
        <v>17338.828253518313</v>
      </c>
      <c r="BF76" s="53">
        <f t="shared" si="191"/>
        <v>63609.98795923289</v>
      </c>
      <c r="BG76" s="53"/>
      <c r="BH76" s="53">
        <f t="shared" si="273"/>
        <v>9</v>
      </c>
      <c r="BI76" s="53">
        <f t="shared" si="274"/>
        <v>7</v>
      </c>
      <c r="BJ76" s="53">
        <f t="shared" si="275"/>
        <v>4</v>
      </c>
      <c r="BK76" s="53">
        <f t="shared" si="276"/>
        <v>6</v>
      </c>
      <c r="BL76" s="53"/>
      <c r="BM76" s="53">
        <f t="shared" si="277"/>
        <v>4</v>
      </c>
      <c r="BN76" s="53">
        <f t="shared" si="278"/>
        <v>3</v>
      </c>
      <c r="BO76" s="53">
        <f t="shared" si="279"/>
        <v>2</v>
      </c>
      <c r="BP76" s="53">
        <f t="shared" si="280"/>
        <v>0</v>
      </c>
      <c r="BQ76" s="53"/>
      <c r="BR76" s="53">
        <f t="shared" si="281"/>
        <v>13</v>
      </c>
      <c r="BS76" s="53">
        <f t="shared" si="282"/>
        <v>51.300000000000004</v>
      </c>
      <c r="BT76" s="53">
        <f t="shared" si="283"/>
        <v>11</v>
      </c>
      <c r="BU76" s="53">
        <f t="shared" si="192"/>
        <v>36144.00000000001</v>
      </c>
      <c r="BV76" s="53"/>
      <c r="BW76" s="53">
        <f t="shared" si="284"/>
        <v>23400</v>
      </c>
      <c r="BX76" s="53">
        <f t="shared" si="285"/>
        <v>-30474.000000000007</v>
      </c>
      <c r="BY76" s="53">
        <f t="shared" si="193"/>
        <v>-27142.366436179673</v>
      </c>
      <c r="BZ76" s="240">
        <f t="shared" si="286"/>
        <v>8.2337</v>
      </c>
      <c r="CC76" s="1">
        <f t="shared" si="194"/>
        <v>0</v>
      </c>
      <c r="CD76" s="195">
        <f t="shared" si="195"/>
        <v>8619.599999999999</v>
      </c>
      <c r="CE76" s="195">
        <f t="shared" si="196"/>
        <v>8619.599999999999</v>
      </c>
      <c r="CF76" s="239">
        <f t="shared" si="197"/>
        <v>4.35</v>
      </c>
      <c r="CG76" s="239">
        <f t="shared" si="197"/>
        <v>29.880000000000003</v>
      </c>
      <c r="CH76" s="1">
        <f t="shared" si="287"/>
        <v>14342.400000000001</v>
      </c>
      <c r="CK76" s="211">
        <f t="shared" si="198"/>
        <v>0</v>
      </c>
      <c r="CL76" s="211">
        <f t="shared" si="199"/>
        <v>0</v>
      </c>
      <c r="CM76" s="211">
        <f t="shared" si="200"/>
        <v>0</v>
      </c>
      <c r="CQ76" s="1">
        <f t="shared" si="288"/>
        <v>1</v>
      </c>
      <c r="CR76" s="195">
        <f t="shared" si="201"/>
        <v>10000</v>
      </c>
      <c r="CS76" s="195"/>
      <c r="CT76" s="195"/>
      <c r="CV76" s="199">
        <f t="shared" si="202"/>
        <v>128.01822338079003</v>
      </c>
      <c r="CW76" s="199">
        <f t="shared" si="203"/>
        <v>39.63970322839382</v>
      </c>
      <c r="CX76" s="199">
        <f t="shared" si="204"/>
        <v>125.99286143974332</v>
      </c>
      <c r="CY76" s="199">
        <f t="shared" si="205"/>
        <v>0</v>
      </c>
      <c r="CZ76" s="199">
        <f t="shared" si="206"/>
        <v>0</v>
      </c>
      <c r="DA76" s="199">
        <f t="shared" si="207"/>
        <v>20.86756767595749</v>
      </c>
      <c r="DB76" s="199">
        <f t="shared" si="208"/>
        <v>13.013033888109083</v>
      </c>
      <c r="DC76" s="199">
        <f t="shared" si="209"/>
        <v>0</v>
      </c>
      <c r="DD76" s="199">
        <f t="shared" si="210"/>
        <v>0</v>
      </c>
      <c r="DE76" s="199">
        <f t="shared" si="211"/>
        <v>10.323673551233206</v>
      </c>
      <c r="DF76" s="199">
        <f t="shared" si="212"/>
        <v>0</v>
      </c>
      <c r="DG76" s="199">
        <f t="shared" si="213"/>
        <v>58.358451975135345</v>
      </c>
      <c r="DH76" s="199">
        <f t="shared" si="214"/>
        <v>0</v>
      </c>
      <c r="DI76" s="199">
        <f t="shared" si="215"/>
        <v>0</v>
      </c>
      <c r="DJ76" s="199">
        <f t="shared" si="216"/>
        <v>6.831842791257268</v>
      </c>
      <c r="DK76" s="199">
        <f t="shared" si="217"/>
        <v>5.260518949268096</v>
      </c>
      <c r="DL76" s="199">
        <f t="shared" si="218"/>
        <v>3.2792845398034887</v>
      </c>
      <c r="DM76" s="199">
        <f t="shared" si="219"/>
        <v>7.515027070382995</v>
      </c>
      <c r="DN76" s="199">
        <f t="shared" si="220"/>
        <v>0</v>
      </c>
      <c r="DO76" s="199">
        <f t="shared" si="221"/>
        <v>1.707960697814317</v>
      </c>
      <c r="DP76" s="199">
        <f t="shared" si="222"/>
        <v>6.695205935432123</v>
      </c>
      <c r="DQ76" s="199">
        <f t="shared" si="223"/>
        <v>0</v>
      </c>
      <c r="DR76" s="199">
        <f t="shared" si="224"/>
        <v>0.9009023460998595</v>
      </c>
      <c r="DS76" s="199">
        <f t="shared" si="225"/>
        <v>0</v>
      </c>
      <c r="DT76" s="199">
        <f t="shared" si="226"/>
        <v>0</v>
      </c>
      <c r="DU76" s="199">
        <f t="shared" si="227"/>
        <v>0.0002715219570884299</v>
      </c>
      <c r="DV76" s="199">
        <f t="shared" si="228"/>
        <v>0</v>
      </c>
      <c r="DW76" s="199">
        <f t="shared" si="229"/>
        <v>20.020052135552437</v>
      </c>
      <c r="DX76" s="199">
        <f t="shared" si="230"/>
        <v>1.4564587928614394</v>
      </c>
      <c r="DY76" s="199">
        <f t="shared" si="231"/>
        <v>0</v>
      </c>
      <c r="DZ76" s="199">
        <f t="shared" si="232"/>
        <v>0.05566909163825947</v>
      </c>
      <c r="EA76" s="199">
        <f t="shared" si="233"/>
        <v>99.74274258672548</v>
      </c>
      <c r="EB76" s="199">
        <f t="shared" si="234"/>
        <v>12.897121790254662</v>
      </c>
      <c r="EC76" s="202">
        <f t="shared" si="184"/>
        <v>562.5765733884098</v>
      </c>
      <c r="ED76" s="202">
        <f>SUM(CV76:DI76,DS76:DT76,DW76,DY76,EA76:EB76)</f>
        <v>528.8734316518949</v>
      </c>
      <c r="EE76" s="203">
        <f t="shared" si="235"/>
        <v>87.54594220088056</v>
      </c>
      <c r="EF76" s="199"/>
      <c r="EI76" s="1">
        <f t="shared" si="236"/>
        <v>0.5699766927982697</v>
      </c>
      <c r="EJ76" s="1">
        <f t="shared" si="237"/>
        <v>0.010606863429336002</v>
      </c>
      <c r="EK76" s="1">
        <f t="shared" si="238"/>
        <v>0.24682268761392</v>
      </c>
      <c r="EL76" s="1">
        <f t="shared" si="239"/>
        <v>0</v>
      </c>
      <c r="EM76" s="1">
        <f t="shared" si="240"/>
        <v>0</v>
      </c>
      <c r="EN76" s="1">
        <f t="shared" si="241"/>
        <v>0.24682268761392</v>
      </c>
      <c r="EO76" s="1">
        <f t="shared" si="242"/>
        <v>0.2644897670328</v>
      </c>
      <c r="EP76" s="1">
        <f t="shared" si="243"/>
        <v>0</v>
      </c>
      <c r="EQ76" s="1">
        <f t="shared" si="244"/>
        <v>0.21621849683808003</v>
      </c>
      <c r="ER76" s="1">
        <f t="shared" si="245"/>
        <v>0</v>
      </c>
      <c r="ES76" s="1">
        <f t="shared" si="246"/>
        <v>0</v>
      </c>
      <c r="ET76" s="1">
        <f t="shared" si="247"/>
        <v>0.14589546715944002</v>
      </c>
      <c r="EU76" s="1">
        <f t="shared" si="248"/>
        <v>0</v>
      </c>
      <c r="EV76" s="1">
        <f t="shared" si="249"/>
        <v>0</v>
      </c>
      <c r="EW76" s="1">
        <f t="shared" si="250"/>
        <v>0.10099701098903999</v>
      </c>
      <c r="EX76" s="1">
        <f t="shared" si="251"/>
        <v>0.10099701098903999</v>
      </c>
      <c r="EY76" s="1">
        <f t="shared" si="252"/>
        <v>0.059350736407200004</v>
      </c>
      <c r="EZ76" s="1">
        <f t="shared" si="253"/>
        <v>0.10099701098903999</v>
      </c>
      <c r="FA76" s="1">
        <f t="shared" si="254"/>
        <v>0</v>
      </c>
      <c r="FB76" s="1">
        <f t="shared" si="255"/>
        <v>0.059350736407200004</v>
      </c>
      <c r="FC76" s="1">
        <f t="shared" si="256"/>
        <v>0.10099701098903999</v>
      </c>
      <c r="FD76" s="1">
        <f t="shared" si="257"/>
        <v>0</v>
      </c>
      <c r="FE76" s="1">
        <f t="shared" si="258"/>
        <v>0.059350736407200004</v>
      </c>
      <c r="FF76" s="1">
        <f t="shared" si="259"/>
        <v>0</v>
      </c>
      <c r="FG76" s="1">
        <f t="shared" si="260"/>
        <v>0</v>
      </c>
      <c r="FH76" s="1">
        <f t="shared" si="261"/>
        <v>0</v>
      </c>
      <c r="FI76" s="1">
        <f t="shared" si="262"/>
        <v>0</v>
      </c>
      <c r="FJ76" s="1">
        <f t="shared" si="263"/>
        <v>0</v>
      </c>
      <c r="FK76" s="1">
        <f t="shared" si="264"/>
        <v>0</v>
      </c>
      <c r="FL76" s="1">
        <f t="shared" si="265"/>
        <v>0</v>
      </c>
      <c r="FM76" s="1">
        <f t="shared" si="266"/>
        <v>0.0057571153094400015</v>
      </c>
      <c r="FN76" s="1">
        <f t="shared" si="267"/>
        <v>7.46760736344</v>
      </c>
      <c r="FO76" s="1">
        <f>IF(O76=0,0,SUM(EI76:FN76))</f>
        <v>9.756237394412965</v>
      </c>
    </row>
    <row r="77" spans="1:171" ht="12.75">
      <c r="A77" s="24">
        <v>63</v>
      </c>
      <c r="B77" s="25" t="s">
        <v>221</v>
      </c>
      <c r="C77" s="25" t="s">
        <v>222</v>
      </c>
      <c r="D77" s="26" t="s">
        <v>216</v>
      </c>
      <c r="E77" s="26">
        <v>3</v>
      </c>
      <c r="F77" s="26" t="s">
        <v>211</v>
      </c>
      <c r="G77" s="26" t="s">
        <v>74</v>
      </c>
      <c r="H77" s="26" t="s">
        <v>75</v>
      </c>
      <c r="I77" s="26">
        <v>3</v>
      </c>
      <c r="J77" s="26"/>
      <c r="K77" s="26">
        <f t="shared" si="268"/>
        <v>1</v>
      </c>
      <c r="L77" s="26">
        <f t="shared" si="269"/>
        <v>1</v>
      </c>
      <c r="M77" s="24">
        <v>302910</v>
      </c>
      <c r="N77" s="24">
        <v>911015</v>
      </c>
      <c r="O77" s="27">
        <f t="shared" si="270"/>
        <v>501000</v>
      </c>
      <c r="P77" s="28">
        <v>501000</v>
      </c>
      <c r="Q77" s="28">
        <v>522000</v>
      </c>
      <c r="R77" s="28">
        <v>236500</v>
      </c>
      <c r="S77" s="29">
        <v>118500</v>
      </c>
      <c r="T77" s="29">
        <v>0</v>
      </c>
      <c r="U77" s="29">
        <v>0</v>
      </c>
      <c r="V77" s="29">
        <v>0</v>
      </c>
      <c r="W77" s="28">
        <v>241000</v>
      </c>
      <c r="X77" s="29">
        <v>0</v>
      </c>
      <c r="Y77" s="29">
        <v>26500</v>
      </c>
      <c r="Z77" s="28">
        <v>0</v>
      </c>
      <c r="AA77" s="29">
        <v>0</v>
      </c>
      <c r="AB77" s="28">
        <v>78000</v>
      </c>
      <c r="AC77" s="28">
        <v>0</v>
      </c>
      <c r="AD77" s="28">
        <v>0</v>
      </c>
      <c r="AE77" s="28">
        <v>78000</v>
      </c>
      <c r="AF77" s="28">
        <v>129000</v>
      </c>
      <c r="AG77" s="28">
        <v>0</v>
      </c>
      <c r="AH77" s="28">
        <v>100000</v>
      </c>
      <c r="AI77" s="28">
        <v>0</v>
      </c>
      <c r="AJ77" s="28">
        <v>0</v>
      </c>
      <c r="AK77" s="28">
        <v>0</v>
      </c>
      <c r="AL77" s="28">
        <v>145600</v>
      </c>
      <c r="AM77" s="30">
        <v>37000</v>
      </c>
      <c r="AN77" s="31">
        <v>0</v>
      </c>
      <c r="AO77" s="30">
        <v>0</v>
      </c>
      <c r="AP77" s="31">
        <v>0</v>
      </c>
      <c r="AQ77" s="31">
        <v>0</v>
      </c>
      <c r="AR77" s="31">
        <v>16600</v>
      </c>
      <c r="AS77" s="31">
        <v>30157</v>
      </c>
      <c r="AT77" s="31">
        <v>0</v>
      </c>
      <c r="AU77" s="30">
        <v>800</v>
      </c>
      <c r="AX77" s="2">
        <f t="shared" si="271"/>
        <v>418213.84</v>
      </c>
      <c r="AY77" s="32">
        <f t="shared" si="185"/>
        <v>401389.14528735634</v>
      </c>
      <c r="AZ77" s="186">
        <f t="shared" si="186"/>
        <v>0.43041608946933585</v>
      </c>
      <c r="BA77" s="186">
        <f t="shared" si="187"/>
        <v>0.08214614971485576</v>
      </c>
      <c r="BB77" s="186">
        <f t="shared" si="188"/>
        <v>0.3013649779476315</v>
      </c>
      <c r="BC77" s="53">
        <f t="shared" si="272"/>
        <v>501000</v>
      </c>
      <c r="BD77" s="53">
        <f t="shared" si="189"/>
        <v>212260.19063328876</v>
      </c>
      <c r="BE77" s="53">
        <f t="shared" si="190"/>
        <v>40510.46841618634</v>
      </c>
      <c r="BF77" s="53">
        <f t="shared" si="191"/>
        <v>148618.4862378812</v>
      </c>
      <c r="BG77" s="53"/>
      <c r="BH77" s="53">
        <f t="shared" si="273"/>
        <v>18</v>
      </c>
      <c r="BI77" s="53">
        <f t="shared" si="274"/>
        <v>13</v>
      </c>
      <c r="BJ77" s="53">
        <f t="shared" si="275"/>
        <v>7</v>
      </c>
      <c r="BK77" s="53">
        <f t="shared" si="276"/>
        <v>11</v>
      </c>
      <c r="BL77" s="53"/>
      <c r="BM77" s="53">
        <f t="shared" si="277"/>
        <v>8</v>
      </c>
      <c r="BN77" s="53">
        <f t="shared" si="278"/>
        <v>6</v>
      </c>
      <c r="BO77" s="53">
        <f t="shared" si="279"/>
        <v>3</v>
      </c>
      <c r="BP77" s="53">
        <f t="shared" si="280"/>
        <v>0</v>
      </c>
      <c r="BQ77" s="53"/>
      <c r="BR77" s="53">
        <f t="shared" si="281"/>
        <v>26</v>
      </c>
      <c r="BS77" s="53">
        <f t="shared" si="282"/>
        <v>102.60000000000001</v>
      </c>
      <c r="BT77" s="53">
        <f t="shared" si="283"/>
        <v>16.5</v>
      </c>
      <c r="BU77" s="53">
        <f t="shared" si="192"/>
        <v>69648.00000000001</v>
      </c>
      <c r="BV77" s="53"/>
      <c r="BW77" s="53">
        <f t="shared" si="284"/>
        <v>44200</v>
      </c>
      <c r="BX77" s="53">
        <f t="shared" si="285"/>
        <v>-58938.000000000015</v>
      </c>
      <c r="BY77" s="53">
        <f t="shared" si="193"/>
        <v>-52644.91437945049</v>
      </c>
      <c r="BZ77" s="240">
        <f t="shared" si="286"/>
        <v>15.724900000000002</v>
      </c>
      <c r="CC77" s="1">
        <f t="shared" si="194"/>
        <v>0</v>
      </c>
      <c r="CD77" s="195">
        <f t="shared" si="195"/>
        <v>8619.599999999999</v>
      </c>
      <c r="CE77" s="195">
        <f t="shared" si="196"/>
        <v>8619.599999999999</v>
      </c>
      <c r="CF77" s="239">
        <f t="shared" si="197"/>
        <v>4.35</v>
      </c>
      <c r="CG77" s="239">
        <f t="shared" si="197"/>
        <v>29.880000000000003</v>
      </c>
      <c r="CH77" s="1">
        <f t="shared" si="287"/>
        <v>14342.400000000001</v>
      </c>
      <c r="CK77" s="211">
        <f t="shared" si="198"/>
        <v>0</v>
      </c>
      <c r="CL77" s="211">
        <f t="shared" si="199"/>
        <v>0</v>
      </c>
      <c r="CM77" s="211">
        <f t="shared" si="200"/>
        <v>0</v>
      </c>
      <c r="CQ77" s="1">
        <f t="shared" si="288"/>
        <v>1</v>
      </c>
      <c r="CR77" s="195">
        <f t="shared" si="201"/>
        <v>10000</v>
      </c>
      <c r="CS77" s="195"/>
      <c r="CT77" s="195"/>
      <c r="CV77" s="199">
        <f t="shared" si="202"/>
        <v>265.18060557449365</v>
      </c>
      <c r="CW77" s="199">
        <f t="shared" si="203"/>
        <v>71.02113495087225</v>
      </c>
      <c r="CX77" s="199">
        <f t="shared" si="204"/>
        <v>233.28365750952474</v>
      </c>
      <c r="CY77" s="199">
        <f t="shared" si="205"/>
        <v>0</v>
      </c>
      <c r="CZ77" s="199">
        <f t="shared" si="206"/>
        <v>0</v>
      </c>
      <c r="DA77" s="199">
        <f t="shared" si="207"/>
        <v>0</v>
      </c>
      <c r="DB77" s="199">
        <f t="shared" si="208"/>
        <v>62.72282334068578</v>
      </c>
      <c r="DC77" s="199">
        <f t="shared" si="209"/>
        <v>0</v>
      </c>
      <c r="DD77" s="199">
        <f t="shared" si="210"/>
        <v>8.046392620814116</v>
      </c>
      <c r="DE77" s="199">
        <f t="shared" si="211"/>
        <v>0</v>
      </c>
      <c r="DF77" s="199">
        <f t="shared" si="212"/>
        <v>0</v>
      </c>
      <c r="DG77" s="199">
        <f t="shared" si="213"/>
        <v>103.45361941046721</v>
      </c>
      <c r="DH77" s="199">
        <f t="shared" si="214"/>
        <v>0</v>
      </c>
      <c r="DI77" s="199">
        <f t="shared" si="215"/>
        <v>0</v>
      </c>
      <c r="DJ77" s="199">
        <f t="shared" si="216"/>
        <v>10.65767475436134</v>
      </c>
      <c r="DK77" s="199">
        <f t="shared" si="217"/>
        <v>17.626154401443753</v>
      </c>
      <c r="DL77" s="199">
        <f t="shared" si="218"/>
        <v>0</v>
      </c>
      <c r="DM77" s="199">
        <f t="shared" si="219"/>
        <v>13.663685582514535</v>
      </c>
      <c r="DN77" s="199">
        <f t="shared" si="220"/>
        <v>0</v>
      </c>
      <c r="DO77" s="199">
        <f t="shared" si="221"/>
        <v>0</v>
      </c>
      <c r="DP77" s="199">
        <f t="shared" si="222"/>
        <v>0</v>
      </c>
      <c r="DQ77" s="199">
        <f t="shared" si="223"/>
        <v>19.894326208141166</v>
      </c>
      <c r="DR77" s="199">
        <f t="shared" si="224"/>
        <v>5.555564467615801</v>
      </c>
      <c r="DS77" s="199">
        <f t="shared" si="225"/>
        <v>0</v>
      </c>
      <c r="DT77" s="199">
        <f t="shared" si="226"/>
        <v>0</v>
      </c>
      <c r="DU77" s="199">
        <f t="shared" si="227"/>
        <v>0</v>
      </c>
      <c r="DV77" s="199">
        <f t="shared" si="228"/>
        <v>0</v>
      </c>
      <c r="DW77" s="199">
        <f t="shared" si="229"/>
        <v>13.847202727090433</v>
      </c>
      <c r="DX77" s="199">
        <f t="shared" si="230"/>
        <v>1.9521079029476636</v>
      </c>
      <c r="DY77" s="199">
        <f t="shared" si="231"/>
        <v>0</v>
      </c>
      <c r="DZ77" s="199">
        <f t="shared" si="232"/>
        <v>0.0517852015239623</v>
      </c>
      <c r="EA77" s="199">
        <f t="shared" si="233"/>
        <v>233.03911684363345</v>
      </c>
      <c r="EB77" s="199">
        <f t="shared" si="234"/>
        <v>28.303208451828176</v>
      </c>
      <c r="EC77" s="202">
        <f t="shared" si="184"/>
        <v>1088.299059947958</v>
      </c>
      <c r="ED77" s="202">
        <f>SUM(CV77:DI77,DS77:DT77,DW77,DY77,EA77:EB77)</f>
        <v>1018.8977614294098</v>
      </c>
      <c r="EE77" s="203">
        <f t="shared" si="235"/>
        <v>168.66108069012907</v>
      </c>
      <c r="EF77" s="199"/>
      <c r="EI77" s="1">
        <f t="shared" si="236"/>
        <v>0.5699766927982697</v>
      </c>
      <c r="EJ77" s="1">
        <f t="shared" si="237"/>
        <v>0.010606863429336002</v>
      </c>
      <c r="EK77" s="1">
        <f t="shared" si="238"/>
        <v>0.24682268761392</v>
      </c>
      <c r="EL77" s="1">
        <f t="shared" si="239"/>
        <v>0</v>
      </c>
      <c r="EM77" s="1">
        <f t="shared" si="240"/>
        <v>0</v>
      </c>
      <c r="EN77" s="1">
        <f t="shared" si="241"/>
        <v>0</v>
      </c>
      <c r="EO77" s="1">
        <f t="shared" si="242"/>
        <v>0.2644897670328</v>
      </c>
      <c r="EP77" s="1">
        <f t="shared" si="243"/>
        <v>0</v>
      </c>
      <c r="EQ77" s="1">
        <f t="shared" si="244"/>
        <v>0.21621849683808003</v>
      </c>
      <c r="ER77" s="1">
        <f t="shared" si="245"/>
        <v>0</v>
      </c>
      <c r="ES77" s="1">
        <f t="shared" si="246"/>
        <v>0</v>
      </c>
      <c r="ET77" s="1">
        <f t="shared" si="247"/>
        <v>0.14589546715944002</v>
      </c>
      <c r="EU77" s="1">
        <f t="shared" si="248"/>
        <v>0</v>
      </c>
      <c r="EV77" s="1">
        <f t="shared" si="249"/>
        <v>0</v>
      </c>
      <c r="EW77" s="1">
        <f t="shared" si="250"/>
        <v>0.10099701098903999</v>
      </c>
      <c r="EX77" s="1">
        <f t="shared" si="251"/>
        <v>0.10099701098903999</v>
      </c>
      <c r="EY77" s="1">
        <f t="shared" si="252"/>
        <v>0</v>
      </c>
      <c r="EZ77" s="1">
        <f t="shared" si="253"/>
        <v>0.10099701098903999</v>
      </c>
      <c r="FA77" s="1">
        <f t="shared" si="254"/>
        <v>0</v>
      </c>
      <c r="FB77" s="1">
        <f t="shared" si="255"/>
        <v>0</v>
      </c>
      <c r="FC77" s="1">
        <f t="shared" si="256"/>
        <v>0</v>
      </c>
      <c r="FD77" s="1">
        <f t="shared" si="257"/>
        <v>0.10099701098903999</v>
      </c>
      <c r="FE77" s="1">
        <f t="shared" si="258"/>
        <v>0.10099701098903999</v>
      </c>
      <c r="FF77" s="1">
        <f t="shared" si="259"/>
        <v>0</v>
      </c>
      <c r="FG77" s="1">
        <f t="shared" si="260"/>
        <v>0</v>
      </c>
      <c r="FH77" s="1">
        <f t="shared" si="261"/>
        <v>0</v>
      </c>
      <c r="FI77" s="1">
        <f t="shared" si="262"/>
        <v>0</v>
      </c>
      <c r="FJ77" s="1">
        <f t="shared" si="263"/>
        <v>0</v>
      </c>
      <c r="FK77" s="1">
        <f t="shared" si="264"/>
        <v>0</v>
      </c>
      <c r="FL77" s="1">
        <f t="shared" si="265"/>
        <v>0</v>
      </c>
      <c r="FM77" s="1">
        <f t="shared" si="266"/>
        <v>0.0057571153094400015</v>
      </c>
      <c r="FN77" s="1">
        <f t="shared" si="267"/>
        <v>7.46760736344</v>
      </c>
      <c r="FO77" s="1">
        <f>IF(O77=0,0,SUM(EI77:FN77))</f>
        <v>9.432359508566485</v>
      </c>
    </row>
    <row r="78" spans="1:171" ht="12.75">
      <c r="A78" s="24">
        <v>64</v>
      </c>
      <c r="B78" s="25" t="s">
        <v>223</v>
      </c>
      <c r="C78" s="25" t="s">
        <v>224</v>
      </c>
      <c r="D78" s="26" t="s">
        <v>216</v>
      </c>
      <c r="E78" s="26">
        <v>3</v>
      </c>
      <c r="F78" s="26" t="s">
        <v>211</v>
      </c>
      <c r="G78" s="26" t="s">
        <v>74</v>
      </c>
      <c r="H78" s="26" t="s">
        <v>75</v>
      </c>
      <c r="I78" s="26">
        <v>3</v>
      </c>
      <c r="J78" s="26"/>
      <c r="K78" s="26">
        <f t="shared" si="268"/>
        <v>1</v>
      </c>
      <c r="L78" s="26">
        <f t="shared" si="269"/>
        <v>1</v>
      </c>
      <c r="M78" s="24">
        <v>295600</v>
      </c>
      <c r="N78" s="24">
        <v>895818</v>
      </c>
      <c r="O78" s="27">
        <f t="shared" si="270"/>
        <v>188160</v>
      </c>
      <c r="P78" s="28">
        <v>188160</v>
      </c>
      <c r="Q78" s="28">
        <v>196000</v>
      </c>
      <c r="R78" s="28">
        <v>116700</v>
      </c>
      <c r="S78" s="29">
        <v>35000</v>
      </c>
      <c r="T78" s="29">
        <v>0</v>
      </c>
      <c r="U78" s="29">
        <v>0</v>
      </c>
      <c r="V78" s="29">
        <v>0</v>
      </c>
      <c r="W78" s="28">
        <v>71600</v>
      </c>
      <c r="X78" s="29">
        <v>0</v>
      </c>
      <c r="Y78" s="29">
        <v>20200</v>
      </c>
      <c r="Z78" s="28">
        <v>0</v>
      </c>
      <c r="AA78" s="29">
        <v>0</v>
      </c>
      <c r="AB78" s="28">
        <v>20000</v>
      </c>
      <c r="AC78" s="28">
        <v>29400</v>
      </c>
      <c r="AD78" s="28">
        <v>0</v>
      </c>
      <c r="AE78" s="28">
        <v>40000</v>
      </c>
      <c r="AF78" s="28">
        <v>45000</v>
      </c>
      <c r="AG78" s="28">
        <v>0</v>
      </c>
      <c r="AH78" s="28">
        <v>0</v>
      </c>
      <c r="AI78" s="28">
        <v>27500</v>
      </c>
      <c r="AJ78" s="28">
        <v>0</v>
      </c>
      <c r="AK78" s="28">
        <v>64500</v>
      </c>
      <c r="AL78" s="28">
        <v>0</v>
      </c>
      <c r="AM78" s="30">
        <v>13100</v>
      </c>
      <c r="AN78" s="31">
        <v>10200</v>
      </c>
      <c r="AO78" s="30">
        <v>0</v>
      </c>
      <c r="AP78" s="31">
        <v>10000</v>
      </c>
      <c r="AQ78" s="31">
        <v>10000</v>
      </c>
      <c r="AR78" s="31">
        <v>0</v>
      </c>
      <c r="AS78" s="31">
        <v>11000</v>
      </c>
      <c r="AT78" s="31">
        <v>0</v>
      </c>
      <c r="AU78" s="30">
        <v>935</v>
      </c>
      <c r="AX78" s="2">
        <f t="shared" si="271"/>
        <v>153824</v>
      </c>
      <c r="AY78" s="32">
        <f t="shared" si="185"/>
        <v>147671.04</v>
      </c>
      <c r="AZ78" s="186">
        <f t="shared" si="186"/>
        <v>0.43041608946933585</v>
      </c>
      <c r="BA78" s="186">
        <f t="shared" si="187"/>
        <v>0.08214614971485576</v>
      </c>
      <c r="BB78" s="186">
        <f t="shared" si="188"/>
        <v>0.3013649779476315</v>
      </c>
      <c r="BC78" s="53">
        <f t="shared" si="272"/>
        <v>188160</v>
      </c>
      <c r="BD78" s="53">
        <f t="shared" si="189"/>
        <v>78090.51009333153</v>
      </c>
      <c r="BE78" s="53">
        <f t="shared" si="190"/>
        <v>14903.79865061545</v>
      </c>
      <c r="BF78" s="53">
        <f t="shared" si="191"/>
        <v>54676.731256053026</v>
      </c>
      <c r="BG78" s="53"/>
      <c r="BH78" s="53">
        <f t="shared" si="273"/>
        <v>8</v>
      </c>
      <c r="BI78" s="53">
        <f t="shared" si="274"/>
        <v>6</v>
      </c>
      <c r="BJ78" s="53">
        <f t="shared" si="275"/>
        <v>4</v>
      </c>
      <c r="BK78" s="53">
        <f t="shared" si="276"/>
        <v>5</v>
      </c>
      <c r="BL78" s="53"/>
      <c r="BM78" s="53">
        <f t="shared" si="277"/>
        <v>4</v>
      </c>
      <c r="BN78" s="53">
        <f t="shared" si="278"/>
        <v>3</v>
      </c>
      <c r="BO78" s="53">
        <f t="shared" si="279"/>
        <v>2</v>
      </c>
      <c r="BP78" s="53">
        <f t="shared" si="280"/>
        <v>0</v>
      </c>
      <c r="BQ78" s="53"/>
      <c r="BR78" s="53">
        <f t="shared" si="281"/>
        <v>13</v>
      </c>
      <c r="BS78" s="53">
        <f t="shared" si="282"/>
        <v>51.300000000000004</v>
      </c>
      <c r="BT78" s="53">
        <f t="shared" si="283"/>
        <v>11</v>
      </c>
      <c r="BU78" s="53">
        <f t="shared" si="192"/>
        <v>36144.00000000001</v>
      </c>
      <c r="BV78" s="53"/>
      <c r="BW78" s="53">
        <f t="shared" si="284"/>
        <v>23400</v>
      </c>
      <c r="BX78" s="53">
        <f t="shared" si="285"/>
        <v>-30474.000000000007</v>
      </c>
      <c r="BY78" s="53">
        <f t="shared" si="193"/>
        <v>-27142.366436179673</v>
      </c>
      <c r="BZ78" s="240">
        <f t="shared" si="286"/>
        <v>8.2337</v>
      </c>
      <c r="CC78" s="1">
        <f t="shared" si="194"/>
        <v>0</v>
      </c>
      <c r="CD78" s="195">
        <f t="shared" si="195"/>
        <v>5746.4</v>
      </c>
      <c r="CE78" s="195">
        <f t="shared" si="196"/>
        <v>5746.4</v>
      </c>
      <c r="CF78" s="239">
        <f t="shared" si="197"/>
        <v>2.9</v>
      </c>
      <c r="CG78" s="239">
        <f t="shared" si="197"/>
        <v>19.92</v>
      </c>
      <c r="CH78" s="1">
        <f t="shared" si="287"/>
        <v>9561.6</v>
      </c>
      <c r="CK78" s="211">
        <f t="shared" si="198"/>
        <v>0</v>
      </c>
      <c r="CL78" s="211">
        <f t="shared" si="199"/>
        <v>0</v>
      </c>
      <c r="CM78" s="211">
        <f t="shared" si="200"/>
        <v>0</v>
      </c>
      <c r="CQ78" s="1">
        <f t="shared" si="288"/>
        <v>1</v>
      </c>
      <c r="CR78" s="195">
        <f t="shared" si="201"/>
        <v>10000</v>
      </c>
      <c r="CS78" s="195"/>
      <c r="CT78" s="195"/>
      <c r="CV78" s="199">
        <f t="shared" si="202"/>
        <v>99.56972929617002</v>
      </c>
      <c r="CW78" s="199">
        <f t="shared" si="203"/>
        <v>35.045101263284536</v>
      </c>
      <c r="CX78" s="199">
        <f t="shared" si="204"/>
        <v>68.90234609985963</v>
      </c>
      <c r="CY78" s="199">
        <f t="shared" si="205"/>
        <v>0</v>
      </c>
      <c r="CZ78" s="199">
        <f t="shared" si="206"/>
        <v>0</v>
      </c>
      <c r="DA78" s="199">
        <f t="shared" si="207"/>
        <v>0</v>
      </c>
      <c r="DB78" s="199">
        <f t="shared" si="208"/>
        <v>18.634664527772205</v>
      </c>
      <c r="DC78" s="199">
        <f t="shared" si="209"/>
        <v>0</v>
      </c>
      <c r="DD78" s="199">
        <f t="shared" si="210"/>
        <v>6.133476639262081</v>
      </c>
      <c r="DE78" s="199">
        <f t="shared" si="211"/>
        <v>0</v>
      </c>
      <c r="DF78" s="199">
        <f t="shared" si="212"/>
        <v>0</v>
      </c>
      <c r="DG78" s="199">
        <f t="shared" si="213"/>
        <v>26.526569079606976</v>
      </c>
      <c r="DH78" s="199">
        <f t="shared" si="214"/>
        <v>38.994056547022254</v>
      </c>
      <c r="DI78" s="199">
        <f t="shared" si="215"/>
        <v>0</v>
      </c>
      <c r="DJ78" s="199">
        <f t="shared" si="216"/>
        <v>5.465474233005814</v>
      </c>
      <c r="DK78" s="199">
        <f t="shared" si="217"/>
        <v>6.148658512131541</v>
      </c>
      <c r="DL78" s="199">
        <f t="shared" si="218"/>
        <v>0</v>
      </c>
      <c r="DM78" s="199">
        <f t="shared" si="219"/>
        <v>0</v>
      </c>
      <c r="DN78" s="199">
        <f t="shared" si="220"/>
        <v>3.7575135351914977</v>
      </c>
      <c r="DO78" s="199">
        <f t="shared" si="221"/>
        <v>0</v>
      </c>
      <c r="DP78" s="199">
        <f t="shared" si="222"/>
        <v>8.813077200721876</v>
      </c>
      <c r="DQ78" s="199">
        <f t="shared" si="223"/>
        <v>0</v>
      </c>
      <c r="DR78" s="199">
        <f t="shared" si="224"/>
        <v>1.9669701223180267</v>
      </c>
      <c r="DS78" s="199">
        <f t="shared" si="225"/>
        <v>27.057100461199116</v>
      </c>
      <c r="DT78" s="199">
        <f t="shared" si="226"/>
        <v>0</v>
      </c>
      <c r="DU78" s="199">
        <f t="shared" si="227"/>
        <v>0.00291959093643473</v>
      </c>
      <c r="DV78" s="199">
        <f t="shared" si="228"/>
        <v>0.00291959093643473</v>
      </c>
      <c r="DW78" s="199">
        <f t="shared" si="229"/>
        <v>0</v>
      </c>
      <c r="DX78" s="199">
        <f t="shared" si="230"/>
        <v>0.7120465209544815</v>
      </c>
      <c r="DY78" s="199">
        <f t="shared" si="231"/>
        <v>0</v>
      </c>
      <c r="DZ78" s="199">
        <f t="shared" si="232"/>
        <v>0.060523954281130936</v>
      </c>
      <c r="EA78" s="199">
        <f t="shared" si="233"/>
        <v>85.7350756716262</v>
      </c>
      <c r="EB78" s="199">
        <f t="shared" si="234"/>
        <v>10.533256056274313</v>
      </c>
      <c r="EC78" s="202">
        <f t="shared" si="184"/>
        <v>444.0614789025544</v>
      </c>
      <c r="ED78" s="202">
        <f>SUM(CV78:DI78,DS78:DT78,DW78,DY78,EA78:EB78)</f>
        <v>417.13137564207733</v>
      </c>
      <c r="EE78" s="203">
        <f t="shared" si="235"/>
        <v>69.04895787272481</v>
      </c>
      <c r="EF78" s="199"/>
      <c r="EI78" s="1">
        <f t="shared" si="236"/>
        <v>0.5699766927982697</v>
      </c>
      <c r="EJ78" s="1">
        <f t="shared" si="237"/>
        <v>0.010606863429336002</v>
      </c>
      <c r="EK78" s="1">
        <f t="shared" si="238"/>
        <v>0.24682268761392</v>
      </c>
      <c r="EL78" s="1">
        <f t="shared" si="239"/>
        <v>0</v>
      </c>
      <c r="EM78" s="1">
        <f t="shared" si="240"/>
        <v>0</v>
      </c>
      <c r="EN78" s="1">
        <f t="shared" si="241"/>
        <v>0</v>
      </c>
      <c r="EO78" s="1">
        <f t="shared" si="242"/>
        <v>0.2644897670328</v>
      </c>
      <c r="EP78" s="1">
        <f t="shared" si="243"/>
        <v>0</v>
      </c>
      <c r="EQ78" s="1">
        <f t="shared" si="244"/>
        <v>0.21621849683808003</v>
      </c>
      <c r="ER78" s="1">
        <f t="shared" si="245"/>
        <v>0</v>
      </c>
      <c r="ES78" s="1">
        <f t="shared" si="246"/>
        <v>0</v>
      </c>
      <c r="ET78" s="1">
        <f t="shared" si="247"/>
        <v>0.14589546715944002</v>
      </c>
      <c r="EU78" s="1">
        <f t="shared" si="248"/>
        <v>0.14589546715944002</v>
      </c>
      <c r="EV78" s="1">
        <f t="shared" si="249"/>
        <v>0</v>
      </c>
      <c r="EW78" s="1">
        <f t="shared" si="250"/>
        <v>0.10099701098903999</v>
      </c>
      <c r="EX78" s="1">
        <f t="shared" si="251"/>
        <v>0.10099701098903999</v>
      </c>
      <c r="EY78" s="1">
        <f t="shared" si="252"/>
        <v>0</v>
      </c>
      <c r="EZ78" s="1">
        <f t="shared" si="253"/>
        <v>0</v>
      </c>
      <c r="FA78" s="1">
        <f t="shared" si="254"/>
        <v>0.059350736407200004</v>
      </c>
      <c r="FB78" s="1">
        <f t="shared" si="255"/>
        <v>0</v>
      </c>
      <c r="FC78" s="1">
        <f t="shared" si="256"/>
        <v>0.10099701098903999</v>
      </c>
      <c r="FD78" s="1">
        <f t="shared" si="257"/>
        <v>0</v>
      </c>
      <c r="FE78" s="1">
        <f t="shared" si="258"/>
        <v>0.059350736407200004</v>
      </c>
      <c r="FF78" s="1">
        <f t="shared" si="259"/>
        <v>0.059350736407200004</v>
      </c>
      <c r="FG78" s="1">
        <f t="shared" si="260"/>
        <v>0</v>
      </c>
      <c r="FH78" s="1">
        <f t="shared" si="261"/>
        <v>0</v>
      </c>
      <c r="FI78" s="1">
        <f t="shared" si="262"/>
        <v>0</v>
      </c>
      <c r="FJ78" s="1">
        <f t="shared" si="263"/>
        <v>0</v>
      </c>
      <c r="FK78" s="1">
        <f t="shared" si="264"/>
        <v>0</v>
      </c>
      <c r="FL78" s="1">
        <f t="shared" si="265"/>
        <v>0</v>
      </c>
      <c r="FM78" s="1">
        <f t="shared" si="266"/>
        <v>0.0057571153094400015</v>
      </c>
      <c r="FN78" s="1">
        <f t="shared" si="267"/>
        <v>7.46760736344</v>
      </c>
      <c r="FO78" s="1">
        <f>IF(O78=0,0,SUM(EI78:FN78))</f>
        <v>9.554313162969445</v>
      </c>
    </row>
    <row r="79" spans="1:171" ht="12.75">
      <c r="A79" s="24">
        <v>65</v>
      </c>
      <c r="B79" s="25" t="s">
        <v>117</v>
      </c>
      <c r="C79" s="25" t="s">
        <v>225</v>
      </c>
      <c r="D79" s="26" t="s">
        <v>216</v>
      </c>
      <c r="E79" s="26">
        <v>3</v>
      </c>
      <c r="F79" s="26" t="s">
        <v>211</v>
      </c>
      <c r="G79" s="26" t="s">
        <v>74</v>
      </c>
      <c r="H79" s="26" t="s">
        <v>75</v>
      </c>
      <c r="I79" s="26">
        <v>3</v>
      </c>
      <c r="J79" s="26"/>
      <c r="K79" s="26">
        <f t="shared" si="268"/>
        <v>1</v>
      </c>
      <c r="L79" s="26">
        <f t="shared" si="269"/>
        <v>1</v>
      </c>
      <c r="M79" s="24">
        <v>300345</v>
      </c>
      <c r="N79" s="24">
        <v>903609</v>
      </c>
      <c r="O79" s="27">
        <f t="shared" si="270"/>
        <v>245000</v>
      </c>
      <c r="P79" s="28">
        <v>245000</v>
      </c>
      <c r="Q79" s="28">
        <v>275000</v>
      </c>
      <c r="R79" s="28">
        <v>134000</v>
      </c>
      <c r="S79" s="29">
        <v>37400</v>
      </c>
      <c r="T79" s="29">
        <v>0</v>
      </c>
      <c r="U79" s="29">
        <v>0</v>
      </c>
      <c r="V79" s="29">
        <v>0</v>
      </c>
      <c r="W79" s="28">
        <v>131000</v>
      </c>
      <c r="X79" s="29">
        <v>0</v>
      </c>
      <c r="Y79" s="29">
        <v>0</v>
      </c>
      <c r="Z79" s="28">
        <v>0</v>
      </c>
      <c r="AA79" s="29">
        <v>0</v>
      </c>
      <c r="AB79" s="28">
        <v>48500</v>
      </c>
      <c r="AC79" s="28">
        <v>0</v>
      </c>
      <c r="AD79" s="28">
        <v>35000</v>
      </c>
      <c r="AE79" s="28">
        <v>50000</v>
      </c>
      <c r="AF79" s="28">
        <v>87000</v>
      </c>
      <c r="AG79" s="28">
        <v>0</v>
      </c>
      <c r="AH79" s="28">
        <v>81000</v>
      </c>
      <c r="AI79" s="28">
        <v>0</v>
      </c>
      <c r="AJ79" s="28">
        <v>0</v>
      </c>
      <c r="AK79" s="28">
        <v>106000</v>
      </c>
      <c r="AL79" s="28">
        <v>0</v>
      </c>
      <c r="AM79" s="30">
        <v>28000</v>
      </c>
      <c r="AN79" s="31">
        <v>0</v>
      </c>
      <c r="AO79" s="30">
        <v>30000</v>
      </c>
      <c r="AP79" s="31">
        <v>24000</v>
      </c>
      <c r="AQ79" s="31">
        <v>21000</v>
      </c>
      <c r="AR79" s="31">
        <v>0</v>
      </c>
      <c r="AS79" s="31">
        <v>12900</v>
      </c>
      <c r="AT79" s="31">
        <v>0</v>
      </c>
      <c r="AU79" s="30">
        <v>790</v>
      </c>
      <c r="AX79" s="2">
        <f t="shared" si="271"/>
        <v>204248</v>
      </c>
      <c r="AY79" s="32">
        <f t="shared" si="185"/>
        <v>181966.4</v>
      </c>
      <c r="AZ79" s="186">
        <f t="shared" si="186"/>
        <v>0.43041608946933585</v>
      </c>
      <c r="BA79" s="186">
        <f t="shared" si="187"/>
        <v>0.08214614971485576</v>
      </c>
      <c r="BB79" s="186">
        <f t="shared" si="188"/>
        <v>0.3013649779476315</v>
      </c>
      <c r="BC79" s="53">
        <f t="shared" si="272"/>
        <v>245000</v>
      </c>
      <c r="BD79" s="53">
        <f t="shared" si="189"/>
        <v>96226.3758408365</v>
      </c>
      <c r="BE79" s="53">
        <f t="shared" si="190"/>
        <v>18365.08083627874</v>
      </c>
      <c r="BF79" s="53">
        <f t="shared" si="191"/>
        <v>67374.94332288475</v>
      </c>
      <c r="BG79" s="53"/>
      <c r="BH79" s="53">
        <f t="shared" si="273"/>
        <v>10</v>
      </c>
      <c r="BI79" s="53">
        <f t="shared" si="274"/>
        <v>7</v>
      </c>
      <c r="BJ79" s="53">
        <f t="shared" si="275"/>
        <v>4</v>
      </c>
      <c r="BK79" s="53">
        <f t="shared" si="276"/>
        <v>6</v>
      </c>
      <c r="BL79" s="53"/>
      <c r="BM79" s="53">
        <f t="shared" si="277"/>
        <v>4</v>
      </c>
      <c r="BN79" s="53">
        <f t="shared" si="278"/>
        <v>3</v>
      </c>
      <c r="BO79" s="53">
        <f t="shared" si="279"/>
        <v>2</v>
      </c>
      <c r="BP79" s="53">
        <f t="shared" si="280"/>
        <v>0</v>
      </c>
      <c r="BQ79" s="53"/>
      <c r="BR79" s="53">
        <f t="shared" si="281"/>
        <v>13</v>
      </c>
      <c r="BS79" s="53">
        <f t="shared" si="282"/>
        <v>51.300000000000004</v>
      </c>
      <c r="BT79" s="53">
        <f t="shared" si="283"/>
        <v>11</v>
      </c>
      <c r="BU79" s="53">
        <f t="shared" si="192"/>
        <v>36144.00000000001</v>
      </c>
      <c r="BV79" s="53"/>
      <c r="BW79" s="53">
        <f t="shared" si="284"/>
        <v>23400</v>
      </c>
      <c r="BX79" s="53">
        <f t="shared" si="285"/>
        <v>-30474.000000000007</v>
      </c>
      <c r="BY79" s="53">
        <f t="shared" si="193"/>
        <v>-27142.366436179673</v>
      </c>
      <c r="BZ79" s="240">
        <f t="shared" si="286"/>
        <v>8.2337</v>
      </c>
      <c r="CC79" s="1">
        <f t="shared" si="194"/>
        <v>0</v>
      </c>
      <c r="CD79" s="195">
        <f t="shared" si="195"/>
        <v>8619.599999999999</v>
      </c>
      <c r="CE79" s="195">
        <f t="shared" si="196"/>
        <v>8619.599999999999</v>
      </c>
      <c r="CF79" s="239">
        <f t="shared" si="197"/>
        <v>4.35</v>
      </c>
      <c r="CG79" s="239">
        <f t="shared" si="197"/>
        <v>29.880000000000003</v>
      </c>
      <c r="CH79" s="1">
        <f t="shared" si="287"/>
        <v>14342.400000000001</v>
      </c>
      <c r="CK79" s="211">
        <f t="shared" si="198"/>
        <v>0</v>
      </c>
      <c r="CL79" s="211">
        <f t="shared" si="199"/>
        <v>0</v>
      </c>
      <c r="CM79" s="211">
        <f t="shared" si="200"/>
        <v>0</v>
      </c>
      <c r="CQ79" s="1">
        <f t="shared" si="288"/>
        <v>1</v>
      </c>
      <c r="CR79" s="195">
        <f t="shared" si="201"/>
        <v>10000</v>
      </c>
      <c r="CS79" s="195"/>
      <c r="CT79" s="195"/>
      <c r="CV79" s="199">
        <f t="shared" si="202"/>
        <v>139.7024263084018</v>
      </c>
      <c r="CW79" s="199">
        <f t="shared" si="203"/>
        <v>40.2403047924604</v>
      </c>
      <c r="CX79" s="199">
        <f t="shared" si="204"/>
        <v>73.62707840385</v>
      </c>
      <c r="CY79" s="199">
        <f t="shared" si="205"/>
        <v>0</v>
      </c>
      <c r="CZ79" s="199">
        <f t="shared" si="206"/>
        <v>0</v>
      </c>
      <c r="DA79" s="199">
        <f t="shared" si="207"/>
        <v>0</v>
      </c>
      <c r="DB79" s="199">
        <f t="shared" si="208"/>
        <v>34.09414878684579</v>
      </c>
      <c r="DC79" s="199">
        <f t="shared" si="209"/>
        <v>0</v>
      </c>
      <c r="DD79" s="199">
        <f t="shared" si="210"/>
        <v>0</v>
      </c>
      <c r="DE79" s="199">
        <f t="shared" si="211"/>
        <v>0</v>
      </c>
      <c r="DF79" s="199">
        <f t="shared" si="212"/>
        <v>0</v>
      </c>
      <c r="DG79" s="199">
        <f t="shared" si="213"/>
        <v>64.32693001804691</v>
      </c>
      <c r="DH79" s="199">
        <f t="shared" si="214"/>
        <v>0</v>
      </c>
      <c r="DI79" s="199">
        <f t="shared" si="215"/>
        <v>100.4339282133547</v>
      </c>
      <c r="DJ79" s="199">
        <f t="shared" si="216"/>
        <v>6.831842791257268</v>
      </c>
      <c r="DK79" s="199">
        <f t="shared" si="217"/>
        <v>11.887406456787648</v>
      </c>
      <c r="DL79" s="199">
        <f t="shared" si="218"/>
        <v>0</v>
      </c>
      <c r="DM79" s="199">
        <f t="shared" si="219"/>
        <v>11.067585321836775</v>
      </c>
      <c r="DN79" s="199">
        <f t="shared" si="220"/>
        <v>0</v>
      </c>
      <c r="DO79" s="199">
        <f t="shared" si="221"/>
        <v>0</v>
      </c>
      <c r="DP79" s="199">
        <f t="shared" si="222"/>
        <v>14.483506717465408</v>
      </c>
      <c r="DQ79" s="199">
        <f t="shared" si="223"/>
        <v>0</v>
      </c>
      <c r="DR79" s="199">
        <f t="shared" si="224"/>
        <v>4.204210948466011</v>
      </c>
      <c r="DS79" s="199">
        <f t="shared" si="225"/>
        <v>0</v>
      </c>
      <c r="DT79" s="199">
        <f t="shared" si="226"/>
        <v>86.08622418287547</v>
      </c>
      <c r="DU79" s="199">
        <f t="shared" si="227"/>
        <v>0.0070070182474433525</v>
      </c>
      <c r="DV79" s="199">
        <f t="shared" si="228"/>
        <v>0.006131140966512933</v>
      </c>
      <c r="DW79" s="199">
        <f t="shared" si="229"/>
        <v>0</v>
      </c>
      <c r="DX79" s="199">
        <f t="shared" si="230"/>
        <v>0.835036374573892</v>
      </c>
      <c r="DY79" s="199">
        <f t="shared" si="231"/>
        <v>0</v>
      </c>
      <c r="DZ79" s="199">
        <f t="shared" si="232"/>
        <v>0.051137886504912765</v>
      </c>
      <c r="EA79" s="199">
        <f t="shared" si="233"/>
        <v>105.64632763264484</v>
      </c>
      <c r="EB79" s="199">
        <f t="shared" si="234"/>
        <v>13.39169368806898</v>
      </c>
      <c r="EC79" s="202">
        <f t="shared" si="184"/>
        <v>706.9229266826546</v>
      </c>
      <c r="ED79" s="202">
        <f>SUM(CV79:DI79,DS79:DT79,DW79,DY79,EA79:EB79)</f>
        <v>657.5490620265489</v>
      </c>
      <c r="EE79" s="203">
        <f t="shared" si="235"/>
        <v>108.84598985927</v>
      </c>
      <c r="EF79" s="199"/>
      <c r="EI79" s="1">
        <f t="shared" si="236"/>
        <v>0.5699766927982697</v>
      </c>
      <c r="EJ79" s="1">
        <f t="shared" si="237"/>
        <v>0.010606863429336002</v>
      </c>
      <c r="EK79" s="1">
        <f t="shared" si="238"/>
        <v>0.24682268761392</v>
      </c>
      <c r="EL79" s="1">
        <f t="shared" si="239"/>
        <v>0</v>
      </c>
      <c r="EM79" s="1">
        <f t="shared" si="240"/>
        <v>0</v>
      </c>
      <c r="EN79" s="1">
        <f t="shared" si="241"/>
        <v>0</v>
      </c>
      <c r="EO79" s="1">
        <f t="shared" si="242"/>
        <v>0.2644897670328</v>
      </c>
      <c r="EP79" s="1">
        <f t="shared" si="243"/>
        <v>0</v>
      </c>
      <c r="EQ79" s="1">
        <f t="shared" si="244"/>
        <v>0</v>
      </c>
      <c r="ER79" s="1">
        <f t="shared" si="245"/>
        <v>0</v>
      </c>
      <c r="ES79" s="1">
        <f t="shared" si="246"/>
        <v>0</v>
      </c>
      <c r="ET79" s="1">
        <f t="shared" si="247"/>
        <v>0.14589546715944002</v>
      </c>
      <c r="EU79" s="1">
        <f t="shared" si="248"/>
        <v>0</v>
      </c>
      <c r="EV79" s="1">
        <f t="shared" si="249"/>
        <v>0</v>
      </c>
      <c r="EW79" s="1">
        <f t="shared" si="250"/>
        <v>0.10099701098903999</v>
      </c>
      <c r="EX79" s="1">
        <f t="shared" si="251"/>
        <v>0.10099701098903999</v>
      </c>
      <c r="EY79" s="1">
        <f t="shared" si="252"/>
        <v>0</v>
      </c>
      <c r="EZ79" s="1">
        <f t="shared" si="253"/>
        <v>0.10099701098903999</v>
      </c>
      <c r="FA79" s="1">
        <f t="shared" si="254"/>
        <v>0</v>
      </c>
      <c r="FB79" s="1">
        <f t="shared" si="255"/>
        <v>0</v>
      </c>
      <c r="FC79" s="1">
        <f t="shared" si="256"/>
        <v>0.10099701098903999</v>
      </c>
      <c r="FD79" s="1">
        <f t="shared" si="257"/>
        <v>0</v>
      </c>
      <c r="FE79" s="1">
        <f t="shared" si="258"/>
        <v>0.059350736407200004</v>
      </c>
      <c r="FF79" s="1">
        <f t="shared" si="259"/>
        <v>0</v>
      </c>
      <c r="FG79" s="1">
        <f t="shared" si="260"/>
        <v>0.059350736407200004</v>
      </c>
      <c r="FH79" s="1">
        <f t="shared" si="261"/>
        <v>0</v>
      </c>
      <c r="FI79" s="1">
        <f t="shared" si="262"/>
        <v>0</v>
      </c>
      <c r="FJ79" s="1">
        <f t="shared" si="263"/>
        <v>0</v>
      </c>
      <c r="FK79" s="1">
        <f t="shared" si="264"/>
        <v>0</v>
      </c>
      <c r="FL79" s="1">
        <f t="shared" si="265"/>
        <v>0</v>
      </c>
      <c r="FM79" s="1">
        <f t="shared" si="266"/>
        <v>0.0057571153094400015</v>
      </c>
      <c r="FN79" s="1">
        <f t="shared" si="267"/>
        <v>7.46760736344</v>
      </c>
      <c r="FO79" s="1">
        <f>IF(O79=0,0,SUM(EI79:FN79))</f>
        <v>9.233845473553766</v>
      </c>
    </row>
    <row r="80" spans="1:171" s="45" customFormat="1" ht="12.75">
      <c r="A80" s="24">
        <v>66</v>
      </c>
      <c r="B80" s="25" t="s">
        <v>198</v>
      </c>
      <c r="C80" s="25" t="s">
        <v>226</v>
      </c>
      <c r="D80" s="26" t="s">
        <v>216</v>
      </c>
      <c r="E80" s="26">
        <v>3</v>
      </c>
      <c r="F80" s="26" t="s">
        <v>211</v>
      </c>
      <c r="G80" s="26" t="s">
        <v>74</v>
      </c>
      <c r="H80" s="26" t="s">
        <v>75</v>
      </c>
      <c r="I80" s="26">
        <v>1</v>
      </c>
      <c r="J80" s="26"/>
      <c r="K80" s="26">
        <f t="shared" si="268"/>
        <v>1</v>
      </c>
      <c r="L80" s="26">
        <f t="shared" si="269"/>
        <v>1</v>
      </c>
      <c r="M80" s="24">
        <v>300706</v>
      </c>
      <c r="N80" s="24">
        <v>905500</v>
      </c>
      <c r="O80" s="27">
        <f t="shared" si="270"/>
        <v>235000</v>
      </c>
      <c r="P80" s="28">
        <v>235000</v>
      </c>
      <c r="Q80" s="28">
        <v>255000</v>
      </c>
      <c r="R80" s="28">
        <v>119400</v>
      </c>
      <c r="S80" s="29">
        <v>0</v>
      </c>
      <c r="T80" s="29">
        <v>0</v>
      </c>
      <c r="U80" s="29">
        <v>0</v>
      </c>
      <c r="V80" s="29">
        <v>0</v>
      </c>
      <c r="W80" s="28">
        <v>92000</v>
      </c>
      <c r="X80" s="29">
        <v>0</v>
      </c>
      <c r="Y80" s="29">
        <v>0</v>
      </c>
      <c r="Z80" s="28">
        <v>0</v>
      </c>
      <c r="AA80" s="29">
        <v>52000</v>
      </c>
      <c r="AB80" s="28">
        <v>0</v>
      </c>
      <c r="AC80" s="28">
        <v>40000</v>
      </c>
      <c r="AD80" s="28">
        <v>0</v>
      </c>
      <c r="AE80" s="28">
        <v>98000</v>
      </c>
      <c r="AF80" s="28">
        <v>0</v>
      </c>
      <c r="AG80" s="28">
        <v>39800</v>
      </c>
      <c r="AH80" s="28">
        <v>61000</v>
      </c>
      <c r="AI80" s="28">
        <v>0</v>
      </c>
      <c r="AJ80" s="28">
        <v>0</v>
      </c>
      <c r="AK80" s="28">
        <v>36000</v>
      </c>
      <c r="AL80" s="28">
        <v>0</v>
      </c>
      <c r="AM80" s="30">
        <v>16500</v>
      </c>
      <c r="AN80" s="31">
        <v>0</v>
      </c>
      <c r="AO80" s="30">
        <v>0</v>
      </c>
      <c r="AP80" s="31">
        <v>0</v>
      </c>
      <c r="AQ80" s="31">
        <v>12500</v>
      </c>
      <c r="AR80" s="31">
        <v>0</v>
      </c>
      <c r="AS80" s="31">
        <v>0</v>
      </c>
      <c r="AT80" s="31">
        <v>63</v>
      </c>
      <c r="AU80" s="30">
        <v>728</v>
      </c>
      <c r="AW80" s="1"/>
      <c r="AX80" s="2">
        <f t="shared" si="271"/>
        <v>224400</v>
      </c>
      <c r="AY80" s="32">
        <f t="shared" si="185"/>
        <v>206800</v>
      </c>
      <c r="AZ80" s="186">
        <f t="shared" si="186"/>
        <v>0.43041608946933585</v>
      </c>
      <c r="BA80" s="186">
        <f t="shared" si="187"/>
        <v>0.08214614971485576</v>
      </c>
      <c r="BB80" s="186">
        <f t="shared" si="188"/>
        <v>0.3013649779476315</v>
      </c>
      <c r="BC80" s="53">
        <f t="shared" si="272"/>
        <v>235000</v>
      </c>
      <c r="BD80" s="53">
        <f t="shared" si="189"/>
        <v>109358.73064414633</v>
      </c>
      <c r="BE80" s="53">
        <f t="shared" si="190"/>
        <v>20871.428554625705</v>
      </c>
      <c r="BF80" s="53">
        <f t="shared" si="191"/>
        <v>76569.84080122795</v>
      </c>
      <c r="BG80" s="53"/>
      <c r="BH80" s="53">
        <f t="shared" si="273"/>
        <v>9</v>
      </c>
      <c r="BI80" s="53">
        <f t="shared" si="274"/>
        <v>8</v>
      </c>
      <c r="BJ80" s="53">
        <f t="shared" si="275"/>
        <v>5</v>
      </c>
      <c r="BK80" s="53">
        <f t="shared" si="276"/>
        <v>7</v>
      </c>
      <c r="BL80" s="53"/>
      <c r="BM80" s="53">
        <f t="shared" si="277"/>
        <v>4</v>
      </c>
      <c r="BN80" s="53">
        <f t="shared" si="278"/>
        <v>4</v>
      </c>
      <c r="BO80" s="53">
        <f t="shared" si="279"/>
        <v>2</v>
      </c>
      <c r="BP80" s="53">
        <f t="shared" si="280"/>
        <v>0</v>
      </c>
      <c r="BQ80" s="53"/>
      <c r="BR80" s="53">
        <f t="shared" si="281"/>
        <v>13</v>
      </c>
      <c r="BS80" s="53">
        <f t="shared" si="282"/>
        <v>68.4</v>
      </c>
      <c r="BT80" s="53">
        <f t="shared" si="283"/>
        <v>11</v>
      </c>
      <c r="BU80" s="53">
        <f t="shared" si="192"/>
        <v>44352</v>
      </c>
      <c r="BV80" s="53"/>
      <c r="BW80" s="53">
        <f t="shared" si="284"/>
        <v>26000</v>
      </c>
      <c r="BX80" s="53">
        <f t="shared" si="285"/>
        <v>-38052</v>
      </c>
      <c r="BY80" s="53">
        <f t="shared" si="193"/>
        <v>-34350.184929088515</v>
      </c>
      <c r="BZ80" s="240">
        <f t="shared" si="286"/>
        <v>10.0976</v>
      </c>
      <c r="CC80" s="1">
        <f t="shared" si="194"/>
        <v>0</v>
      </c>
      <c r="CD80" s="195">
        <f t="shared" si="195"/>
        <v>8619.599999999999</v>
      </c>
      <c r="CE80" s="195">
        <f t="shared" si="196"/>
        <v>8619.599999999999</v>
      </c>
      <c r="CF80" s="239">
        <f t="shared" si="197"/>
        <v>4.35</v>
      </c>
      <c r="CG80" s="239">
        <f t="shared" si="197"/>
        <v>29.880000000000003</v>
      </c>
      <c r="CH80" s="1">
        <f t="shared" si="287"/>
        <v>14342.400000000001</v>
      </c>
      <c r="CI80" s="1"/>
      <c r="CJ80" s="1"/>
      <c r="CK80" s="211">
        <f t="shared" si="198"/>
        <v>0</v>
      </c>
      <c r="CL80" s="211">
        <f t="shared" si="199"/>
        <v>0</v>
      </c>
      <c r="CM80" s="211">
        <f t="shared" si="200"/>
        <v>0</v>
      </c>
      <c r="CN80" s="1"/>
      <c r="CO80" s="1"/>
      <c r="CP80" s="1"/>
      <c r="CQ80" s="1">
        <f t="shared" si="288"/>
        <v>1</v>
      </c>
      <c r="CR80" s="195">
        <f t="shared" si="201"/>
        <v>10000</v>
      </c>
      <c r="CS80" s="195"/>
      <c r="CT80" s="195"/>
      <c r="CU80" s="1"/>
      <c r="CV80" s="199">
        <f t="shared" si="202"/>
        <v>129.54224984960896</v>
      </c>
      <c r="CW80" s="199">
        <f t="shared" si="203"/>
        <v>35.85591337477441</v>
      </c>
      <c r="CX80" s="199">
        <f t="shared" si="204"/>
        <v>0</v>
      </c>
      <c r="CY80" s="199">
        <f t="shared" si="205"/>
        <v>0</v>
      </c>
      <c r="CZ80" s="199">
        <f t="shared" si="206"/>
        <v>0</v>
      </c>
      <c r="DA80" s="199">
        <f t="shared" si="207"/>
        <v>0</v>
      </c>
      <c r="DB80" s="199">
        <f t="shared" si="208"/>
        <v>23.943982354120713</v>
      </c>
      <c r="DC80" s="199">
        <f t="shared" si="209"/>
        <v>0</v>
      </c>
      <c r="DD80" s="199">
        <f t="shared" si="210"/>
        <v>0</v>
      </c>
      <c r="DE80" s="199">
        <f t="shared" si="211"/>
        <v>0</v>
      </c>
      <c r="DF80" s="199">
        <f t="shared" si="212"/>
        <v>15.78914778423902</v>
      </c>
      <c r="DG80" s="199">
        <f t="shared" si="213"/>
        <v>0</v>
      </c>
      <c r="DH80" s="199">
        <f t="shared" si="214"/>
        <v>53.05313815921395</v>
      </c>
      <c r="DI80" s="199">
        <f t="shared" si="215"/>
        <v>0</v>
      </c>
      <c r="DJ80" s="199">
        <f t="shared" si="216"/>
        <v>13.390411870864247</v>
      </c>
      <c r="DK80" s="199">
        <f t="shared" si="217"/>
        <v>0</v>
      </c>
      <c r="DL80" s="199">
        <f t="shared" si="218"/>
        <v>5.438146861840785</v>
      </c>
      <c r="DM80" s="199">
        <f t="shared" si="219"/>
        <v>8.334848205333866</v>
      </c>
      <c r="DN80" s="199">
        <f t="shared" si="220"/>
        <v>0</v>
      </c>
      <c r="DO80" s="199">
        <f t="shared" si="221"/>
        <v>0</v>
      </c>
      <c r="DP80" s="199">
        <f t="shared" si="222"/>
        <v>4.918926809705233</v>
      </c>
      <c r="DQ80" s="199">
        <f t="shared" si="223"/>
        <v>0</v>
      </c>
      <c r="DR80" s="199">
        <f t="shared" si="224"/>
        <v>2.4774814517746138</v>
      </c>
      <c r="DS80" s="199">
        <f t="shared" si="225"/>
        <v>0</v>
      </c>
      <c r="DT80" s="199">
        <f t="shared" si="226"/>
        <v>0</v>
      </c>
      <c r="DU80" s="199">
        <f t="shared" si="227"/>
        <v>0</v>
      </c>
      <c r="DV80" s="199">
        <f t="shared" si="228"/>
        <v>0.0036494886705434122</v>
      </c>
      <c r="DW80" s="199">
        <f t="shared" si="229"/>
        <v>0</v>
      </c>
      <c r="DX80" s="199">
        <f t="shared" si="230"/>
        <v>0</v>
      </c>
      <c r="DY80" s="199">
        <f t="shared" si="231"/>
        <v>2.606610788048927</v>
      </c>
      <c r="DZ80" s="199">
        <f t="shared" si="232"/>
        <v>0.047124533386805695</v>
      </c>
      <c r="EA80" s="199">
        <f t="shared" si="233"/>
        <v>120.06425666733506</v>
      </c>
      <c r="EB80" s="199">
        <f t="shared" si="234"/>
        <v>13.856945819129736</v>
      </c>
      <c r="EC80" s="202">
        <f t="shared" si="184"/>
        <v>429.3228340180469</v>
      </c>
      <c r="ED80" s="202">
        <f>SUM(CV80:DI80,DS80:DT80,DW80,DY80,EA80:EB80)</f>
        <v>394.7122447964709</v>
      </c>
      <c r="EE80" s="203">
        <f t="shared" si="235"/>
        <v>65.33785458082171</v>
      </c>
      <c r="EF80" s="199"/>
      <c r="EI80" s="1">
        <f t="shared" si="236"/>
        <v>0.5699766927982697</v>
      </c>
      <c r="EJ80" s="1">
        <f t="shared" si="237"/>
        <v>0.010606863429336002</v>
      </c>
      <c r="EK80" s="1">
        <f t="shared" si="238"/>
        <v>0</v>
      </c>
      <c r="EL80" s="1">
        <f t="shared" si="239"/>
        <v>0</v>
      </c>
      <c r="EM80" s="1">
        <f t="shared" si="240"/>
        <v>0</v>
      </c>
      <c r="EN80" s="1">
        <f t="shared" si="241"/>
        <v>0</v>
      </c>
      <c r="EO80" s="1">
        <f t="shared" si="242"/>
        <v>0.2644897670328</v>
      </c>
      <c r="EP80" s="1">
        <f t="shared" si="243"/>
        <v>0</v>
      </c>
      <c r="EQ80" s="1">
        <f t="shared" si="244"/>
        <v>0.21621849683808003</v>
      </c>
      <c r="ER80" s="1">
        <f t="shared" si="245"/>
        <v>0</v>
      </c>
      <c r="ES80" s="1">
        <f t="shared" si="246"/>
        <v>0</v>
      </c>
      <c r="ET80" s="1">
        <f t="shared" si="247"/>
        <v>0</v>
      </c>
      <c r="EU80" s="1">
        <f t="shared" si="248"/>
        <v>0.14589546715944002</v>
      </c>
      <c r="EV80" s="1">
        <f t="shared" si="249"/>
        <v>0</v>
      </c>
      <c r="EW80" s="1">
        <f t="shared" si="250"/>
        <v>0.10099701098903999</v>
      </c>
      <c r="EX80" s="1">
        <f t="shared" si="251"/>
        <v>0</v>
      </c>
      <c r="EY80" s="1">
        <f t="shared" si="252"/>
        <v>0.10099701098903999</v>
      </c>
      <c r="EZ80" s="1">
        <f t="shared" si="253"/>
        <v>0.10099701098903999</v>
      </c>
      <c r="FA80" s="1">
        <f t="shared" si="254"/>
        <v>0</v>
      </c>
      <c r="FB80" s="1">
        <f t="shared" si="255"/>
        <v>0</v>
      </c>
      <c r="FC80" s="1">
        <f t="shared" si="256"/>
        <v>0.10099701098903999</v>
      </c>
      <c r="FD80" s="1">
        <f t="shared" si="257"/>
        <v>0</v>
      </c>
      <c r="FE80" s="1">
        <f t="shared" si="258"/>
        <v>0.059350736407200004</v>
      </c>
      <c r="FF80" s="1">
        <f t="shared" si="259"/>
        <v>0</v>
      </c>
      <c r="FG80" s="1">
        <f t="shared" si="260"/>
        <v>0</v>
      </c>
      <c r="FH80" s="1">
        <f t="shared" si="261"/>
        <v>0</v>
      </c>
      <c r="FI80" s="1">
        <f t="shared" si="262"/>
        <v>0</v>
      </c>
      <c r="FJ80" s="1">
        <f t="shared" si="263"/>
        <v>0</v>
      </c>
      <c r="FK80" s="1">
        <f t="shared" si="264"/>
        <v>0</v>
      </c>
      <c r="FL80" s="1">
        <f t="shared" si="265"/>
        <v>4.263919336981805</v>
      </c>
      <c r="FM80" s="1">
        <f t="shared" si="266"/>
        <v>0.0057571153094400015</v>
      </c>
      <c r="FN80" s="1">
        <f t="shared" si="267"/>
        <v>7.46760736344</v>
      </c>
      <c r="FO80" s="1">
        <f>IF(O80=0,0,SUM(EI80:FN80))</f>
        <v>13.407809883352531</v>
      </c>
    </row>
    <row r="81" spans="1:171" s="45" customFormat="1" ht="12.75">
      <c r="A81" s="24">
        <v>67</v>
      </c>
      <c r="B81" s="25" t="s">
        <v>227</v>
      </c>
      <c r="C81" s="25" t="s">
        <v>228</v>
      </c>
      <c r="D81" s="26" t="s">
        <v>216</v>
      </c>
      <c r="E81" s="26">
        <v>3</v>
      </c>
      <c r="F81" s="26" t="s">
        <v>211</v>
      </c>
      <c r="G81" s="26" t="s">
        <v>74</v>
      </c>
      <c r="H81" s="26" t="s">
        <v>75</v>
      </c>
      <c r="I81" s="26">
        <v>3</v>
      </c>
      <c r="J81" s="26"/>
      <c r="K81" s="26">
        <f t="shared" si="268"/>
        <v>1</v>
      </c>
      <c r="L81" s="26">
        <f t="shared" si="269"/>
        <v>1</v>
      </c>
      <c r="M81" s="24">
        <v>300030</v>
      </c>
      <c r="N81" s="24">
        <v>902400</v>
      </c>
      <c r="O81" s="27">
        <f t="shared" si="270"/>
        <v>226500</v>
      </c>
      <c r="P81" s="28">
        <v>226500</v>
      </c>
      <c r="Q81" s="28">
        <v>242000</v>
      </c>
      <c r="R81" s="28">
        <v>86500</v>
      </c>
      <c r="S81" s="29">
        <v>23600</v>
      </c>
      <c r="T81" s="29">
        <v>0</v>
      </c>
      <c r="U81" s="29">
        <v>0</v>
      </c>
      <c r="V81" s="29">
        <v>0</v>
      </c>
      <c r="W81" s="28">
        <v>114000</v>
      </c>
      <c r="X81" s="29">
        <v>0</v>
      </c>
      <c r="Y81" s="29">
        <v>0</v>
      </c>
      <c r="Z81" s="28">
        <v>34000</v>
      </c>
      <c r="AA81" s="29">
        <v>0</v>
      </c>
      <c r="AB81" s="28">
        <v>40000</v>
      </c>
      <c r="AC81" s="28">
        <v>22000</v>
      </c>
      <c r="AD81" s="28">
        <v>0</v>
      </c>
      <c r="AE81" s="28">
        <v>38500</v>
      </c>
      <c r="AF81" s="28">
        <v>73000</v>
      </c>
      <c r="AG81" s="28">
        <v>0</v>
      </c>
      <c r="AH81" s="28">
        <v>55000</v>
      </c>
      <c r="AI81" s="28">
        <v>0</v>
      </c>
      <c r="AJ81" s="28">
        <v>0</v>
      </c>
      <c r="AK81" s="28">
        <v>0</v>
      </c>
      <c r="AL81" s="28">
        <v>0</v>
      </c>
      <c r="AM81" s="30">
        <v>16800</v>
      </c>
      <c r="AN81" s="31">
        <v>0</v>
      </c>
      <c r="AO81" s="30">
        <v>0</v>
      </c>
      <c r="AP81" s="31">
        <v>0</v>
      </c>
      <c r="AQ81" s="31">
        <v>0</v>
      </c>
      <c r="AR81" s="31">
        <v>0</v>
      </c>
      <c r="AS81" s="31">
        <v>4900</v>
      </c>
      <c r="AT81" s="31">
        <v>60</v>
      </c>
      <c r="AU81" s="30">
        <v>169</v>
      </c>
      <c r="AW81" s="1"/>
      <c r="AX81" s="2">
        <f t="shared" si="271"/>
        <v>208648</v>
      </c>
      <c r="AY81" s="32">
        <f t="shared" si="185"/>
        <v>195284.18181818182</v>
      </c>
      <c r="AZ81" s="186">
        <f t="shared" si="186"/>
        <v>0.43041608946933585</v>
      </c>
      <c r="BA81" s="186">
        <f t="shared" si="187"/>
        <v>0.08214614971485576</v>
      </c>
      <c r="BB81" s="186">
        <f t="shared" si="188"/>
        <v>0.3013649779476315</v>
      </c>
      <c r="BC81" s="53">
        <f t="shared" si="272"/>
        <v>226500</v>
      </c>
      <c r="BD81" s="53">
        <f t="shared" si="189"/>
        <v>103269.00502184257</v>
      </c>
      <c r="BE81" s="53">
        <f t="shared" si="190"/>
        <v>19709.186889104054</v>
      </c>
      <c r="BF81" s="53">
        <f t="shared" si="191"/>
        <v>72305.98990723518</v>
      </c>
      <c r="BG81" s="53"/>
      <c r="BH81" s="53">
        <f t="shared" si="273"/>
        <v>9</v>
      </c>
      <c r="BI81" s="53">
        <f t="shared" si="274"/>
        <v>8</v>
      </c>
      <c r="BJ81" s="53">
        <f t="shared" si="275"/>
        <v>4</v>
      </c>
      <c r="BK81" s="53">
        <f t="shared" si="276"/>
        <v>6</v>
      </c>
      <c r="BL81" s="53"/>
      <c r="BM81" s="53">
        <f t="shared" si="277"/>
        <v>4</v>
      </c>
      <c r="BN81" s="53">
        <f t="shared" si="278"/>
        <v>4</v>
      </c>
      <c r="BO81" s="53">
        <f t="shared" si="279"/>
        <v>2</v>
      </c>
      <c r="BP81" s="53">
        <f t="shared" si="280"/>
        <v>0</v>
      </c>
      <c r="BQ81" s="53"/>
      <c r="BR81" s="53">
        <f t="shared" si="281"/>
        <v>13</v>
      </c>
      <c r="BS81" s="53">
        <f t="shared" si="282"/>
        <v>68.4</v>
      </c>
      <c r="BT81" s="53">
        <f t="shared" si="283"/>
        <v>11</v>
      </c>
      <c r="BU81" s="53">
        <f t="shared" si="192"/>
        <v>44352</v>
      </c>
      <c r="BV81" s="53"/>
      <c r="BW81" s="53">
        <f t="shared" si="284"/>
        <v>26000</v>
      </c>
      <c r="BX81" s="53">
        <f t="shared" si="285"/>
        <v>-38052</v>
      </c>
      <c r="BY81" s="53">
        <f t="shared" si="193"/>
        <v>-34350.184929088515</v>
      </c>
      <c r="BZ81" s="240">
        <f t="shared" si="286"/>
        <v>10.0976</v>
      </c>
      <c r="CC81" s="1">
        <f t="shared" si="194"/>
        <v>0</v>
      </c>
      <c r="CD81" s="195">
        <f t="shared" si="195"/>
        <v>8619.599999999999</v>
      </c>
      <c r="CE81" s="195">
        <f t="shared" si="196"/>
        <v>8619.599999999999</v>
      </c>
      <c r="CF81" s="239">
        <f t="shared" si="197"/>
        <v>4.35</v>
      </c>
      <c r="CG81" s="239">
        <f t="shared" si="197"/>
        <v>29.880000000000003</v>
      </c>
      <c r="CH81" s="1">
        <f t="shared" si="287"/>
        <v>14342.400000000001</v>
      </c>
      <c r="CI81" s="1"/>
      <c r="CJ81" s="1"/>
      <c r="CK81" s="211">
        <f t="shared" si="198"/>
        <v>0</v>
      </c>
      <c r="CL81" s="211">
        <f t="shared" si="199"/>
        <v>0</v>
      </c>
      <c r="CM81" s="211">
        <f t="shared" si="200"/>
        <v>0</v>
      </c>
      <c r="CN81" s="1"/>
      <c r="CO81" s="1"/>
      <c r="CP81" s="1"/>
      <c r="CQ81" s="1">
        <f t="shared" si="288"/>
        <v>1</v>
      </c>
      <c r="CR81" s="195">
        <f t="shared" si="201"/>
        <v>10000</v>
      </c>
      <c r="CS81" s="195"/>
      <c r="CT81" s="195"/>
      <c r="CU81" s="1"/>
      <c r="CV81" s="199">
        <f t="shared" si="202"/>
        <v>122.93813515139361</v>
      </c>
      <c r="CW81" s="199">
        <f t="shared" si="203"/>
        <v>25.976017645879285</v>
      </c>
      <c r="CX81" s="199">
        <f t="shared" si="204"/>
        <v>46.45986765590535</v>
      </c>
      <c r="CY81" s="199">
        <f t="shared" si="205"/>
        <v>0</v>
      </c>
      <c r="CZ81" s="199">
        <f t="shared" si="206"/>
        <v>0</v>
      </c>
      <c r="DA81" s="199">
        <f t="shared" si="207"/>
        <v>0</v>
      </c>
      <c r="DB81" s="199">
        <f t="shared" si="208"/>
        <v>29.669717264888707</v>
      </c>
      <c r="DC81" s="199">
        <f t="shared" si="209"/>
        <v>0</v>
      </c>
      <c r="DD81" s="199">
        <f t="shared" si="210"/>
        <v>0</v>
      </c>
      <c r="DE81" s="199">
        <f t="shared" si="211"/>
        <v>10.323673551233206</v>
      </c>
      <c r="DF81" s="199">
        <f t="shared" si="212"/>
        <v>0</v>
      </c>
      <c r="DG81" s="199">
        <f t="shared" si="213"/>
        <v>53.05313815921395</v>
      </c>
      <c r="DH81" s="199">
        <f t="shared" si="214"/>
        <v>29.179225987567673</v>
      </c>
      <c r="DI81" s="199">
        <f t="shared" si="215"/>
        <v>0</v>
      </c>
      <c r="DJ81" s="199">
        <f t="shared" si="216"/>
        <v>5.260518949268096</v>
      </c>
      <c r="DK81" s="199">
        <f t="shared" si="217"/>
        <v>9.974490475235612</v>
      </c>
      <c r="DL81" s="199">
        <f t="shared" si="218"/>
        <v>0</v>
      </c>
      <c r="DM81" s="199">
        <f t="shared" si="219"/>
        <v>7.515027070382995</v>
      </c>
      <c r="DN81" s="199">
        <f t="shared" si="220"/>
        <v>0</v>
      </c>
      <c r="DO81" s="199">
        <f t="shared" si="221"/>
        <v>0</v>
      </c>
      <c r="DP81" s="199">
        <f t="shared" si="222"/>
        <v>0</v>
      </c>
      <c r="DQ81" s="199">
        <f t="shared" si="223"/>
        <v>0</v>
      </c>
      <c r="DR81" s="199">
        <f t="shared" si="224"/>
        <v>2.5225265690796066</v>
      </c>
      <c r="DS81" s="199">
        <f t="shared" si="225"/>
        <v>0</v>
      </c>
      <c r="DT81" s="199">
        <f t="shared" si="226"/>
        <v>0</v>
      </c>
      <c r="DU81" s="199">
        <f t="shared" si="227"/>
        <v>0</v>
      </c>
      <c r="DV81" s="199">
        <f t="shared" si="228"/>
        <v>0</v>
      </c>
      <c r="DW81" s="199">
        <f t="shared" si="229"/>
        <v>0</v>
      </c>
      <c r="DX81" s="199">
        <f t="shared" si="230"/>
        <v>0.3171843593342691</v>
      </c>
      <c r="DY81" s="199">
        <f t="shared" si="231"/>
        <v>2.4824864648085017</v>
      </c>
      <c r="DZ81" s="199">
        <f t="shared" si="232"/>
        <v>0.010939623821937035</v>
      </c>
      <c r="EA81" s="199">
        <f t="shared" si="233"/>
        <v>113.37838553621232</v>
      </c>
      <c r="EB81" s="199">
        <f t="shared" si="234"/>
        <v>13.229154718923743</v>
      </c>
      <c r="EC81" s="202">
        <f t="shared" si="184"/>
        <v>472.2904891831488</v>
      </c>
      <c r="ED81" s="202">
        <f>SUM(CV81:DI81,DS81:DT81,DW81,DY81,EA81:EB81)</f>
        <v>446.68980213602634</v>
      </c>
      <c r="EE81" s="203">
        <f t="shared" si="235"/>
        <v>73.94184933317443</v>
      </c>
      <c r="EF81" s="199"/>
      <c r="EI81" s="1">
        <f t="shared" si="236"/>
        <v>0.5699766927982697</v>
      </c>
      <c r="EJ81" s="1">
        <f t="shared" si="237"/>
        <v>0.010606863429336002</v>
      </c>
      <c r="EK81" s="1">
        <f t="shared" si="238"/>
        <v>0.24682268761392</v>
      </c>
      <c r="EL81" s="1">
        <f t="shared" si="239"/>
        <v>0</v>
      </c>
      <c r="EM81" s="1">
        <f t="shared" si="240"/>
        <v>0</v>
      </c>
      <c r="EN81" s="1">
        <f t="shared" si="241"/>
        <v>0</v>
      </c>
      <c r="EO81" s="1">
        <f t="shared" si="242"/>
        <v>0.2644897670328</v>
      </c>
      <c r="EP81" s="1">
        <f t="shared" si="243"/>
        <v>0</v>
      </c>
      <c r="EQ81" s="1">
        <f t="shared" si="244"/>
        <v>0.21621849683808003</v>
      </c>
      <c r="ER81" s="1">
        <f t="shared" si="245"/>
        <v>0</v>
      </c>
      <c r="ES81" s="1">
        <f t="shared" si="246"/>
        <v>0</v>
      </c>
      <c r="ET81" s="1">
        <f t="shared" si="247"/>
        <v>0.14589546715944002</v>
      </c>
      <c r="EU81" s="1">
        <f t="shared" si="248"/>
        <v>0.14589546715944002</v>
      </c>
      <c r="EV81" s="1">
        <f t="shared" si="249"/>
        <v>0</v>
      </c>
      <c r="EW81" s="1">
        <f t="shared" si="250"/>
        <v>0.10099701098903999</v>
      </c>
      <c r="EX81" s="1">
        <f t="shared" si="251"/>
        <v>0.10099701098903999</v>
      </c>
      <c r="EY81" s="1">
        <f t="shared" si="252"/>
        <v>0</v>
      </c>
      <c r="EZ81" s="1">
        <f t="shared" si="253"/>
        <v>0.10099701098903999</v>
      </c>
      <c r="FA81" s="1">
        <f t="shared" si="254"/>
        <v>0</v>
      </c>
      <c r="FB81" s="1">
        <f t="shared" si="255"/>
        <v>0</v>
      </c>
      <c r="FC81" s="1">
        <f t="shared" si="256"/>
        <v>0</v>
      </c>
      <c r="FD81" s="1">
        <f t="shared" si="257"/>
        <v>0</v>
      </c>
      <c r="FE81" s="1">
        <f t="shared" si="258"/>
        <v>0.059350736407200004</v>
      </c>
      <c r="FF81" s="1">
        <f t="shared" si="259"/>
        <v>0</v>
      </c>
      <c r="FG81" s="1">
        <f t="shared" si="260"/>
        <v>0</v>
      </c>
      <c r="FH81" s="1">
        <f t="shared" si="261"/>
        <v>0</v>
      </c>
      <c r="FI81" s="1">
        <f t="shared" si="262"/>
        <v>0</v>
      </c>
      <c r="FJ81" s="1">
        <f t="shared" si="263"/>
        <v>0</v>
      </c>
      <c r="FK81" s="1">
        <f t="shared" si="264"/>
        <v>0</v>
      </c>
      <c r="FL81" s="1">
        <f t="shared" si="265"/>
        <v>4.263919336981805</v>
      </c>
      <c r="FM81" s="1">
        <f t="shared" si="266"/>
        <v>0.0057571153094400015</v>
      </c>
      <c r="FN81" s="1">
        <f t="shared" si="267"/>
        <v>7.46760736344</v>
      </c>
      <c r="FO81" s="1">
        <f>IF(O81=0,0,SUM(EI81:FN81))</f>
        <v>13.69953102713685</v>
      </c>
    </row>
    <row r="82" spans="1:171" s="45" customFormat="1" ht="12.75">
      <c r="A82" s="24">
        <v>68</v>
      </c>
      <c r="B82" s="25" t="s">
        <v>149</v>
      </c>
      <c r="C82" s="25" t="s">
        <v>229</v>
      </c>
      <c r="D82" s="26" t="s">
        <v>216</v>
      </c>
      <c r="E82" s="26">
        <v>3</v>
      </c>
      <c r="F82" s="26" t="s">
        <v>211</v>
      </c>
      <c r="G82" s="26" t="s">
        <v>74</v>
      </c>
      <c r="H82" s="26" t="s">
        <v>75</v>
      </c>
      <c r="I82" s="26">
        <v>3</v>
      </c>
      <c r="J82" s="26"/>
      <c r="K82" s="26">
        <f t="shared" si="268"/>
        <v>1</v>
      </c>
      <c r="L82" s="26">
        <f t="shared" si="269"/>
        <v>1</v>
      </c>
      <c r="M82" s="24">
        <v>295553</v>
      </c>
      <c r="N82" s="24">
        <v>895634</v>
      </c>
      <c r="O82" s="27">
        <f t="shared" si="270"/>
        <v>120000</v>
      </c>
      <c r="P82" s="28">
        <v>120000</v>
      </c>
      <c r="Q82" s="28">
        <v>125000</v>
      </c>
      <c r="R82" s="28">
        <v>50000</v>
      </c>
      <c r="S82" s="29">
        <v>0</v>
      </c>
      <c r="T82" s="29">
        <v>0</v>
      </c>
      <c r="U82" s="29">
        <v>0</v>
      </c>
      <c r="V82" s="29">
        <v>0</v>
      </c>
      <c r="W82" s="28">
        <v>37000</v>
      </c>
      <c r="X82" s="29">
        <v>0</v>
      </c>
      <c r="Y82" s="29">
        <v>0</v>
      </c>
      <c r="Z82" s="28">
        <v>32000</v>
      </c>
      <c r="AA82" s="29">
        <v>0</v>
      </c>
      <c r="AB82" s="28">
        <v>32000</v>
      </c>
      <c r="AC82" s="28">
        <v>0</v>
      </c>
      <c r="AD82" s="28">
        <v>18000</v>
      </c>
      <c r="AE82" s="28">
        <v>35000</v>
      </c>
      <c r="AF82" s="28">
        <v>0</v>
      </c>
      <c r="AG82" s="28">
        <v>18000</v>
      </c>
      <c r="AH82" s="28">
        <v>34000</v>
      </c>
      <c r="AI82" s="28">
        <v>0</v>
      </c>
      <c r="AJ82" s="28">
        <v>0</v>
      </c>
      <c r="AK82" s="28">
        <v>12000</v>
      </c>
      <c r="AL82" s="28">
        <v>0</v>
      </c>
      <c r="AM82" s="30">
        <v>8500</v>
      </c>
      <c r="AN82" s="31">
        <v>0</v>
      </c>
      <c r="AO82" s="30">
        <v>18000</v>
      </c>
      <c r="AP82" s="31">
        <v>0</v>
      </c>
      <c r="AQ82" s="31">
        <v>0</v>
      </c>
      <c r="AR82" s="31">
        <v>0</v>
      </c>
      <c r="AS82" s="31">
        <v>0</v>
      </c>
      <c r="AT82" s="31">
        <v>0</v>
      </c>
      <c r="AU82" s="30">
        <v>31</v>
      </c>
      <c r="AW82" s="1"/>
      <c r="AX82" s="2">
        <f t="shared" si="271"/>
        <v>94160</v>
      </c>
      <c r="AY82" s="32">
        <f t="shared" si="185"/>
        <v>90393.59999999999</v>
      </c>
      <c r="AZ82" s="186">
        <f t="shared" si="186"/>
        <v>0.43041608946933585</v>
      </c>
      <c r="BA82" s="186">
        <f t="shared" si="187"/>
        <v>0.08214614971485576</v>
      </c>
      <c r="BB82" s="186">
        <f t="shared" si="188"/>
        <v>0.3013649779476315</v>
      </c>
      <c r="BC82" s="53">
        <f t="shared" si="272"/>
        <v>120000</v>
      </c>
      <c r="BD82" s="53">
        <f t="shared" si="189"/>
        <v>47801.39919900728</v>
      </c>
      <c r="BE82" s="53">
        <f t="shared" si="190"/>
        <v>9123.034643111287</v>
      </c>
      <c r="BF82" s="53">
        <f t="shared" si="191"/>
        <v>33469.166157881424</v>
      </c>
      <c r="BG82" s="53"/>
      <c r="BH82" s="53">
        <f t="shared" si="273"/>
        <v>5</v>
      </c>
      <c r="BI82" s="53">
        <f t="shared" si="274"/>
        <v>5</v>
      </c>
      <c r="BJ82" s="53">
        <f t="shared" si="275"/>
        <v>3</v>
      </c>
      <c r="BK82" s="53">
        <f t="shared" si="276"/>
        <v>4</v>
      </c>
      <c r="BL82" s="53"/>
      <c r="BM82" s="53">
        <f t="shared" si="277"/>
        <v>2</v>
      </c>
      <c r="BN82" s="53">
        <f t="shared" si="278"/>
        <v>2</v>
      </c>
      <c r="BO82" s="53">
        <f t="shared" si="279"/>
        <v>2</v>
      </c>
      <c r="BP82" s="53">
        <f t="shared" si="280"/>
        <v>0</v>
      </c>
      <c r="BQ82" s="53"/>
      <c r="BR82" s="53">
        <f t="shared" si="281"/>
        <v>6.5</v>
      </c>
      <c r="BS82" s="53">
        <f t="shared" si="282"/>
        <v>34.2</v>
      </c>
      <c r="BT82" s="53">
        <f t="shared" si="283"/>
        <v>11</v>
      </c>
      <c r="BU82" s="53">
        <f t="shared" si="192"/>
        <v>24816</v>
      </c>
      <c r="BV82" s="53"/>
      <c r="BW82" s="53">
        <f t="shared" si="284"/>
        <v>15600</v>
      </c>
      <c r="BX82" s="53">
        <f t="shared" si="285"/>
        <v>-21036</v>
      </c>
      <c r="BY82" s="53">
        <f t="shared" si="193"/>
        <v>-18814.91095745311</v>
      </c>
      <c r="BZ82" s="240">
        <f t="shared" si="286"/>
        <v>5.791300000000001</v>
      </c>
      <c r="CC82" s="1">
        <f t="shared" si="194"/>
        <v>0</v>
      </c>
      <c r="CD82" s="195">
        <f t="shared" si="195"/>
        <v>5746.4</v>
      </c>
      <c r="CE82" s="195">
        <f t="shared" si="196"/>
        <v>5746.4</v>
      </c>
      <c r="CF82" s="239">
        <f t="shared" si="197"/>
        <v>2.9</v>
      </c>
      <c r="CG82" s="239">
        <f t="shared" si="197"/>
        <v>19.92</v>
      </c>
      <c r="CH82" s="1">
        <f t="shared" si="287"/>
        <v>9561.6</v>
      </c>
      <c r="CI82" s="1"/>
      <c r="CJ82" s="1"/>
      <c r="CK82" s="211">
        <f t="shared" si="198"/>
        <v>0</v>
      </c>
      <c r="CL82" s="211">
        <f t="shared" si="199"/>
        <v>0</v>
      </c>
      <c r="CM82" s="211">
        <f t="shared" si="200"/>
        <v>0</v>
      </c>
      <c r="CN82" s="1"/>
      <c r="CO82" s="1"/>
      <c r="CP82" s="1"/>
      <c r="CQ82" s="1">
        <f t="shared" si="288"/>
        <v>1</v>
      </c>
      <c r="CR82" s="195">
        <f t="shared" si="201"/>
        <v>10000</v>
      </c>
      <c r="CS82" s="195"/>
      <c r="CT82" s="195"/>
      <c r="CU82" s="1"/>
      <c r="CV82" s="199">
        <f t="shared" si="202"/>
        <v>63.50110286745538</v>
      </c>
      <c r="CW82" s="199">
        <f t="shared" si="203"/>
        <v>15.015039101664325</v>
      </c>
      <c r="CX82" s="199">
        <f t="shared" si="204"/>
        <v>0</v>
      </c>
      <c r="CY82" s="199">
        <f t="shared" si="205"/>
        <v>0</v>
      </c>
      <c r="CZ82" s="199">
        <f t="shared" si="206"/>
        <v>0</v>
      </c>
      <c r="DA82" s="199">
        <f t="shared" si="207"/>
        <v>0</v>
      </c>
      <c r="DB82" s="199">
        <f t="shared" si="208"/>
        <v>9.62964507720072</v>
      </c>
      <c r="DC82" s="199">
        <f t="shared" si="209"/>
        <v>0</v>
      </c>
      <c r="DD82" s="199">
        <f t="shared" si="210"/>
        <v>0</v>
      </c>
      <c r="DE82" s="199">
        <f t="shared" si="211"/>
        <v>9.716398636454782</v>
      </c>
      <c r="DF82" s="199">
        <f t="shared" si="212"/>
        <v>0</v>
      </c>
      <c r="DG82" s="199">
        <f t="shared" si="213"/>
        <v>42.44251052737116</v>
      </c>
      <c r="DH82" s="199">
        <f t="shared" si="214"/>
        <v>0</v>
      </c>
      <c r="DI82" s="199">
        <f t="shared" si="215"/>
        <v>51.65173450972528</v>
      </c>
      <c r="DJ82" s="199">
        <f t="shared" si="216"/>
        <v>4.782289953880087</v>
      </c>
      <c r="DK82" s="199">
        <f t="shared" si="217"/>
        <v>0</v>
      </c>
      <c r="DL82" s="199">
        <f t="shared" si="218"/>
        <v>2.4594634048526167</v>
      </c>
      <c r="DM82" s="199">
        <f t="shared" si="219"/>
        <v>4.645653098054943</v>
      </c>
      <c r="DN82" s="199">
        <f t="shared" si="220"/>
        <v>0</v>
      </c>
      <c r="DO82" s="199">
        <f t="shared" si="221"/>
        <v>0</v>
      </c>
      <c r="DP82" s="199">
        <f t="shared" si="222"/>
        <v>1.6396422699017443</v>
      </c>
      <c r="DQ82" s="199">
        <f t="shared" si="223"/>
        <v>0</v>
      </c>
      <c r="DR82" s="199">
        <f t="shared" si="224"/>
        <v>1.2762783236414676</v>
      </c>
      <c r="DS82" s="199">
        <f t="shared" si="225"/>
        <v>0</v>
      </c>
      <c r="DT82" s="199">
        <f t="shared" si="226"/>
        <v>51.65173450972528</v>
      </c>
      <c r="DU82" s="199">
        <f t="shared" si="227"/>
        <v>0</v>
      </c>
      <c r="DV82" s="199">
        <f t="shared" si="228"/>
        <v>0</v>
      </c>
      <c r="DW82" s="199">
        <f t="shared" si="229"/>
        <v>0</v>
      </c>
      <c r="DX82" s="199">
        <f t="shared" si="230"/>
        <v>0</v>
      </c>
      <c r="DY82" s="199">
        <f t="shared" si="231"/>
        <v>0</v>
      </c>
      <c r="DZ82" s="199">
        <f t="shared" si="232"/>
        <v>0.002006676559053539</v>
      </c>
      <c r="EA82" s="199">
        <f t="shared" si="233"/>
        <v>52.4808529568879</v>
      </c>
      <c r="EB82" s="199">
        <f t="shared" si="234"/>
        <v>6.598942317545617</v>
      </c>
      <c r="EC82" s="202">
        <f t="shared" si="184"/>
        <v>317.49329423092036</v>
      </c>
      <c r="ED82" s="202">
        <f>SUM(CV82:DI82,DS82:DT82,DW82,DY82,EA82:EB82)</f>
        <v>302.68796050403046</v>
      </c>
      <c r="EE82" s="203">
        <f t="shared" si="235"/>
        <v>50.104809788649035</v>
      </c>
      <c r="EF82" s="199"/>
      <c r="EI82" s="1">
        <f t="shared" si="236"/>
        <v>0.5699766927982697</v>
      </c>
      <c r="EJ82" s="1">
        <f t="shared" si="237"/>
        <v>0.010606863429336002</v>
      </c>
      <c r="EK82" s="1">
        <f t="shared" si="238"/>
        <v>0</v>
      </c>
      <c r="EL82" s="1">
        <f t="shared" si="239"/>
        <v>0</v>
      </c>
      <c r="EM82" s="1">
        <f t="shared" si="240"/>
        <v>0</v>
      </c>
      <c r="EN82" s="1">
        <f t="shared" si="241"/>
        <v>0</v>
      </c>
      <c r="EO82" s="1">
        <f t="shared" si="242"/>
        <v>0.2644897670328</v>
      </c>
      <c r="EP82" s="1">
        <f t="shared" si="243"/>
        <v>0</v>
      </c>
      <c r="EQ82" s="1">
        <f t="shared" si="244"/>
        <v>0.21621849683808003</v>
      </c>
      <c r="ER82" s="1">
        <f t="shared" si="245"/>
        <v>0</v>
      </c>
      <c r="ES82" s="1">
        <f t="shared" si="246"/>
        <v>0</v>
      </c>
      <c r="ET82" s="1">
        <f t="shared" si="247"/>
        <v>0.14589546715944002</v>
      </c>
      <c r="EU82" s="1">
        <f t="shared" si="248"/>
        <v>0</v>
      </c>
      <c r="EV82" s="1">
        <f t="shared" si="249"/>
        <v>0</v>
      </c>
      <c r="EW82" s="1">
        <f t="shared" si="250"/>
        <v>0.059350736407200004</v>
      </c>
      <c r="EX82" s="1">
        <f t="shared" si="251"/>
        <v>0</v>
      </c>
      <c r="EY82" s="1">
        <f t="shared" si="252"/>
        <v>0.059350736407200004</v>
      </c>
      <c r="EZ82" s="1">
        <f t="shared" si="253"/>
        <v>0.059350736407200004</v>
      </c>
      <c r="FA82" s="1">
        <f t="shared" si="254"/>
        <v>0</v>
      </c>
      <c r="FB82" s="1">
        <f t="shared" si="255"/>
        <v>0</v>
      </c>
      <c r="FC82" s="1">
        <f t="shared" si="256"/>
        <v>0.059350736407200004</v>
      </c>
      <c r="FD82" s="1">
        <f t="shared" si="257"/>
        <v>0</v>
      </c>
      <c r="FE82" s="1">
        <f t="shared" si="258"/>
        <v>0.059350736407200004</v>
      </c>
      <c r="FF82" s="1">
        <f t="shared" si="259"/>
        <v>0</v>
      </c>
      <c r="FG82" s="1">
        <f t="shared" si="260"/>
        <v>0.059350736407200004</v>
      </c>
      <c r="FH82" s="1">
        <f t="shared" si="261"/>
        <v>0</v>
      </c>
      <c r="FI82" s="1">
        <f t="shared" si="262"/>
        <v>0</v>
      </c>
      <c r="FJ82" s="1">
        <f t="shared" si="263"/>
        <v>0</v>
      </c>
      <c r="FK82" s="1">
        <f t="shared" si="264"/>
        <v>0</v>
      </c>
      <c r="FL82" s="1">
        <f t="shared" si="265"/>
        <v>0</v>
      </c>
      <c r="FM82" s="1">
        <f t="shared" si="266"/>
        <v>0.0034234991863440005</v>
      </c>
      <c r="FN82" s="1">
        <f t="shared" si="267"/>
        <v>7.46760736344</v>
      </c>
      <c r="FO82" s="1">
        <f>IF(O82=0,0,SUM(EI82:FN82))</f>
        <v>9.034322568327468</v>
      </c>
    </row>
    <row r="83" spans="1:171" s="45" customFormat="1" ht="12.75">
      <c r="A83" s="24">
        <v>69</v>
      </c>
      <c r="B83" s="25" t="s">
        <v>230</v>
      </c>
      <c r="C83" s="25" t="s">
        <v>228</v>
      </c>
      <c r="D83" s="26" t="s">
        <v>216</v>
      </c>
      <c r="E83" s="26">
        <v>3</v>
      </c>
      <c r="F83" s="26" t="s">
        <v>211</v>
      </c>
      <c r="G83" s="26" t="s">
        <v>74</v>
      </c>
      <c r="H83" s="26" t="s">
        <v>75</v>
      </c>
      <c r="I83" s="26">
        <v>3</v>
      </c>
      <c r="J83" s="26"/>
      <c r="K83" s="26">
        <f t="shared" si="268"/>
        <v>1</v>
      </c>
      <c r="L83" s="26">
        <f t="shared" si="269"/>
        <v>1</v>
      </c>
      <c r="M83" s="24">
        <v>295931</v>
      </c>
      <c r="N83" s="24">
        <v>902316</v>
      </c>
      <c r="O83" s="27">
        <f t="shared" si="270"/>
        <v>185003</v>
      </c>
      <c r="P83" s="28">
        <v>185003</v>
      </c>
      <c r="Q83" s="28">
        <v>186000</v>
      </c>
      <c r="R83" s="28">
        <v>130000</v>
      </c>
      <c r="S83" s="29">
        <v>70400</v>
      </c>
      <c r="T83" s="29">
        <v>0</v>
      </c>
      <c r="U83" s="29">
        <v>0</v>
      </c>
      <c r="V83" s="29">
        <v>0</v>
      </c>
      <c r="W83" s="28">
        <v>97380</v>
      </c>
      <c r="X83" s="29">
        <v>8000</v>
      </c>
      <c r="Y83" s="29">
        <v>0</v>
      </c>
      <c r="Z83" s="28">
        <v>0</v>
      </c>
      <c r="AA83" s="29">
        <v>0</v>
      </c>
      <c r="AB83" s="28">
        <v>25000</v>
      </c>
      <c r="AC83" s="28">
        <v>0</v>
      </c>
      <c r="AD83" s="28">
        <v>0</v>
      </c>
      <c r="AE83" s="28">
        <v>34100</v>
      </c>
      <c r="AF83" s="28">
        <v>60000</v>
      </c>
      <c r="AG83" s="28">
        <v>11200</v>
      </c>
      <c r="AH83" s="28">
        <v>0</v>
      </c>
      <c r="AI83" s="28">
        <v>48000</v>
      </c>
      <c r="AJ83" s="28">
        <v>0</v>
      </c>
      <c r="AK83" s="28">
        <v>35100</v>
      </c>
      <c r="AL83" s="30">
        <v>0</v>
      </c>
      <c r="AM83" s="30">
        <v>19800</v>
      </c>
      <c r="AN83" s="31">
        <v>0</v>
      </c>
      <c r="AO83" s="30">
        <v>0</v>
      </c>
      <c r="AP83" s="31">
        <v>0</v>
      </c>
      <c r="AQ83" s="31">
        <v>0</v>
      </c>
      <c r="AR83" s="31">
        <v>0</v>
      </c>
      <c r="AS83" s="31">
        <v>23785</v>
      </c>
      <c r="AT83" s="31">
        <v>0</v>
      </c>
      <c r="AU83" s="30">
        <v>393</v>
      </c>
      <c r="AW83" s="1"/>
      <c r="AX83" s="2">
        <f t="shared" si="271"/>
        <v>142749.2</v>
      </c>
      <c r="AY83" s="32">
        <f t="shared" si="185"/>
        <v>141984.03358924732</v>
      </c>
      <c r="AZ83" s="186">
        <f t="shared" si="186"/>
        <v>0.43041608946933585</v>
      </c>
      <c r="BA83" s="186">
        <f t="shared" si="187"/>
        <v>0.08214614971485576</v>
      </c>
      <c r="BB83" s="186">
        <f t="shared" si="188"/>
        <v>0.3013649779476315</v>
      </c>
      <c r="BC83" s="53">
        <f t="shared" si="272"/>
        <v>185003</v>
      </c>
      <c r="BD83" s="53">
        <f t="shared" si="189"/>
        <v>75083.14161052187</v>
      </c>
      <c r="BE83" s="53">
        <f t="shared" si="190"/>
        <v>14329.833718353731</v>
      </c>
      <c r="BF83" s="53">
        <f t="shared" si="191"/>
        <v>52571.05826037171</v>
      </c>
      <c r="BG83" s="53"/>
      <c r="BH83" s="53">
        <f t="shared" si="273"/>
        <v>8</v>
      </c>
      <c r="BI83" s="53">
        <f t="shared" si="274"/>
        <v>6</v>
      </c>
      <c r="BJ83" s="53">
        <f t="shared" si="275"/>
        <v>4</v>
      </c>
      <c r="BK83" s="53">
        <f t="shared" si="276"/>
        <v>5</v>
      </c>
      <c r="BL83" s="53"/>
      <c r="BM83" s="53">
        <f t="shared" si="277"/>
        <v>4</v>
      </c>
      <c r="BN83" s="53">
        <f t="shared" si="278"/>
        <v>3</v>
      </c>
      <c r="BO83" s="53">
        <f t="shared" si="279"/>
        <v>2</v>
      </c>
      <c r="BP83" s="53">
        <f t="shared" si="280"/>
        <v>0</v>
      </c>
      <c r="BQ83" s="53"/>
      <c r="BR83" s="53">
        <f t="shared" si="281"/>
        <v>13</v>
      </c>
      <c r="BS83" s="53">
        <f t="shared" si="282"/>
        <v>51.300000000000004</v>
      </c>
      <c r="BT83" s="53">
        <f t="shared" si="283"/>
        <v>11</v>
      </c>
      <c r="BU83" s="53">
        <f t="shared" si="192"/>
        <v>36144.00000000001</v>
      </c>
      <c r="BV83" s="53"/>
      <c r="BW83" s="53">
        <f t="shared" si="284"/>
        <v>23400</v>
      </c>
      <c r="BX83" s="53">
        <f t="shared" si="285"/>
        <v>-30474.000000000007</v>
      </c>
      <c r="BY83" s="53">
        <f t="shared" si="193"/>
        <v>-27142.366436179673</v>
      </c>
      <c r="BZ83" s="240">
        <f t="shared" si="286"/>
        <v>8.2337</v>
      </c>
      <c r="CC83" s="1">
        <f t="shared" si="194"/>
        <v>0</v>
      </c>
      <c r="CD83" s="195">
        <f t="shared" si="195"/>
        <v>5746.4</v>
      </c>
      <c r="CE83" s="195">
        <f t="shared" si="196"/>
        <v>5746.4</v>
      </c>
      <c r="CF83" s="239">
        <f t="shared" si="197"/>
        <v>2.9</v>
      </c>
      <c r="CG83" s="239">
        <f t="shared" si="197"/>
        <v>19.92</v>
      </c>
      <c r="CH83" s="1">
        <f t="shared" si="287"/>
        <v>9561.6</v>
      </c>
      <c r="CI83" s="1"/>
      <c r="CJ83" s="1"/>
      <c r="CK83" s="211">
        <f t="shared" si="198"/>
        <v>0</v>
      </c>
      <c r="CL83" s="211">
        <f t="shared" si="199"/>
        <v>0</v>
      </c>
      <c r="CM83" s="211">
        <f t="shared" si="200"/>
        <v>0</v>
      </c>
      <c r="CN83" s="1"/>
      <c r="CO83" s="1"/>
      <c r="CP83" s="1"/>
      <c r="CQ83" s="1">
        <f t="shared" si="288"/>
        <v>1</v>
      </c>
      <c r="CR83" s="195">
        <f t="shared" si="201"/>
        <v>10000</v>
      </c>
      <c r="CS83" s="195"/>
      <c r="CT83" s="195"/>
      <c r="CU83" s="1"/>
      <c r="CV83" s="199">
        <f t="shared" si="202"/>
        <v>94.48964106677361</v>
      </c>
      <c r="CW83" s="199">
        <f t="shared" si="203"/>
        <v>39.03910166432725</v>
      </c>
      <c r="CX83" s="199">
        <f t="shared" si="204"/>
        <v>138.59214758371763</v>
      </c>
      <c r="CY83" s="199">
        <f t="shared" si="205"/>
        <v>0</v>
      </c>
      <c r="CZ83" s="199">
        <f t="shared" si="206"/>
        <v>0</v>
      </c>
      <c r="DA83" s="199">
        <f t="shared" si="207"/>
        <v>0</v>
      </c>
      <c r="DB83" s="199">
        <f t="shared" si="208"/>
        <v>25.344184800481248</v>
      </c>
      <c r="DC83" s="199">
        <f t="shared" si="209"/>
        <v>2.082085422097453</v>
      </c>
      <c r="DD83" s="199">
        <f t="shared" si="210"/>
        <v>0</v>
      </c>
      <c r="DE83" s="199">
        <f t="shared" si="211"/>
        <v>0</v>
      </c>
      <c r="DF83" s="199">
        <f t="shared" si="212"/>
        <v>0</v>
      </c>
      <c r="DG83" s="199">
        <f t="shared" si="213"/>
        <v>33.15821134950872</v>
      </c>
      <c r="DH83" s="199">
        <f t="shared" si="214"/>
        <v>0</v>
      </c>
      <c r="DI83" s="199">
        <f t="shared" si="215"/>
        <v>0</v>
      </c>
      <c r="DJ83" s="199">
        <f t="shared" si="216"/>
        <v>4.659316783637457</v>
      </c>
      <c r="DK83" s="199">
        <f t="shared" si="217"/>
        <v>8.198211349508723</v>
      </c>
      <c r="DL83" s="199">
        <f t="shared" si="218"/>
        <v>1.530332785241628</v>
      </c>
      <c r="DM83" s="199">
        <f t="shared" si="219"/>
        <v>0</v>
      </c>
      <c r="DN83" s="199">
        <f t="shared" si="220"/>
        <v>6.558569079606977</v>
      </c>
      <c r="DO83" s="199">
        <f t="shared" si="221"/>
        <v>0</v>
      </c>
      <c r="DP83" s="199">
        <f t="shared" si="222"/>
        <v>4.795953639462602</v>
      </c>
      <c r="DQ83" s="199">
        <f t="shared" si="223"/>
        <v>0</v>
      </c>
      <c r="DR83" s="199">
        <f t="shared" si="224"/>
        <v>2.9729777421295362</v>
      </c>
      <c r="DS83" s="199">
        <f t="shared" si="225"/>
        <v>0</v>
      </c>
      <c r="DT83" s="199">
        <f t="shared" si="226"/>
        <v>0</v>
      </c>
      <c r="DU83" s="199">
        <f t="shared" si="227"/>
        <v>0</v>
      </c>
      <c r="DV83" s="199">
        <f t="shared" si="228"/>
        <v>0</v>
      </c>
      <c r="DW83" s="199">
        <f t="shared" si="229"/>
        <v>0</v>
      </c>
      <c r="DX83" s="199">
        <f t="shared" si="230"/>
        <v>1.5396387728093037</v>
      </c>
      <c r="DY83" s="199">
        <f t="shared" si="231"/>
        <v>0</v>
      </c>
      <c r="DZ83" s="199">
        <f t="shared" si="232"/>
        <v>0.02543948024864648</v>
      </c>
      <c r="EA83" s="199">
        <f t="shared" si="233"/>
        <v>82.43330489131002</v>
      </c>
      <c r="EB83" s="199">
        <f t="shared" si="234"/>
        <v>10.255866020833308</v>
      </c>
      <c r="EC83" s="202">
        <f t="shared" si="184"/>
        <v>455.6749824316941</v>
      </c>
      <c r="ED83" s="202">
        <f>SUM(CV83:DI83,DS83:DT83,DW83,DY83,EA83:EB83)</f>
        <v>425.39454279904925</v>
      </c>
      <c r="EE83" s="203">
        <f t="shared" si="235"/>
        <v>70.4167837286408</v>
      </c>
      <c r="EF83" s="199"/>
      <c r="EI83" s="1">
        <f t="shared" si="236"/>
        <v>0.5699766927982697</v>
      </c>
      <c r="EJ83" s="1">
        <f t="shared" si="237"/>
        <v>0.010606863429336002</v>
      </c>
      <c r="EK83" s="1">
        <f t="shared" si="238"/>
        <v>0.24682268761392</v>
      </c>
      <c r="EL83" s="1">
        <f t="shared" si="239"/>
        <v>0</v>
      </c>
      <c r="EM83" s="1">
        <f t="shared" si="240"/>
        <v>0</v>
      </c>
      <c r="EN83" s="1">
        <f t="shared" si="241"/>
        <v>0</v>
      </c>
      <c r="EO83" s="1">
        <f t="shared" si="242"/>
        <v>0.2644897670328</v>
      </c>
      <c r="EP83" s="1">
        <f t="shared" si="243"/>
        <v>0</v>
      </c>
      <c r="EQ83" s="1">
        <f t="shared" si="244"/>
        <v>0</v>
      </c>
      <c r="ER83" s="1">
        <f t="shared" si="245"/>
        <v>0</v>
      </c>
      <c r="ES83" s="1">
        <f t="shared" si="246"/>
        <v>0</v>
      </c>
      <c r="ET83" s="1">
        <f t="shared" si="247"/>
        <v>0.14589546715944002</v>
      </c>
      <c r="EU83" s="1">
        <f t="shared" si="248"/>
        <v>0</v>
      </c>
      <c r="EV83" s="1">
        <f t="shared" si="249"/>
        <v>0</v>
      </c>
      <c r="EW83" s="1">
        <f t="shared" si="250"/>
        <v>0.059350736407200004</v>
      </c>
      <c r="EX83" s="1">
        <f t="shared" si="251"/>
        <v>0.10099701098903999</v>
      </c>
      <c r="EY83" s="1">
        <f t="shared" si="252"/>
        <v>0.059350736407200004</v>
      </c>
      <c r="EZ83" s="1">
        <f t="shared" si="253"/>
        <v>0</v>
      </c>
      <c r="FA83" s="1">
        <f t="shared" si="254"/>
        <v>0.10099701098903999</v>
      </c>
      <c r="FB83" s="1">
        <f t="shared" si="255"/>
        <v>0</v>
      </c>
      <c r="FC83" s="1">
        <f t="shared" si="256"/>
        <v>0.10099701098903999</v>
      </c>
      <c r="FD83" s="1">
        <f t="shared" si="257"/>
        <v>0</v>
      </c>
      <c r="FE83" s="1">
        <f t="shared" si="258"/>
        <v>0.059350736407200004</v>
      </c>
      <c r="FF83" s="1">
        <f t="shared" si="259"/>
        <v>0</v>
      </c>
      <c r="FG83" s="1">
        <f t="shared" si="260"/>
        <v>0</v>
      </c>
      <c r="FH83" s="1">
        <f t="shared" si="261"/>
        <v>0</v>
      </c>
      <c r="FI83" s="1">
        <f t="shared" si="262"/>
        <v>0</v>
      </c>
      <c r="FJ83" s="1">
        <f t="shared" si="263"/>
        <v>0</v>
      </c>
      <c r="FK83" s="1">
        <f t="shared" si="264"/>
        <v>0</v>
      </c>
      <c r="FL83" s="1">
        <f t="shared" si="265"/>
        <v>0</v>
      </c>
      <c r="FM83" s="1">
        <f t="shared" si="266"/>
        <v>0.0057571153094400015</v>
      </c>
      <c r="FN83" s="1">
        <f t="shared" si="267"/>
        <v>7.46760736344</v>
      </c>
      <c r="FO83" s="1">
        <f>IF(O83=0,0,SUM(EI83:FN83))</f>
        <v>9.192199198971926</v>
      </c>
    </row>
    <row r="84" spans="1:171" ht="12.75">
      <c r="A84" s="24">
        <v>71</v>
      </c>
      <c r="B84" s="25" t="s">
        <v>231</v>
      </c>
      <c r="C84" s="25" t="s">
        <v>232</v>
      </c>
      <c r="D84" s="26" t="s">
        <v>216</v>
      </c>
      <c r="E84" s="26">
        <v>3</v>
      </c>
      <c r="F84" s="26" t="s">
        <v>211</v>
      </c>
      <c r="G84" s="26" t="s">
        <v>74</v>
      </c>
      <c r="H84" s="26" t="s">
        <v>75</v>
      </c>
      <c r="I84" s="26">
        <v>3</v>
      </c>
      <c r="J84" s="26"/>
      <c r="K84" s="26">
        <f t="shared" si="268"/>
        <v>1</v>
      </c>
      <c r="L84" s="26">
        <f t="shared" si="269"/>
        <v>1</v>
      </c>
      <c r="M84" s="24">
        <v>302835</v>
      </c>
      <c r="N84" s="24">
        <v>911240</v>
      </c>
      <c r="O84" s="27">
        <f t="shared" si="270"/>
        <v>56000</v>
      </c>
      <c r="P84" s="28">
        <v>56000</v>
      </c>
      <c r="Q84" s="28">
        <v>58000</v>
      </c>
      <c r="R84" s="28">
        <v>25000</v>
      </c>
      <c r="S84" s="29">
        <v>0</v>
      </c>
      <c r="T84" s="29">
        <v>0</v>
      </c>
      <c r="U84" s="29">
        <v>0</v>
      </c>
      <c r="V84" s="29">
        <v>0</v>
      </c>
      <c r="W84" s="28">
        <v>20000</v>
      </c>
      <c r="X84" s="29">
        <v>500</v>
      </c>
      <c r="Y84" s="29">
        <v>0</v>
      </c>
      <c r="Z84" s="28">
        <v>0</v>
      </c>
      <c r="AA84" s="29">
        <v>0</v>
      </c>
      <c r="AB84" s="28">
        <v>11000</v>
      </c>
      <c r="AC84" s="28">
        <v>0</v>
      </c>
      <c r="AD84" s="28">
        <v>7000</v>
      </c>
      <c r="AE84" s="28">
        <v>11000</v>
      </c>
      <c r="AF84" s="28">
        <v>0</v>
      </c>
      <c r="AG84" s="28">
        <v>0</v>
      </c>
      <c r="AH84" s="28">
        <v>15000</v>
      </c>
      <c r="AI84" s="28">
        <v>0</v>
      </c>
      <c r="AJ84" s="28">
        <v>0</v>
      </c>
      <c r="AK84" s="28">
        <v>0</v>
      </c>
      <c r="AL84" s="28">
        <v>0</v>
      </c>
      <c r="AM84" s="30">
        <v>4000</v>
      </c>
      <c r="AN84" s="31">
        <v>0</v>
      </c>
      <c r="AO84" s="30">
        <v>0</v>
      </c>
      <c r="AP84" s="31">
        <v>0</v>
      </c>
      <c r="AQ84" s="31">
        <v>0</v>
      </c>
      <c r="AR84" s="31">
        <v>0</v>
      </c>
      <c r="AS84" s="31">
        <v>0</v>
      </c>
      <c r="AT84" s="31">
        <v>0</v>
      </c>
      <c r="AU84" s="30">
        <v>28</v>
      </c>
      <c r="AX84" s="2">
        <f t="shared" si="271"/>
        <v>51040</v>
      </c>
      <c r="AY84" s="32">
        <f t="shared" si="185"/>
        <v>49280</v>
      </c>
      <c r="AZ84" s="186">
        <f t="shared" si="186"/>
        <v>0.43041608946933585</v>
      </c>
      <c r="BA84" s="186">
        <f t="shared" si="187"/>
        <v>0.08214614971485576</v>
      </c>
      <c r="BB84" s="186">
        <f t="shared" si="188"/>
        <v>0.3013649779476315</v>
      </c>
      <c r="BC84" s="53">
        <f t="shared" si="272"/>
        <v>56000</v>
      </c>
      <c r="BD84" s="53">
        <f t="shared" si="189"/>
        <v>26059.952834349762</v>
      </c>
      <c r="BE84" s="53">
        <f t="shared" si="190"/>
        <v>4973.617017272509</v>
      </c>
      <c r="BF84" s="53">
        <f t="shared" si="191"/>
        <v>18246.430148377724</v>
      </c>
      <c r="BG84" s="53"/>
      <c r="BH84" s="53">
        <f t="shared" si="273"/>
        <v>3</v>
      </c>
      <c r="BI84" s="53">
        <f t="shared" si="274"/>
        <v>4</v>
      </c>
      <c r="BJ84" s="53">
        <f t="shared" si="275"/>
        <v>3</v>
      </c>
      <c r="BK84" s="53">
        <f t="shared" si="276"/>
        <v>3</v>
      </c>
      <c r="BL84" s="53"/>
      <c r="BM84" s="53">
        <f t="shared" si="277"/>
        <v>2</v>
      </c>
      <c r="BN84" s="53">
        <f t="shared" si="278"/>
        <v>2</v>
      </c>
      <c r="BO84" s="53">
        <f t="shared" si="279"/>
        <v>2</v>
      </c>
      <c r="BP84" s="53">
        <f t="shared" si="280"/>
        <v>0</v>
      </c>
      <c r="BQ84" s="53"/>
      <c r="BR84" s="53">
        <f t="shared" si="281"/>
        <v>6.5</v>
      </c>
      <c r="BS84" s="53">
        <f t="shared" si="282"/>
        <v>34.2</v>
      </c>
      <c r="BT84" s="53">
        <f t="shared" si="283"/>
        <v>11</v>
      </c>
      <c r="BU84" s="53">
        <f t="shared" si="192"/>
        <v>24816</v>
      </c>
      <c r="BV84" s="53"/>
      <c r="BW84" s="53">
        <f t="shared" si="284"/>
        <v>15600</v>
      </c>
      <c r="BX84" s="53">
        <f t="shared" si="285"/>
        <v>-21036</v>
      </c>
      <c r="BY84" s="53">
        <f t="shared" si="193"/>
        <v>-18814.91095745311</v>
      </c>
      <c r="BZ84" s="240">
        <f t="shared" si="286"/>
        <v>5.791300000000001</v>
      </c>
      <c r="CC84" s="1">
        <f t="shared" si="194"/>
        <v>0</v>
      </c>
      <c r="CD84" s="195">
        <f t="shared" si="195"/>
        <v>2873.2</v>
      </c>
      <c r="CE84" s="195">
        <f t="shared" si="196"/>
        <v>2873.2</v>
      </c>
      <c r="CF84" s="239">
        <f t="shared" si="197"/>
        <v>1.45</v>
      </c>
      <c r="CG84" s="239">
        <f t="shared" si="197"/>
        <v>9.96</v>
      </c>
      <c r="CH84" s="1">
        <f t="shared" si="287"/>
        <v>4780.8</v>
      </c>
      <c r="CK84" s="211">
        <f t="shared" si="198"/>
        <v>0</v>
      </c>
      <c r="CL84" s="211">
        <f t="shared" si="199"/>
        <v>0</v>
      </c>
      <c r="CM84" s="211">
        <f t="shared" si="200"/>
        <v>0</v>
      </c>
      <c r="CQ84" s="1">
        <f t="shared" si="288"/>
        <v>1</v>
      </c>
      <c r="CR84" s="195">
        <f t="shared" si="201"/>
        <v>10000</v>
      </c>
      <c r="CS84" s="195"/>
      <c r="CT84" s="195"/>
      <c r="CV84" s="199">
        <f t="shared" si="202"/>
        <v>29.464511730499293</v>
      </c>
      <c r="CW84" s="199">
        <f t="shared" si="203"/>
        <v>7.507519550832162</v>
      </c>
      <c r="CX84" s="199">
        <f t="shared" si="204"/>
        <v>0</v>
      </c>
      <c r="CY84" s="199">
        <f t="shared" si="205"/>
        <v>0</v>
      </c>
      <c r="CZ84" s="199">
        <f t="shared" si="206"/>
        <v>0</v>
      </c>
      <c r="DA84" s="199">
        <f t="shared" si="207"/>
        <v>0</v>
      </c>
      <c r="DB84" s="199">
        <f t="shared" si="208"/>
        <v>5.205213555243633</v>
      </c>
      <c r="DC84" s="199">
        <f t="shared" si="209"/>
        <v>0.13013033888109082</v>
      </c>
      <c r="DD84" s="199">
        <f t="shared" si="210"/>
        <v>0</v>
      </c>
      <c r="DE84" s="199">
        <f t="shared" si="211"/>
        <v>0</v>
      </c>
      <c r="DF84" s="199">
        <f t="shared" si="212"/>
        <v>0</v>
      </c>
      <c r="DG84" s="199">
        <f t="shared" si="213"/>
        <v>14.589612993783836</v>
      </c>
      <c r="DH84" s="199">
        <f t="shared" si="214"/>
        <v>0</v>
      </c>
      <c r="DI84" s="199">
        <f t="shared" si="215"/>
        <v>20.086785642670943</v>
      </c>
      <c r="DJ84" s="199">
        <f t="shared" si="216"/>
        <v>1.5030054140765992</v>
      </c>
      <c r="DK84" s="199">
        <f t="shared" si="217"/>
        <v>0</v>
      </c>
      <c r="DL84" s="199">
        <f t="shared" si="218"/>
        <v>0</v>
      </c>
      <c r="DM84" s="199">
        <f t="shared" si="219"/>
        <v>2.0495528373771807</v>
      </c>
      <c r="DN84" s="199">
        <f t="shared" si="220"/>
        <v>0</v>
      </c>
      <c r="DO84" s="199">
        <f t="shared" si="221"/>
        <v>0</v>
      </c>
      <c r="DP84" s="199">
        <f t="shared" si="222"/>
        <v>0</v>
      </c>
      <c r="DQ84" s="199">
        <f t="shared" si="223"/>
        <v>0</v>
      </c>
      <c r="DR84" s="199">
        <f t="shared" si="224"/>
        <v>0.6006015640665731</v>
      </c>
      <c r="DS84" s="199">
        <f t="shared" si="225"/>
        <v>0</v>
      </c>
      <c r="DT84" s="199">
        <f t="shared" si="226"/>
        <v>0</v>
      </c>
      <c r="DU84" s="199">
        <f t="shared" si="227"/>
        <v>0</v>
      </c>
      <c r="DV84" s="199">
        <f t="shared" si="228"/>
        <v>0</v>
      </c>
      <c r="DW84" s="199">
        <f t="shared" si="229"/>
        <v>0</v>
      </c>
      <c r="DX84" s="199">
        <f t="shared" si="230"/>
        <v>0</v>
      </c>
      <c r="DY84" s="199">
        <f t="shared" si="231"/>
        <v>0</v>
      </c>
      <c r="DZ84" s="199">
        <f t="shared" si="232"/>
        <v>0.00181248205333868</v>
      </c>
      <c r="EA84" s="199">
        <f t="shared" si="233"/>
        <v>28.611056907960695</v>
      </c>
      <c r="EB84" s="199">
        <f t="shared" si="234"/>
        <v>3.302080705835171</v>
      </c>
      <c r="EC84" s="202">
        <f t="shared" si="184"/>
        <v>113.05188372328051</v>
      </c>
      <c r="ED84" s="202">
        <f>SUM(CV84:DI84,DS84:DT84,DW84,DY84,EA84:EB84)</f>
        <v>108.89691142570682</v>
      </c>
      <c r="EE84" s="203">
        <f t="shared" si="235"/>
        <v>18.026019351647616</v>
      </c>
      <c r="EF84" s="199"/>
      <c r="EI84" s="1">
        <f t="shared" si="236"/>
        <v>0.5699766927982697</v>
      </c>
      <c r="EJ84" s="1">
        <f t="shared" si="237"/>
        <v>0.002442336444552</v>
      </c>
      <c r="EK84" s="1">
        <f t="shared" si="238"/>
        <v>0</v>
      </c>
      <c r="EL84" s="1">
        <f t="shared" si="239"/>
        <v>0</v>
      </c>
      <c r="EM84" s="1">
        <f t="shared" si="240"/>
        <v>0</v>
      </c>
      <c r="EN84" s="1">
        <f t="shared" si="241"/>
        <v>0</v>
      </c>
      <c r="EO84" s="1">
        <f t="shared" si="242"/>
        <v>0.2644897670328</v>
      </c>
      <c r="EP84" s="1">
        <f t="shared" si="243"/>
        <v>0</v>
      </c>
      <c r="EQ84" s="1">
        <f t="shared" si="244"/>
        <v>0</v>
      </c>
      <c r="ER84" s="1">
        <f t="shared" si="245"/>
        <v>0</v>
      </c>
      <c r="ES84" s="1">
        <f t="shared" si="246"/>
        <v>0</v>
      </c>
      <c r="ET84" s="1">
        <f t="shared" si="247"/>
        <v>0.14589546715944002</v>
      </c>
      <c r="EU84" s="1">
        <f t="shared" si="248"/>
        <v>0</v>
      </c>
      <c r="EV84" s="1">
        <f t="shared" si="249"/>
        <v>0</v>
      </c>
      <c r="EW84" s="1">
        <f t="shared" si="250"/>
        <v>0.059350736407200004</v>
      </c>
      <c r="EX84" s="1">
        <f t="shared" si="251"/>
        <v>0</v>
      </c>
      <c r="EY84" s="1">
        <f t="shared" si="252"/>
        <v>0</v>
      </c>
      <c r="EZ84" s="1">
        <f t="shared" si="253"/>
        <v>0.059350736407200004</v>
      </c>
      <c r="FA84" s="1">
        <f t="shared" si="254"/>
        <v>0</v>
      </c>
      <c r="FB84" s="1">
        <f t="shared" si="255"/>
        <v>0</v>
      </c>
      <c r="FC84" s="1">
        <f t="shared" si="256"/>
        <v>0</v>
      </c>
      <c r="FD84" s="1">
        <f t="shared" si="257"/>
        <v>0</v>
      </c>
      <c r="FE84" s="1">
        <f t="shared" si="258"/>
        <v>0.059350736407200004</v>
      </c>
      <c r="FF84" s="1">
        <f t="shared" si="259"/>
        <v>0</v>
      </c>
      <c r="FG84" s="1">
        <f t="shared" si="260"/>
        <v>0</v>
      </c>
      <c r="FH84" s="1">
        <f t="shared" si="261"/>
        <v>0</v>
      </c>
      <c r="FI84" s="1">
        <f t="shared" si="262"/>
        <v>0</v>
      </c>
      <c r="FJ84" s="1">
        <f t="shared" si="263"/>
        <v>0</v>
      </c>
      <c r="FK84" s="1">
        <f t="shared" si="264"/>
        <v>0</v>
      </c>
      <c r="FL84" s="1">
        <f t="shared" si="265"/>
        <v>0</v>
      </c>
      <c r="FM84" s="1">
        <f t="shared" si="266"/>
        <v>0.0034234991863440005</v>
      </c>
      <c r="FN84" s="1">
        <f t="shared" si="267"/>
        <v>7.46760736344</v>
      </c>
      <c r="FO84" s="1">
        <f>IF(O84=0,0,SUM(EI84:FN84))</f>
        <v>8.631887335283006</v>
      </c>
    </row>
    <row r="85" spans="1:171" ht="12.75">
      <c r="A85" s="24">
        <v>72</v>
      </c>
      <c r="B85" s="25" t="s">
        <v>233</v>
      </c>
      <c r="C85" s="25" t="s">
        <v>234</v>
      </c>
      <c r="D85" s="26" t="s">
        <v>216</v>
      </c>
      <c r="E85" s="26">
        <v>3</v>
      </c>
      <c r="F85" s="26" t="s">
        <v>211</v>
      </c>
      <c r="G85" s="26" t="s">
        <v>74</v>
      </c>
      <c r="H85" s="26" t="s">
        <v>75</v>
      </c>
      <c r="I85" s="26">
        <v>3</v>
      </c>
      <c r="J85" s="26"/>
      <c r="K85" s="26">
        <f t="shared" si="268"/>
        <v>0</v>
      </c>
      <c r="L85" s="26">
        <f t="shared" si="269"/>
        <v>0</v>
      </c>
      <c r="M85" s="24">
        <v>295637</v>
      </c>
      <c r="N85" s="24">
        <v>901941</v>
      </c>
      <c r="O85" s="27">
        <f t="shared" si="270"/>
        <v>55000</v>
      </c>
      <c r="P85" s="28">
        <v>55000</v>
      </c>
      <c r="Q85" s="28">
        <v>56000</v>
      </c>
      <c r="R85" s="28">
        <v>28000</v>
      </c>
      <c r="S85" s="29">
        <v>0</v>
      </c>
      <c r="T85" s="29">
        <v>0</v>
      </c>
      <c r="U85" s="29">
        <v>0</v>
      </c>
      <c r="V85" s="29">
        <v>0</v>
      </c>
      <c r="W85" s="28">
        <v>0</v>
      </c>
      <c r="X85" s="29">
        <v>0</v>
      </c>
      <c r="Y85" s="29">
        <v>0</v>
      </c>
      <c r="Z85" s="28">
        <v>0</v>
      </c>
      <c r="AA85" s="29">
        <v>0</v>
      </c>
      <c r="AB85" s="28">
        <v>0</v>
      </c>
      <c r="AC85" s="28">
        <v>0</v>
      </c>
      <c r="AD85" s="28">
        <v>0</v>
      </c>
      <c r="AE85" s="28">
        <v>0</v>
      </c>
      <c r="AF85" s="28">
        <v>0</v>
      </c>
      <c r="AG85" s="28">
        <v>0</v>
      </c>
      <c r="AH85" s="28">
        <v>0</v>
      </c>
      <c r="AI85" s="28">
        <v>0</v>
      </c>
      <c r="AJ85" s="28">
        <v>0</v>
      </c>
      <c r="AK85" s="28">
        <v>0</v>
      </c>
      <c r="AL85" s="28">
        <v>0</v>
      </c>
      <c r="AM85" s="30">
        <v>0</v>
      </c>
      <c r="AN85" s="31">
        <v>0</v>
      </c>
      <c r="AO85" s="30">
        <v>0</v>
      </c>
      <c r="AP85" s="31">
        <v>0</v>
      </c>
      <c r="AQ85" s="31">
        <v>0</v>
      </c>
      <c r="AR85" s="31">
        <v>0</v>
      </c>
      <c r="AS85" s="31">
        <v>0</v>
      </c>
      <c r="AT85" s="31">
        <v>0</v>
      </c>
      <c r="AU85" s="30">
        <v>0</v>
      </c>
      <c r="AX85" s="2">
        <f t="shared" si="271"/>
        <v>49280</v>
      </c>
      <c r="AY85" s="32">
        <f t="shared" si="185"/>
        <v>48400</v>
      </c>
      <c r="AZ85" s="186">
        <f t="shared" si="186"/>
        <v>0.43041608946933585</v>
      </c>
      <c r="BA85" s="186">
        <f t="shared" si="187"/>
        <v>0.08214614971485576</v>
      </c>
      <c r="BB85" s="186">
        <f t="shared" si="188"/>
        <v>0.3013649779476315</v>
      </c>
      <c r="BC85" s="53">
        <f t="shared" si="272"/>
        <v>55000</v>
      </c>
      <c r="BD85" s="53">
        <f t="shared" si="189"/>
        <v>25594.596533736378</v>
      </c>
      <c r="BE85" s="53">
        <f t="shared" si="190"/>
        <v>4884.802427678357</v>
      </c>
      <c r="BF85" s="53">
        <f t="shared" si="191"/>
        <v>17920.601038585268</v>
      </c>
      <c r="BG85" s="53"/>
      <c r="BH85" s="53">
        <f t="shared" si="273"/>
        <v>3</v>
      </c>
      <c r="BI85" s="53">
        <f t="shared" si="274"/>
        <v>4</v>
      </c>
      <c r="BJ85" s="53">
        <f t="shared" si="275"/>
        <v>3</v>
      </c>
      <c r="BK85" s="53">
        <f t="shared" si="276"/>
        <v>3</v>
      </c>
      <c r="BL85" s="53"/>
      <c r="BM85" s="53">
        <f t="shared" si="277"/>
        <v>2</v>
      </c>
      <c r="BN85" s="53">
        <f t="shared" si="278"/>
        <v>2</v>
      </c>
      <c r="BO85" s="53">
        <f t="shared" si="279"/>
        <v>2</v>
      </c>
      <c r="BP85" s="53">
        <f t="shared" si="280"/>
        <v>0</v>
      </c>
      <c r="BQ85" s="53"/>
      <c r="BR85" s="53">
        <f t="shared" si="281"/>
        <v>6.5</v>
      </c>
      <c r="BS85" s="53">
        <f t="shared" si="282"/>
        <v>34.2</v>
      </c>
      <c r="BT85" s="53">
        <f t="shared" si="283"/>
        <v>11</v>
      </c>
      <c r="BU85" s="53">
        <f t="shared" si="192"/>
        <v>24816</v>
      </c>
      <c r="BV85" s="53"/>
      <c r="BW85" s="53">
        <f t="shared" si="284"/>
        <v>15600</v>
      </c>
      <c r="BX85" s="53">
        <f t="shared" si="285"/>
        <v>-21036</v>
      </c>
      <c r="BY85" s="53">
        <f t="shared" si="193"/>
        <v>-18814.91095745311</v>
      </c>
      <c r="BZ85" s="240">
        <f t="shared" si="286"/>
        <v>5.791300000000001</v>
      </c>
      <c r="CC85" s="1">
        <f t="shared" si="194"/>
        <v>0</v>
      </c>
      <c r="CD85" s="195">
        <f t="shared" si="195"/>
        <v>2873.2</v>
      </c>
      <c r="CE85" s="195">
        <f t="shared" si="196"/>
        <v>2873.2</v>
      </c>
      <c r="CF85" s="239">
        <f t="shared" si="197"/>
        <v>1.45</v>
      </c>
      <c r="CG85" s="239">
        <f t="shared" si="197"/>
        <v>9.96</v>
      </c>
      <c r="CH85" s="1">
        <f t="shared" si="287"/>
        <v>4780.8</v>
      </c>
      <c r="CK85" s="211">
        <f t="shared" si="198"/>
        <v>0</v>
      </c>
      <c r="CL85" s="211">
        <f t="shared" si="199"/>
        <v>0</v>
      </c>
      <c r="CM85" s="211">
        <f t="shared" si="200"/>
        <v>0</v>
      </c>
      <c r="CQ85" s="1">
        <f t="shared" si="288"/>
        <v>1</v>
      </c>
      <c r="CR85" s="195">
        <f t="shared" si="201"/>
        <v>10000</v>
      </c>
      <c r="CS85" s="195"/>
      <c r="CT85" s="195"/>
      <c r="CV85" s="199">
        <f t="shared" si="202"/>
        <v>28.44849408462001</v>
      </c>
      <c r="CW85" s="199">
        <f t="shared" si="203"/>
        <v>8.408421896932023</v>
      </c>
      <c r="CX85" s="199">
        <f t="shared" si="204"/>
        <v>0</v>
      </c>
      <c r="CY85" s="199">
        <f t="shared" si="205"/>
        <v>0</v>
      </c>
      <c r="CZ85" s="199">
        <f t="shared" si="206"/>
        <v>0</v>
      </c>
      <c r="DA85" s="199">
        <f t="shared" si="207"/>
        <v>0</v>
      </c>
      <c r="DB85" s="199">
        <f t="shared" si="208"/>
        <v>0</v>
      </c>
      <c r="DC85" s="199">
        <f t="shared" si="209"/>
        <v>0</v>
      </c>
      <c r="DD85" s="199">
        <f t="shared" si="210"/>
        <v>0</v>
      </c>
      <c r="DE85" s="199">
        <f t="shared" si="211"/>
        <v>0</v>
      </c>
      <c r="DF85" s="199">
        <f t="shared" si="212"/>
        <v>0</v>
      </c>
      <c r="DG85" s="199">
        <f t="shared" si="213"/>
        <v>0</v>
      </c>
      <c r="DH85" s="199">
        <f t="shared" si="214"/>
        <v>0</v>
      </c>
      <c r="DI85" s="199">
        <f t="shared" si="215"/>
        <v>0</v>
      </c>
      <c r="DJ85" s="199">
        <f t="shared" si="216"/>
        <v>0</v>
      </c>
      <c r="DK85" s="199">
        <f t="shared" si="217"/>
        <v>0</v>
      </c>
      <c r="DL85" s="199">
        <f t="shared" si="218"/>
        <v>0</v>
      </c>
      <c r="DM85" s="199">
        <f t="shared" si="219"/>
        <v>0</v>
      </c>
      <c r="DN85" s="199">
        <f t="shared" si="220"/>
        <v>0</v>
      </c>
      <c r="DO85" s="199">
        <f t="shared" si="221"/>
        <v>0</v>
      </c>
      <c r="DP85" s="199">
        <f t="shared" si="222"/>
        <v>0</v>
      </c>
      <c r="DQ85" s="199">
        <f t="shared" si="223"/>
        <v>0</v>
      </c>
      <c r="DR85" s="199">
        <f t="shared" si="224"/>
        <v>0</v>
      </c>
      <c r="DS85" s="199">
        <f t="shared" si="225"/>
        <v>0</v>
      </c>
      <c r="DT85" s="199">
        <f t="shared" si="226"/>
        <v>0</v>
      </c>
      <c r="DU85" s="199">
        <f t="shared" si="227"/>
        <v>0</v>
      </c>
      <c r="DV85" s="199">
        <f t="shared" si="228"/>
        <v>0</v>
      </c>
      <c r="DW85" s="199">
        <f t="shared" si="229"/>
        <v>0</v>
      </c>
      <c r="DX85" s="199">
        <f t="shared" si="230"/>
        <v>0</v>
      </c>
      <c r="DY85" s="199">
        <f t="shared" si="231"/>
        <v>0</v>
      </c>
      <c r="DZ85" s="199">
        <f t="shared" si="232"/>
        <v>0</v>
      </c>
      <c r="EA85" s="199">
        <f t="shared" si="233"/>
        <v>28.100145177461396</v>
      </c>
      <c r="EB85" s="199">
        <f t="shared" si="234"/>
        <v>3.243114978945257</v>
      </c>
      <c r="EC85" s="202">
        <f t="shared" si="184"/>
        <v>68.20017613795869</v>
      </c>
      <c r="ED85" s="202">
        <f>SUM(CV85:DI85,DS85:DT85,DW85,DY85,EA85:EB85)</f>
        <v>68.20017613795869</v>
      </c>
      <c r="EE85" s="203">
        <f t="shared" si="235"/>
        <v>11.289371560251666</v>
      </c>
      <c r="EF85" s="199"/>
      <c r="EI85" s="1">
        <f t="shared" si="236"/>
        <v>0.5699766927982697</v>
      </c>
      <c r="EJ85" s="1">
        <f t="shared" si="237"/>
        <v>0.010606863429336002</v>
      </c>
      <c r="EK85" s="1">
        <f t="shared" si="238"/>
        <v>0</v>
      </c>
      <c r="EL85" s="1">
        <f t="shared" si="239"/>
        <v>0</v>
      </c>
      <c r="EM85" s="1">
        <f t="shared" si="240"/>
        <v>0</v>
      </c>
      <c r="EN85" s="1">
        <f t="shared" si="241"/>
        <v>0</v>
      </c>
      <c r="EO85" s="1">
        <f t="shared" si="242"/>
        <v>0</v>
      </c>
      <c r="EP85" s="1">
        <f t="shared" si="243"/>
        <v>0</v>
      </c>
      <c r="EQ85" s="1">
        <f t="shared" si="244"/>
        <v>0</v>
      </c>
      <c r="ER85" s="1">
        <f t="shared" si="245"/>
        <v>0</v>
      </c>
      <c r="ES85" s="1">
        <f t="shared" si="246"/>
        <v>0</v>
      </c>
      <c r="ET85" s="1">
        <f t="shared" si="247"/>
        <v>0</v>
      </c>
      <c r="EU85" s="1">
        <f t="shared" si="248"/>
        <v>0</v>
      </c>
      <c r="EV85" s="1">
        <f t="shared" si="249"/>
        <v>0</v>
      </c>
      <c r="EW85" s="1">
        <f t="shared" si="250"/>
        <v>0</v>
      </c>
      <c r="EX85" s="1">
        <f t="shared" si="251"/>
        <v>0</v>
      </c>
      <c r="EY85" s="1">
        <f t="shared" si="252"/>
        <v>0</v>
      </c>
      <c r="EZ85" s="1">
        <f t="shared" si="253"/>
        <v>0</v>
      </c>
      <c r="FA85" s="1">
        <f t="shared" si="254"/>
        <v>0</v>
      </c>
      <c r="FB85" s="1">
        <f t="shared" si="255"/>
        <v>0</v>
      </c>
      <c r="FC85" s="1">
        <f t="shared" si="256"/>
        <v>0</v>
      </c>
      <c r="FD85" s="1">
        <f t="shared" si="257"/>
        <v>0</v>
      </c>
      <c r="FE85" s="1">
        <f t="shared" si="258"/>
        <v>0</v>
      </c>
      <c r="FF85" s="1">
        <f t="shared" si="259"/>
        <v>0</v>
      </c>
      <c r="FG85" s="1">
        <f t="shared" si="260"/>
        <v>0</v>
      </c>
      <c r="FH85" s="1">
        <f t="shared" si="261"/>
        <v>0</v>
      </c>
      <c r="FI85" s="1">
        <f t="shared" si="262"/>
        <v>0</v>
      </c>
      <c r="FJ85" s="1">
        <f t="shared" si="263"/>
        <v>0</v>
      </c>
      <c r="FK85" s="1">
        <f t="shared" si="264"/>
        <v>0</v>
      </c>
      <c r="FL85" s="1">
        <f t="shared" si="265"/>
        <v>0</v>
      </c>
      <c r="FM85" s="1">
        <f t="shared" si="266"/>
        <v>0</v>
      </c>
      <c r="FN85" s="1">
        <f t="shared" si="267"/>
        <v>7.46760736344</v>
      </c>
      <c r="FO85" s="1">
        <f>IF(O85=0,0,SUM(EI85:FN85))</f>
        <v>8.048190919667606</v>
      </c>
    </row>
    <row r="86" spans="1:171" ht="12.75">
      <c r="A86" s="24">
        <v>73</v>
      </c>
      <c r="B86" s="25" t="s">
        <v>235</v>
      </c>
      <c r="C86" s="25" t="s">
        <v>236</v>
      </c>
      <c r="D86" s="26" t="s">
        <v>216</v>
      </c>
      <c r="E86" s="26">
        <v>3</v>
      </c>
      <c r="F86" s="26" t="s">
        <v>211</v>
      </c>
      <c r="G86" s="26" t="s">
        <v>74</v>
      </c>
      <c r="H86" s="26" t="s">
        <v>75</v>
      </c>
      <c r="I86" s="26">
        <v>3</v>
      </c>
      <c r="J86" s="26"/>
      <c r="K86" s="26">
        <f t="shared" si="268"/>
        <v>1</v>
      </c>
      <c r="L86" s="26">
        <f t="shared" si="269"/>
        <v>1</v>
      </c>
      <c r="M86" s="24">
        <v>294108</v>
      </c>
      <c r="N86" s="24">
        <v>895825</v>
      </c>
      <c r="O86" s="27">
        <f t="shared" si="270"/>
        <v>247000</v>
      </c>
      <c r="P86" s="28">
        <v>247000</v>
      </c>
      <c r="Q86" s="28">
        <v>260000</v>
      </c>
      <c r="R86" s="28">
        <v>92000</v>
      </c>
      <c r="S86" s="29">
        <v>27000</v>
      </c>
      <c r="T86" s="29">
        <v>0</v>
      </c>
      <c r="U86" s="29">
        <v>0</v>
      </c>
      <c r="V86" s="29">
        <v>0</v>
      </c>
      <c r="W86" s="28">
        <v>102000</v>
      </c>
      <c r="X86" s="29">
        <v>2000</v>
      </c>
      <c r="Y86" s="29">
        <v>0</v>
      </c>
      <c r="Z86" s="28">
        <v>0</v>
      </c>
      <c r="AA86" s="29">
        <v>0</v>
      </c>
      <c r="AB86" s="28">
        <v>0</v>
      </c>
      <c r="AC86" s="28">
        <v>44600</v>
      </c>
      <c r="AD86" s="28">
        <v>0</v>
      </c>
      <c r="AE86" s="28">
        <v>48300</v>
      </c>
      <c r="AF86" s="28">
        <v>0</v>
      </c>
      <c r="AG86" s="28">
        <v>0</v>
      </c>
      <c r="AH86" s="28">
        <v>70100</v>
      </c>
      <c r="AI86" s="28">
        <v>0</v>
      </c>
      <c r="AJ86" s="28">
        <v>0</v>
      </c>
      <c r="AK86" s="28">
        <v>0</v>
      </c>
      <c r="AL86" s="28">
        <v>0</v>
      </c>
      <c r="AM86" s="30">
        <v>38000</v>
      </c>
      <c r="AN86" s="31">
        <v>12300</v>
      </c>
      <c r="AO86" s="30">
        <v>0</v>
      </c>
      <c r="AP86" s="31">
        <v>0</v>
      </c>
      <c r="AQ86" s="31">
        <v>0</v>
      </c>
      <c r="AR86" s="31">
        <v>0</v>
      </c>
      <c r="AS86" s="31">
        <v>5289</v>
      </c>
      <c r="AT86" s="31">
        <v>0</v>
      </c>
      <c r="AU86" s="30">
        <v>125</v>
      </c>
      <c r="AX86" s="2">
        <f t="shared" si="271"/>
        <v>213321.68</v>
      </c>
      <c r="AY86" s="32">
        <f t="shared" si="185"/>
        <v>202655.596</v>
      </c>
      <c r="AZ86" s="186">
        <f t="shared" si="186"/>
        <v>0.43041608946933585</v>
      </c>
      <c r="BA86" s="186">
        <f t="shared" si="187"/>
        <v>0.08214614971485576</v>
      </c>
      <c r="BB86" s="186">
        <f t="shared" si="188"/>
        <v>0.3013649779476315</v>
      </c>
      <c r="BC86" s="53">
        <f t="shared" si="272"/>
        <v>247000</v>
      </c>
      <c r="BD86" s="53">
        <f t="shared" si="189"/>
        <v>107167.11187859254</v>
      </c>
      <c r="BE86" s="53">
        <f t="shared" si="190"/>
        <v>20453.151804202567</v>
      </c>
      <c r="BF86" s="53">
        <f t="shared" si="191"/>
        <v>75035.33231720487</v>
      </c>
      <c r="BG86" s="53"/>
      <c r="BH86" s="53">
        <f t="shared" si="273"/>
        <v>10</v>
      </c>
      <c r="BI86" s="53">
        <f t="shared" si="274"/>
        <v>8</v>
      </c>
      <c r="BJ86" s="53">
        <f t="shared" si="275"/>
        <v>5</v>
      </c>
      <c r="BK86" s="53">
        <f t="shared" si="276"/>
        <v>7</v>
      </c>
      <c r="BL86" s="53"/>
      <c r="BM86" s="53">
        <f t="shared" si="277"/>
        <v>4</v>
      </c>
      <c r="BN86" s="53">
        <f t="shared" si="278"/>
        <v>4</v>
      </c>
      <c r="BO86" s="53">
        <f t="shared" si="279"/>
        <v>2</v>
      </c>
      <c r="BP86" s="53">
        <f t="shared" si="280"/>
        <v>0</v>
      </c>
      <c r="BQ86" s="53"/>
      <c r="BR86" s="53">
        <f t="shared" si="281"/>
        <v>13</v>
      </c>
      <c r="BS86" s="53">
        <f t="shared" si="282"/>
        <v>68.4</v>
      </c>
      <c r="BT86" s="53">
        <f t="shared" si="283"/>
        <v>11</v>
      </c>
      <c r="BU86" s="53">
        <f t="shared" si="192"/>
        <v>44352</v>
      </c>
      <c r="BV86" s="53"/>
      <c r="BW86" s="53">
        <f t="shared" si="284"/>
        <v>26000</v>
      </c>
      <c r="BX86" s="53">
        <f t="shared" si="285"/>
        <v>-38052</v>
      </c>
      <c r="BY86" s="53">
        <f t="shared" si="193"/>
        <v>-34350.184929088515</v>
      </c>
      <c r="BZ86" s="240">
        <f t="shared" si="286"/>
        <v>10.0976</v>
      </c>
      <c r="CC86" s="1">
        <f t="shared" si="194"/>
        <v>0</v>
      </c>
      <c r="CD86" s="195">
        <f t="shared" si="195"/>
        <v>8619.599999999999</v>
      </c>
      <c r="CE86" s="195">
        <f t="shared" si="196"/>
        <v>8619.599999999999</v>
      </c>
      <c r="CF86" s="239">
        <f t="shared" si="197"/>
        <v>4.35</v>
      </c>
      <c r="CG86" s="239">
        <f t="shared" si="197"/>
        <v>29.880000000000003</v>
      </c>
      <c r="CH86" s="1">
        <f t="shared" si="287"/>
        <v>14342.400000000001</v>
      </c>
      <c r="CK86" s="211">
        <f t="shared" si="198"/>
        <v>0</v>
      </c>
      <c r="CL86" s="211">
        <f t="shared" si="199"/>
        <v>0</v>
      </c>
      <c r="CM86" s="211">
        <f t="shared" si="200"/>
        <v>0</v>
      </c>
      <c r="CQ86" s="1">
        <f t="shared" si="288"/>
        <v>1</v>
      </c>
      <c r="CR86" s="195">
        <f t="shared" si="201"/>
        <v>10000</v>
      </c>
      <c r="CS86" s="195"/>
      <c r="CT86" s="195"/>
      <c r="CV86" s="199">
        <f t="shared" si="202"/>
        <v>132.08229396430718</v>
      </c>
      <c r="CW86" s="199">
        <f t="shared" si="203"/>
        <v>27.627671947062357</v>
      </c>
      <c r="CX86" s="199">
        <f t="shared" si="204"/>
        <v>53.153238419891714</v>
      </c>
      <c r="CY86" s="199">
        <f t="shared" si="205"/>
        <v>0</v>
      </c>
      <c r="CZ86" s="199">
        <f t="shared" si="206"/>
        <v>0</v>
      </c>
      <c r="DA86" s="199">
        <f t="shared" si="207"/>
        <v>0</v>
      </c>
      <c r="DB86" s="199">
        <f t="shared" si="208"/>
        <v>26.54658913174253</v>
      </c>
      <c r="DC86" s="199">
        <f t="shared" si="209"/>
        <v>0.5205213555243633</v>
      </c>
      <c r="DD86" s="199">
        <f t="shared" si="210"/>
        <v>0</v>
      </c>
      <c r="DE86" s="199">
        <f t="shared" si="211"/>
        <v>0</v>
      </c>
      <c r="DF86" s="199">
        <f t="shared" si="212"/>
        <v>0</v>
      </c>
      <c r="DG86" s="199">
        <f t="shared" si="213"/>
        <v>0</v>
      </c>
      <c r="DH86" s="199">
        <f t="shared" si="214"/>
        <v>59.15424904752356</v>
      </c>
      <c r="DI86" s="199">
        <f t="shared" si="215"/>
        <v>0</v>
      </c>
      <c r="DJ86" s="199">
        <f t="shared" si="216"/>
        <v>6.599560136354521</v>
      </c>
      <c r="DK86" s="199">
        <f t="shared" si="217"/>
        <v>0</v>
      </c>
      <c r="DL86" s="199">
        <f t="shared" si="218"/>
        <v>0</v>
      </c>
      <c r="DM86" s="199">
        <f t="shared" si="219"/>
        <v>9.57824359334269</v>
      </c>
      <c r="DN86" s="199">
        <f t="shared" si="220"/>
        <v>0</v>
      </c>
      <c r="DO86" s="199">
        <f t="shared" si="221"/>
        <v>0</v>
      </c>
      <c r="DP86" s="199">
        <f t="shared" si="222"/>
        <v>0</v>
      </c>
      <c r="DQ86" s="199">
        <f t="shared" si="223"/>
        <v>0</v>
      </c>
      <c r="DR86" s="199">
        <f t="shared" si="224"/>
        <v>5.705714858632444</v>
      </c>
      <c r="DS86" s="199">
        <f t="shared" si="225"/>
        <v>32.627679967916585</v>
      </c>
      <c r="DT86" s="199">
        <f t="shared" si="226"/>
        <v>0</v>
      </c>
      <c r="DU86" s="199">
        <f t="shared" si="227"/>
        <v>0</v>
      </c>
      <c r="DV86" s="199">
        <f t="shared" si="228"/>
        <v>0</v>
      </c>
      <c r="DW86" s="199">
        <f t="shared" si="229"/>
        <v>0</v>
      </c>
      <c r="DX86" s="199">
        <f t="shared" si="230"/>
        <v>0.3423649135752957</v>
      </c>
      <c r="DY86" s="199">
        <f t="shared" si="231"/>
        <v>0</v>
      </c>
      <c r="DZ86" s="199">
        <f t="shared" si="232"/>
        <v>0.00809143773811911</v>
      </c>
      <c r="EA86" s="199">
        <f t="shared" si="233"/>
        <v>117.65809232696206</v>
      </c>
      <c r="EB86" s="199">
        <f t="shared" si="234"/>
        <v>14.103334610775216</v>
      </c>
      <c r="EC86" s="202">
        <f t="shared" si="184"/>
        <v>485.7076457113487</v>
      </c>
      <c r="ED86" s="202">
        <f>SUM(CV86:DI86,DS86:DT86,DW86,DY86,EA86:EB86)</f>
        <v>463.4736707717056</v>
      </c>
      <c r="EE86" s="203">
        <f t="shared" si="235"/>
        <v>76.7201314429354</v>
      </c>
      <c r="EF86" s="199"/>
      <c r="EI86" s="1">
        <f t="shared" si="236"/>
        <v>0.5699766927982697</v>
      </c>
      <c r="EJ86" s="1">
        <f t="shared" si="237"/>
        <v>0.010606863429336002</v>
      </c>
      <c r="EK86" s="1">
        <f t="shared" si="238"/>
        <v>0.24682268761392</v>
      </c>
      <c r="EL86" s="1">
        <f t="shared" si="239"/>
        <v>0</v>
      </c>
      <c r="EM86" s="1">
        <f t="shared" si="240"/>
        <v>0</v>
      </c>
      <c r="EN86" s="1">
        <f t="shared" si="241"/>
        <v>0</v>
      </c>
      <c r="EO86" s="1">
        <f t="shared" si="242"/>
        <v>0.2644897670328</v>
      </c>
      <c r="EP86" s="1">
        <f t="shared" si="243"/>
        <v>0</v>
      </c>
      <c r="EQ86" s="1">
        <f t="shared" si="244"/>
        <v>0</v>
      </c>
      <c r="ER86" s="1">
        <f t="shared" si="245"/>
        <v>0</v>
      </c>
      <c r="ES86" s="1">
        <f t="shared" si="246"/>
        <v>0</v>
      </c>
      <c r="ET86" s="1">
        <f t="shared" si="247"/>
        <v>0</v>
      </c>
      <c r="EU86" s="1">
        <f t="shared" si="248"/>
        <v>0.14589546715944002</v>
      </c>
      <c r="EV86" s="1">
        <f t="shared" si="249"/>
        <v>0</v>
      </c>
      <c r="EW86" s="1">
        <f t="shared" si="250"/>
        <v>0.10099701098903999</v>
      </c>
      <c r="EX86" s="1">
        <f t="shared" si="251"/>
        <v>0</v>
      </c>
      <c r="EY86" s="1">
        <f t="shared" si="252"/>
        <v>0</v>
      </c>
      <c r="EZ86" s="1">
        <f t="shared" si="253"/>
        <v>0.10099701098903999</v>
      </c>
      <c r="FA86" s="1">
        <f t="shared" si="254"/>
        <v>0</v>
      </c>
      <c r="FB86" s="1">
        <f t="shared" si="255"/>
        <v>0</v>
      </c>
      <c r="FC86" s="1">
        <f t="shared" si="256"/>
        <v>0</v>
      </c>
      <c r="FD86" s="1">
        <f t="shared" si="257"/>
        <v>0</v>
      </c>
      <c r="FE86" s="1">
        <f t="shared" si="258"/>
        <v>0.10099701098903999</v>
      </c>
      <c r="FF86" s="1">
        <f t="shared" si="259"/>
        <v>0.059350736407200004</v>
      </c>
      <c r="FG86" s="1">
        <f t="shared" si="260"/>
        <v>0</v>
      </c>
      <c r="FH86" s="1">
        <f t="shared" si="261"/>
        <v>0</v>
      </c>
      <c r="FI86" s="1">
        <f t="shared" si="262"/>
        <v>0</v>
      </c>
      <c r="FJ86" s="1">
        <f t="shared" si="263"/>
        <v>0</v>
      </c>
      <c r="FK86" s="1">
        <f t="shared" si="264"/>
        <v>0</v>
      </c>
      <c r="FL86" s="1">
        <f t="shared" si="265"/>
        <v>0</v>
      </c>
      <c r="FM86" s="1">
        <f t="shared" si="266"/>
        <v>0.0057571153094400015</v>
      </c>
      <c r="FN86" s="1">
        <f t="shared" si="267"/>
        <v>7.46760736344</v>
      </c>
      <c r="FO86" s="1">
        <f>IF(O86=0,0,SUM(EI86:FN86))</f>
        <v>9.073497726157525</v>
      </c>
    </row>
    <row r="87" spans="1:171" ht="12.75">
      <c r="A87" s="24">
        <v>74</v>
      </c>
      <c r="B87" s="25" t="s">
        <v>207</v>
      </c>
      <c r="C87" s="25" t="s">
        <v>237</v>
      </c>
      <c r="D87" s="26" t="s">
        <v>216</v>
      </c>
      <c r="E87" s="26">
        <v>3</v>
      </c>
      <c r="F87" s="26" t="s">
        <v>211</v>
      </c>
      <c r="G87" s="26" t="s">
        <v>74</v>
      </c>
      <c r="H87" s="26" t="s">
        <v>75</v>
      </c>
      <c r="I87" s="26">
        <v>3</v>
      </c>
      <c r="J87" s="26"/>
      <c r="K87" s="26">
        <f t="shared" si="268"/>
        <v>1</v>
      </c>
      <c r="L87" s="26">
        <f t="shared" si="269"/>
        <v>1</v>
      </c>
      <c r="M87" s="24">
        <v>303134</v>
      </c>
      <c r="N87" s="24">
        <v>914508</v>
      </c>
      <c r="O87" s="27">
        <f t="shared" si="270"/>
        <v>80000</v>
      </c>
      <c r="P87" s="28">
        <v>80000</v>
      </c>
      <c r="Q87" s="28">
        <v>83000</v>
      </c>
      <c r="R87" s="28">
        <v>36200</v>
      </c>
      <c r="S87" s="29">
        <v>0</v>
      </c>
      <c r="T87" s="29">
        <v>0</v>
      </c>
      <c r="U87" s="29">
        <v>0</v>
      </c>
      <c r="V87" s="29">
        <v>0</v>
      </c>
      <c r="W87" s="28">
        <v>34000</v>
      </c>
      <c r="X87" s="29">
        <v>0</v>
      </c>
      <c r="Y87" s="29">
        <v>0</v>
      </c>
      <c r="Z87" s="28">
        <v>0</v>
      </c>
      <c r="AA87" s="29">
        <v>0</v>
      </c>
      <c r="AB87" s="28">
        <v>0</v>
      </c>
      <c r="AC87" s="28">
        <v>13000</v>
      </c>
      <c r="AD87" s="28">
        <v>0</v>
      </c>
      <c r="AE87" s="28">
        <v>14000</v>
      </c>
      <c r="AF87" s="28">
        <v>0</v>
      </c>
      <c r="AG87" s="28">
        <v>0</v>
      </c>
      <c r="AH87" s="28">
        <v>0</v>
      </c>
      <c r="AI87" s="28">
        <v>0</v>
      </c>
      <c r="AJ87" s="28">
        <v>0</v>
      </c>
      <c r="AK87" s="28">
        <v>0</v>
      </c>
      <c r="AL87" s="28">
        <v>0</v>
      </c>
      <c r="AM87" s="30">
        <v>0</v>
      </c>
      <c r="AN87" s="31">
        <v>0</v>
      </c>
      <c r="AO87" s="30">
        <v>0</v>
      </c>
      <c r="AP87" s="31">
        <v>2970</v>
      </c>
      <c r="AQ87" s="31">
        <v>6220</v>
      </c>
      <c r="AR87" s="31">
        <v>0</v>
      </c>
      <c r="AS87" s="31">
        <v>0</v>
      </c>
      <c r="AT87" s="31">
        <v>0</v>
      </c>
      <c r="AU87" s="30">
        <v>0</v>
      </c>
      <c r="AX87" s="2">
        <f t="shared" si="271"/>
        <v>73040</v>
      </c>
      <c r="AY87" s="32">
        <f t="shared" si="185"/>
        <v>70400</v>
      </c>
      <c r="AZ87" s="186">
        <f t="shared" si="186"/>
        <v>0.43041608946933585</v>
      </c>
      <c r="BA87" s="186">
        <f t="shared" si="187"/>
        <v>0.08214614971485576</v>
      </c>
      <c r="BB87" s="186">
        <f t="shared" si="188"/>
        <v>0.3013649779476315</v>
      </c>
      <c r="BC87" s="53">
        <f t="shared" si="272"/>
        <v>80000</v>
      </c>
      <c r="BD87" s="53">
        <f t="shared" si="189"/>
        <v>37228.50404907109</v>
      </c>
      <c r="BE87" s="53">
        <f t="shared" si="190"/>
        <v>7105.167167532156</v>
      </c>
      <c r="BF87" s="53">
        <f t="shared" si="191"/>
        <v>26066.328783396748</v>
      </c>
      <c r="BG87" s="53"/>
      <c r="BH87" s="53">
        <f t="shared" si="273"/>
        <v>4</v>
      </c>
      <c r="BI87" s="53">
        <f t="shared" si="274"/>
        <v>4</v>
      </c>
      <c r="BJ87" s="53">
        <f t="shared" si="275"/>
        <v>3</v>
      </c>
      <c r="BK87" s="53">
        <f t="shared" si="276"/>
        <v>3</v>
      </c>
      <c r="BL87" s="53"/>
      <c r="BM87" s="53">
        <f t="shared" si="277"/>
        <v>2</v>
      </c>
      <c r="BN87" s="53">
        <f t="shared" si="278"/>
        <v>2</v>
      </c>
      <c r="BO87" s="53">
        <f t="shared" si="279"/>
        <v>2</v>
      </c>
      <c r="BP87" s="53">
        <f t="shared" si="280"/>
        <v>0</v>
      </c>
      <c r="BQ87" s="53"/>
      <c r="BR87" s="53">
        <f t="shared" si="281"/>
        <v>6.5</v>
      </c>
      <c r="BS87" s="53">
        <f t="shared" si="282"/>
        <v>34.2</v>
      </c>
      <c r="BT87" s="53">
        <f t="shared" si="283"/>
        <v>11</v>
      </c>
      <c r="BU87" s="53">
        <f t="shared" si="192"/>
        <v>24816</v>
      </c>
      <c r="BV87" s="53"/>
      <c r="BW87" s="53">
        <f t="shared" si="284"/>
        <v>15600</v>
      </c>
      <c r="BX87" s="53">
        <f t="shared" si="285"/>
        <v>-21036</v>
      </c>
      <c r="BY87" s="53">
        <f t="shared" si="193"/>
        <v>-18814.91095745311</v>
      </c>
      <c r="BZ87" s="240">
        <f t="shared" si="286"/>
        <v>5.791300000000001</v>
      </c>
      <c r="CC87" s="1">
        <f t="shared" si="194"/>
        <v>0</v>
      </c>
      <c r="CD87" s="195">
        <f t="shared" si="195"/>
        <v>5746.4</v>
      </c>
      <c r="CE87" s="195">
        <f t="shared" si="196"/>
        <v>5746.4</v>
      </c>
      <c r="CF87" s="239">
        <f t="shared" si="197"/>
        <v>2.9</v>
      </c>
      <c r="CG87" s="239">
        <f t="shared" si="197"/>
        <v>19.92</v>
      </c>
      <c r="CH87" s="1">
        <f t="shared" si="287"/>
        <v>9561.6</v>
      </c>
      <c r="CK87" s="211">
        <f t="shared" si="198"/>
        <v>0</v>
      </c>
      <c r="CL87" s="211">
        <f t="shared" si="199"/>
        <v>0</v>
      </c>
      <c r="CM87" s="211">
        <f t="shared" si="200"/>
        <v>0</v>
      </c>
      <c r="CQ87" s="1">
        <f t="shared" si="288"/>
        <v>1</v>
      </c>
      <c r="CR87" s="195">
        <f t="shared" si="201"/>
        <v>10000</v>
      </c>
      <c r="CS87" s="195"/>
      <c r="CT87" s="195"/>
      <c r="CV87" s="199">
        <f t="shared" si="202"/>
        <v>42.16473230399037</v>
      </c>
      <c r="CW87" s="199">
        <f t="shared" si="203"/>
        <v>10.870888309604972</v>
      </c>
      <c r="CX87" s="199">
        <f t="shared" si="204"/>
        <v>0</v>
      </c>
      <c r="CY87" s="199">
        <f t="shared" si="205"/>
        <v>0</v>
      </c>
      <c r="CZ87" s="199">
        <f t="shared" si="206"/>
        <v>0</v>
      </c>
      <c r="DA87" s="199">
        <f t="shared" si="207"/>
        <v>0</v>
      </c>
      <c r="DB87" s="199">
        <f t="shared" si="208"/>
        <v>8.848863043914177</v>
      </c>
      <c r="DC87" s="199">
        <f t="shared" si="209"/>
        <v>0</v>
      </c>
      <c r="DD87" s="199">
        <f t="shared" si="210"/>
        <v>0</v>
      </c>
      <c r="DE87" s="199">
        <f t="shared" si="211"/>
        <v>0</v>
      </c>
      <c r="DF87" s="199">
        <f t="shared" si="212"/>
        <v>0</v>
      </c>
      <c r="DG87" s="199">
        <f t="shared" si="213"/>
        <v>0</v>
      </c>
      <c r="DH87" s="199">
        <f t="shared" si="214"/>
        <v>17.242269901744532</v>
      </c>
      <c r="DI87" s="199">
        <f t="shared" si="215"/>
        <v>0</v>
      </c>
      <c r="DJ87" s="199">
        <f t="shared" si="216"/>
        <v>1.9129159815520351</v>
      </c>
      <c r="DK87" s="199">
        <f t="shared" si="217"/>
        <v>0</v>
      </c>
      <c r="DL87" s="199">
        <f t="shared" si="218"/>
        <v>0</v>
      </c>
      <c r="DM87" s="199">
        <f t="shared" si="219"/>
        <v>0</v>
      </c>
      <c r="DN87" s="199">
        <f t="shared" si="220"/>
        <v>0</v>
      </c>
      <c r="DO87" s="199">
        <f t="shared" si="221"/>
        <v>0</v>
      </c>
      <c r="DP87" s="199">
        <f t="shared" si="222"/>
        <v>0</v>
      </c>
      <c r="DQ87" s="199">
        <f t="shared" si="223"/>
        <v>0</v>
      </c>
      <c r="DR87" s="199">
        <f t="shared" si="224"/>
        <v>0</v>
      </c>
      <c r="DS87" s="199">
        <f t="shared" si="225"/>
        <v>0</v>
      </c>
      <c r="DT87" s="199">
        <f t="shared" si="226"/>
        <v>0</v>
      </c>
      <c r="DU87" s="199">
        <f t="shared" si="227"/>
        <v>0.0008671185081211148</v>
      </c>
      <c r="DV87" s="199">
        <f t="shared" si="228"/>
        <v>0.0018159855624624022</v>
      </c>
      <c r="DW87" s="199">
        <f t="shared" si="229"/>
        <v>0</v>
      </c>
      <c r="DX87" s="199">
        <f t="shared" si="230"/>
        <v>0</v>
      </c>
      <c r="DY87" s="199">
        <f t="shared" si="231"/>
        <v>0</v>
      </c>
      <c r="DZ87" s="199">
        <f t="shared" si="232"/>
        <v>0</v>
      </c>
      <c r="EA87" s="199">
        <f t="shared" si="233"/>
        <v>40.87293843994385</v>
      </c>
      <c r="EB87" s="199">
        <f t="shared" si="234"/>
        <v>4.717258151193102</v>
      </c>
      <c r="EC87" s="202">
        <f t="shared" si="184"/>
        <v>126.63254923601363</v>
      </c>
      <c r="ED87" s="202">
        <f>SUM(CV87:DI87,DS87:DT87,DW87,DY87,EA87:EB87)</f>
        <v>124.71695015039101</v>
      </c>
      <c r="EE87" s="203">
        <f t="shared" si="235"/>
        <v>20.644755920586267</v>
      </c>
      <c r="EF87" s="199"/>
      <c r="EI87" s="1">
        <f t="shared" si="236"/>
        <v>0.5699766927982697</v>
      </c>
      <c r="EJ87" s="1">
        <f t="shared" si="237"/>
        <v>0.010606863429336002</v>
      </c>
      <c r="EK87" s="1">
        <f t="shared" si="238"/>
        <v>0</v>
      </c>
      <c r="EL87" s="1">
        <f t="shared" si="239"/>
        <v>0</v>
      </c>
      <c r="EM87" s="1">
        <f t="shared" si="240"/>
        <v>0</v>
      </c>
      <c r="EN87" s="1">
        <f t="shared" si="241"/>
        <v>0</v>
      </c>
      <c r="EO87" s="1">
        <f t="shared" si="242"/>
        <v>0.2644897670328</v>
      </c>
      <c r="EP87" s="1">
        <f t="shared" si="243"/>
        <v>0</v>
      </c>
      <c r="EQ87" s="1">
        <f t="shared" si="244"/>
        <v>0</v>
      </c>
      <c r="ER87" s="1">
        <f t="shared" si="245"/>
        <v>0</v>
      </c>
      <c r="ES87" s="1">
        <f t="shared" si="246"/>
        <v>0</v>
      </c>
      <c r="ET87" s="1">
        <f t="shared" si="247"/>
        <v>0</v>
      </c>
      <c r="EU87" s="1">
        <f t="shared" si="248"/>
        <v>0.14589546715944002</v>
      </c>
      <c r="EV87" s="1">
        <f t="shared" si="249"/>
        <v>0</v>
      </c>
      <c r="EW87" s="1">
        <f t="shared" si="250"/>
        <v>0.059350736407200004</v>
      </c>
      <c r="EX87" s="1">
        <f t="shared" si="251"/>
        <v>0</v>
      </c>
      <c r="EY87" s="1">
        <f t="shared" si="252"/>
        <v>0</v>
      </c>
      <c r="EZ87" s="1">
        <f t="shared" si="253"/>
        <v>0</v>
      </c>
      <c r="FA87" s="1">
        <f t="shared" si="254"/>
        <v>0</v>
      </c>
      <c r="FB87" s="1">
        <f t="shared" si="255"/>
        <v>0</v>
      </c>
      <c r="FC87" s="1">
        <f t="shared" si="256"/>
        <v>0</v>
      </c>
      <c r="FD87" s="1">
        <f t="shared" si="257"/>
        <v>0</v>
      </c>
      <c r="FE87" s="1">
        <f t="shared" si="258"/>
        <v>0</v>
      </c>
      <c r="FF87" s="1">
        <f t="shared" si="259"/>
        <v>0</v>
      </c>
      <c r="FG87" s="1">
        <f t="shared" si="260"/>
        <v>0</v>
      </c>
      <c r="FH87" s="1">
        <f t="shared" si="261"/>
        <v>0</v>
      </c>
      <c r="FI87" s="1">
        <f t="shared" si="262"/>
        <v>0</v>
      </c>
      <c r="FJ87" s="1">
        <f t="shared" si="263"/>
        <v>0</v>
      </c>
      <c r="FK87" s="1">
        <f t="shared" si="264"/>
        <v>0</v>
      </c>
      <c r="FL87" s="1">
        <f t="shared" si="265"/>
        <v>0</v>
      </c>
      <c r="FM87" s="1">
        <f t="shared" si="266"/>
        <v>0</v>
      </c>
      <c r="FN87" s="1">
        <f t="shared" si="267"/>
        <v>7.46760736344</v>
      </c>
      <c r="FO87" s="1">
        <f>IF(O87=0,0,SUM(EI87:FN87))</f>
        <v>8.517926890267045</v>
      </c>
    </row>
    <row r="88" spans="1:171" ht="12.75">
      <c r="A88" s="24">
        <v>78</v>
      </c>
      <c r="B88" s="25" t="s">
        <v>238</v>
      </c>
      <c r="C88" s="25" t="s">
        <v>239</v>
      </c>
      <c r="D88" s="26" t="s">
        <v>240</v>
      </c>
      <c r="E88" s="26">
        <v>3</v>
      </c>
      <c r="F88" s="26" t="s">
        <v>211</v>
      </c>
      <c r="G88" s="26" t="s">
        <v>74</v>
      </c>
      <c r="H88" s="26" t="s">
        <v>75</v>
      </c>
      <c r="I88" s="26">
        <v>3</v>
      </c>
      <c r="J88" s="26"/>
      <c r="K88" s="26">
        <f t="shared" si="268"/>
        <v>1</v>
      </c>
      <c r="L88" s="26">
        <f t="shared" si="269"/>
        <v>1</v>
      </c>
      <c r="M88" s="24">
        <v>302000</v>
      </c>
      <c r="N88" s="24">
        <v>892900</v>
      </c>
      <c r="O88" s="27">
        <f t="shared" si="270"/>
        <v>330000</v>
      </c>
      <c r="P88" s="28">
        <v>330000</v>
      </c>
      <c r="Q88" s="28">
        <v>360000</v>
      </c>
      <c r="R88" s="28">
        <v>314000</v>
      </c>
      <c r="S88" s="29">
        <v>105000</v>
      </c>
      <c r="T88" s="29">
        <v>0</v>
      </c>
      <c r="U88" s="29">
        <v>0</v>
      </c>
      <c r="V88" s="29">
        <v>0</v>
      </c>
      <c r="W88" s="28">
        <v>67000</v>
      </c>
      <c r="X88" s="29">
        <v>0</v>
      </c>
      <c r="Y88" s="29">
        <v>0</v>
      </c>
      <c r="Z88" s="28">
        <v>74000</v>
      </c>
      <c r="AA88" s="29">
        <v>0</v>
      </c>
      <c r="AB88" s="28">
        <v>62000</v>
      </c>
      <c r="AC88" s="28">
        <v>34000</v>
      </c>
      <c r="AD88" s="28">
        <v>0</v>
      </c>
      <c r="AE88" s="28">
        <v>57300</v>
      </c>
      <c r="AF88" s="28">
        <v>0</v>
      </c>
      <c r="AG88" s="28">
        <v>30000</v>
      </c>
      <c r="AH88" s="28">
        <v>35000</v>
      </c>
      <c r="AI88" s="28">
        <v>0</v>
      </c>
      <c r="AJ88" s="28">
        <v>0</v>
      </c>
      <c r="AK88" s="28">
        <v>100000</v>
      </c>
      <c r="AL88" s="28">
        <v>50000</v>
      </c>
      <c r="AM88" s="30">
        <v>18600</v>
      </c>
      <c r="AN88" s="31">
        <v>21000</v>
      </c>
      <c r="AO88" s="30">
        <v>20000</v>
      </c>
      <c r="AP88" s="31">
        <v>0</v>
      </c>
      <c r="AQ88" s="31">
        <v>0</v>
      </c>
      <c r="AR88" s="31">
        <v>0</v>
      </c>
      <c r="AS88" s="31">
        <v>35500</v>
      </c>
      <c r="AT88" s="31">
        <v>230</v>
      </c>
      <c r="AU88" s="30">
        <v>1300</v>
      </c>
      <c r="AX88" s="2">
        <f t="shared" si="271"/>
        <v>249480</v>
      </c>
      <c r="AY88" s="32">
        <f t="shared" si="185"/>
        <v>228690</v>
      </c>
      <c r="AZ88" s="186">
        <f t="shared" si="186"/>
        <v>0.43041608946933585</v>
      </c>
      <c r="BA88" s="186">
        <f t="shared" si="187"/>
        <v>0.08214614971485576</v>
      </c>
      <c r="BB88" s="186">
        <f t="shared" si="188"/>
        <v>0.3013649779476315</v>
      </c>
      <c r="BC88" s="53">
        <f t="shared" si="272"/>
        <v>330000</v>
      </c>
      <c r="BD88" s="53">
        <f t="shared" si="189"/>
        <v>120934.46862190438</v>
      </c>
      <c r="BE88" s="53">
        <f t="shared" si="190"/>
        <v>23080.691470780235</v>
      </c>
      <c r="BF88" s="53">
        <f t="shared" si="191"/>
        <v>84674.83990731539</v>
      </c>
      <c r="BG88" s="53"/>
      <c r="BH88" s="53">
        <f t="shared" si="273"/>
        <v>12</v>
      </c>
      <c r="BI88" s="53">
        <f t="shared" si="274"/>
        <v>9</v>
      </c>
      <c r="BJ88" s="53">
        <f t="shared" si="275"/>
        <v>5</v>
      </c>
      <c r="BK88" s="53">
        <f t="shared" si="276"/>
        <v>7</v>
      </c>
      <c r="BL88" s="53"/>
      <c r="BM88" s="53">
        <f t="shared" si="277"/>
        <v>5</v>
      </c>
      <c r="BN88" s="53">
        <f t="shared" si="278"/>
        <v>4</v>
      </c>
      <c r="BO88" s="53">
        <f t="shared" si="279"/>
        <v>2</v>
      </c>
      <c r="BP88" s="53">
        <f t="shared" si="280"/>
        <v>0</v>
      </c>
      <c r="BQ88" s="53"/>
      <c r="BR88" s="53">
        <f t="shared" si="281"/>
        <v>16.25</v>
      </c>
      <c r="BS88" s="53">
        <f t="shared" si="282"/>
        <v>68.4</v>
      </c>
      <c r="BT88" s="53">
        <f t="shared" si="283"/>
        <v>11</v>
      </c>
      <c r="BU88" s="53">
        <f t="shared" si="192"/>
        <v>45912</v>
      </c>
      <c r="BV88" s="53"/>
      <c r="BW88" s="53">
        <f t="shared" si="284"/>
        <v>28600</v>
      </c>
      <c r="BX88" s="53">
        <f t="shared" si="285"/>
        <v>-38982</v>
      </c>
      <c r="BY88" s="53">
        <f t="shared" si="193"/>
        <v>-34910.00342199737</v>
      </c>
      <c r="BZ88" s="240">
        <f t="shared" si="286"/>
        <v>10.386849999999999</v>
      </c>
      <c r="CC88" s="1">
        <f t="shared" si="194"/>
        <v>0</v>
      </c>
      <c r="CD88" s="195">
        <f t="shared" si="195"/>
        <v>8619.599999999999</v>
      </c>
      <c r="CE88" s="195">
        <f t="shared" si="196"/>
        <v>8619.599999999999</v>
      </c>
      <c r="CF88" s="239">
        <f t="shared" si="197"/>
        <v>4.35</v>
      </c>
      <c r="CG88" s="239">
        <f t="shared" si="197"/>
        <v>29.880000000000003</v>
      </c>
      <c r="CH88" s="1">
        <f t="shared" si="287"/>
        <v>14342.400000000001</v>
      </c>
      <c r="CK88" s="211">
        <f t="shared" si="198"/>
        <v>0</v>
      </c>
      <c r="CL88" s="211">
        <f t="shared" si="199"/>
        <v>0</v>
      </c>
      <c r="CM88" s="211">
        <f t="shared" si="200"/>
        <v>0</v>
      </c>
      <c r="CQ88" s="1">
        <f t="shared" si="288"/>
        <v>1</v>
      </c>
      <c r="CR88" s="195">
        <f t="shared" si="201"/>
        <v>10000</v>
      </c>
      <c r="CS88" s="195"/>
      <c r="CT88" s="195"/>
      <c r="CV88" s="199">
        <f t="shared" si="202"/>
        <v>182.88317625827148</v>
      </c>
      <c r="CW88" s="199">
        <f t="shared" si="203"/>
        <v>94.29444555845197</v>
      </c>
      <c r="CX88" s="199">
        <f t="shared" si="204"/>
        <v>206.70703829957887</v>
      </c>
      <c r="CY88" s="199">
        <f t="shared" si="205"/>
        <v>0</v>
      </c>
      <c r="CZ88" s="199">
        <f t="shared" si="206"/>
        <v>0</v>
      </c>
      <c r="DA88" s="199">
        <f t="shared" si="207"/>
        <v>0</v>
      </c>
      <c r="DB88" s="199">
        <f t="shared" si="208"/>
        <v>17.437465410066167</v>
      </c>
      <c r="DC88" s="199">
        <f t="shared" si="209"/>
        <v>0</v>
      </c>
      <c r="DD88" s="199">
        <f t="shared" si="210"/>
        <v>0</v>
      </c>
      <c r="DE88" s="199">
        <f t="shared" si="211"/>
        <v>22.469171846801682</v>
      </c>
      <c r="DF88" s="199">
        <f t="shared" si="212"/>
        <v>0</v>
      </c>
      <c r="DG88" s="199">
        <f t="shared" si="213"/>
        <v>82.23236414678162</v>
      </c>
      <c r="DH88" s="199">
        <f t="shared" si="214"/>
        <v>45.09516743533186</v>
      </c>
      <c r="DI88" s="199">
        <f t="shared" si="215"/>
        <v>0</v>
      </c>
      <c r="DJ88" s="199">
        <f t="shared" si="216"/>
        <v>7.82929183878083</v>
      </c>
      <c r="DK88" s="199">
        <f t="shared" si="217"/>
        <v>0</v>
      </c>
      <c r="DL88" s="199">
        <f t="shared" si="218"/>
        <v>4.0991056747543615</v>
      </c>
      <c r="DM88" s="199">
        <f t="shared" si="219"/>
        <v>4.782289953880087</v>
      </c>
      <c r="DN88" s="199">
        <f t="shared" si="220"/>
        <v>0</v>
      </c>
      <c r="DO88" s="199">
        <f t="shared" si="221"/>
        <v>0</v>
      </c>
      <c r="DP88" s="199">
        <f t="shared" si="222"/>
        <v>13.663685582514535</v>
      </c>
      <c r="DQ88" s="199">
        <f t="shared" si="223"/>
        <v>6.831842791257268</v>
      </c>
      <c r="DR88" s="199">
        <f t="shared" si="224"/>
        <v>2.7927972729095645</v>
      </c>
      <c r="DS88" s="199">
        <f t="shared" si="225"/>
        <v>55.70579506717465</v>
      </c>
      <c r="DT88" s="199">
        <f t="shared" si="226"/>
        <v>57.39081612191698</v>
      </c>
      <c r="DU88" s="199">
        <f t="shared" si="227"/>
        <v>0</v>
      </c>
      <c r="DV88" s="199">
        <f t="shared" si="228"/>
        <v>0</v>
      </c>
      <c r="DW88" s="199">
        <f t="shared" si="229"/>
        <v>0</v>
      </c>
      <c r="DX88" s="199">
        <f t="shared" si="230"/>
        <v>2.297968317625827</v>
      </c>
      <c r="DY88" s="199">
        <f t="shared" si="231"/>
        <v>9.516198115099257</v>
      </c>
      <c r="DZ88" s="199">
        <f t="shared" si="232"/>
        <v>0.08415095247643874</v>
      </c>
      <c r="EA88" s="199">
        <f t="shared" si="233"/>
        <v>132.7731859635051</v>
      </c>
      <c r="EB88" s="199">
        <f t="shared" si="234"/>
        <v>17.523171253258475</v>
      </c>
      <c r="EC88" s="202">
        <f t="shared" si="184"/>
        <v>966.409127860437</v>
      </c>
      <c r="ED88" s="202">
        <f>SUM(CV88:DI88,DS88:DT88,DW88,DY88,EA88:EB88)</f>
        <v>924.0279954762381</v>
      </c>
      <c r="EE88" s="203">
        <f t="shared" si="235"/>
        <v>152.95701512418452</v>
      </c>
      <c r="EF88" s="199"/>
      <c r="EI88" s="1">
        <f t="shared" si="236"/>
        <v>0.5699766927982697</v>
      </c>
      <c r="EJ88" s="1">
        <f t="shared" si="237"/>
        <v>0.010606863429336002</v>
      </c>
      <c r="EK88" s="1">
        <f t="shared" si="238"/>
        <v>0.24682268761392</v>
      </c>
      <c r="EL88" s="1">
        <f t="shared" si="239"/>
        <v>0</v>
      </c>
      <c r="EM88" s="1">
        <f t="shared" si="240"/>
        <v>0</v>
      </c>
      <c r="EN88" s="1">
        <f t="shared" si="241"/>
        <v>0</v>
      </c>
      <c r="EO88" s="1">
        <f t="shared" si="242"/>
        <v>0.2644897670328</v>
      </c>
      <c r="EP88" s="1">
        <f t="shared" si="243"/>
        <v>0</v>
      </c>
      <c r="EQ88" s="1">
        <f t="shared" si="244"/>
        <v>0.21621849683808003</v>
      </c>
      <c r="ER88" s="1">
        <f t="shared" si="245"/>
        <v>0</v>
      </c>
      <c r="ES88" s="1">
        <f t="shared" si="246"/>
        <v>0</v>
      </c>
      <c r="ET88" s="1">
        <f t="shared" si="247"/>
        <v>0.14589546715944002</v>
      </c>
      <c r="EU88" s="1">
        <f t="shared" si="248"/>
        <v>0.14589546715944002</v>
      </c>
      <c r="EV88" s="1">
        <f t="shared" si="249"/>
        <v>0</v>
      </c>
      <c r="EW88" s="1">
        <f t="shared" si="250"/>
        <v>0.10099701098903999</v>
      </c>
      <c r="EX88" s="1">
        <f t="shared" si="251"/>
        <v>0</v>
      </c>
      <c r="EY88" s="1">
        <f t="shared" si="252"/>
        <v>0.059350736407200004</v>
      </c>
      <c r="EZ88" s="1">
        <f t="shared" si="253"/>
        <v>0.059350736407200004</v>
      </c>
      <c r="FA88" s="1">
        <f t="shared" si="254"/>
        <v>0</v>
      </c>
      <c r="FB88" s="1">
        <f t="shared" si="255"/>
        <v>0</v>
      </c>
      <c r="FC88" s="1">
        <f t="shared" si="256"/>
        <v>0.10099701098903999</v>
      </c>
      <c r="FD88" s="1">
        <f t="shared" si="257"/>
        <v>0.10099701098903999</v>
      </c>
      <c r="FE88" s="1">
        <f t="shared" si="258"/>
        <v>0.059350736407200004</v>
      </c>
      <c r="FF88" s="1">
        <f t="shared" si="259"/>
        <v>0.059350736407200004</v>
      </c>
      <c r="FG88" s="1">
        <f t="shared" si="260"/>
        <v>0.059350736407200004</v>
      </c>
      <c r="FH88" s="1">
        <f t="shared" si="261"/>
        <v>0</v>
      </c>
      <c r="FI88" s="1">
        <f t="shared" si="262"/>
        <v>0</v>
      </c>
      <c r="FJ88" s="1">
        <f t="shared" si="263"/>
        <v>0</v>
      </c>
      <c r="FK88" s="1">
        <f t="shared" si="264"/>
        <v>0</v>
      </c>
      <c r="FL88" s="1">
        <f t="shared" si="265"/>
        <v>4.263919336981805</v>
      </c>
      <c r="FM88" s="1">
        <f t="shared" si="266"/>
        <v>0.0057571153094400015</v>
      </c>
      <c r="FN88" s="1">
        <f t="shared" si="267"/>
        <v>7.46760736344</v>
      </c>
      <c r="FO88" s="1">
        <f>IF(O88=0,0,SUM(EI88:FN88))</f>
        <v>13.93693397276565</v>
      </c>
    </row>
    <row r="89" spans="1:171" ht="12.75">
      <c r="A89" s="24">
        <v>1.5</v>
      </c>
      <c r="B89" s="25" t="s">
        <v>241</v>
      </c>
      <c r="C89" s="25" t="s">
        <v>242</v>
      </c>
      <c r="D89" s="26" t="s">
        <v>210</v>
      </c>
      <c r="E89" s="26">
        <v>3</v>
      </c>
      <c r="F89" s="26" t="s">
        <v>243</v>
      </c>
      <c r="G89" s="26" t="s">
        <v>74</v>
      </c>
      <c r="H89" s="26" t="s">
        <v>75</v>
      </c>
      <c r="I89" s="26">
        <v>3</v>
      </c>
      <c r="J89" s="26"/>
      <c r="K89" s="26">
        <f t="shared" si="268"/>
        <v>0</v>
      </c>
      <c r="L89" s="26">
        <f t="shared" si="269"/>
        <v>0</v>
      </c>
      <c r="M89" s="24"/>
      <c r="N89" s="24"/>
      <c r="O89" s="27">
        <f t="shared" si="270"/>
        <v>4100</v>
      </c>
      <c r="P89" s="28">
        <v>4100</v>
      </c>
      <c r="Q89" s="28">
        <v>5000</v>
      </c>
      <c r="R89" s="28">
        <v>0</v>
      </c>
      <c r="S89" s="29">
        <v>0</v>
      </c>
      <c r="T89" s="29">
        <v>0</v>
      </c>
      <c r="U89" s="29">
        <v>0</v>
      </c>
      <c r="V89" s="29">
        <v>0</v>
      </c>
      <c r="W89" s="28">
        <v>0</v>
      </c>
      <c r="X89" s="29">
        <v>0</v>
      </c>
      <c r="Y89" s="28">
        <v>0</v>
      </c>
      <c r="Z89" s="28">
        <v>0</v>
      </c>
      <c r="AA89" s="28">
        <v>0</v>
      </c>
      <c r="AB89" s="28">
        <v>0</v>
      </c>
      <c r="AC89" s="28">
        <v>0</v>
      </c>
      <c r="AD89" s="28">
        <v>0</v>
      </c>
      <c r="AE89" s="28">
        <v>0</v>
      </c>
      <c r="AF89" s="28">
        <v>0</v>
      </c>
      <c r="AG89" s="28">
        <v>0</v>
      </c>
      <c r="AH89" s="28">
        <v>0</v>
      </c>
      <c r="AI89" s="28">
        <v>0</v>
      </c>
      <c r="AJ89" s="28">
        <v>0</v>
      </c>
      <c r="AK89" s="28">
        <v>0</v>
      </c>
      <c r="AL89" s="28">
        <v>0</v>
      </c>
      <c r="AM89" s="30">
        <v>0</v>
      </c>
      <c r="AN89" s="30">
        <v>0</v>
      </c>
      <c r="AO89" s="30">
        <v>0</v>
      </c>
      <c r="AP89" s="30">
        <v>0</v>
      </c>
      <c r="AQ89" s="30">
        <v>0</v>
      </c>
      <c r="AR89" s="30">
        <v>0</v>
      </c>
      <c r="AS89" s="30">
        <v>0</v>
      </c>
      <c r="AT89" s="30">
        <v>0</v>
      </c>
      <c r="AU89" s="30">
        <v>0</v>
      </c>
      <c r="AX89" s="2">
        <f t="shared" si="271"/>
        <v>4400</v>
      </c>
      <c r="AY89" s="32">
        <f t="shared" si="185"/>
        <v>3608</v>
      </c>
      <c r="AZ89" s="186">
        <f t="shared" si="186"/>
        <v>0.2213641427939134</v>
      </c>
      <c r="BA89" s="186">
        <f t="shared" si="187"/>
        <v>0.05487553608766655</v>
      </c>
      <c r="BB89" s="186">
        <f t="shared" si="188"/>
        <v>0.2613436913356023</v>
      </c>
      <c r="BC89" s="53">
        <f t="shared" si="272"/>
        <v>4100</v>
      </c>
      <c r="BD89" s="53">
        <f t="shared" si="189"/>
        <v>1485.689237146183</v>
      </c>
      <c r="BE89" s="53">
        <f t="shared" si="190"/>
        <v>368.2981006728558</v>
      </c>
      <c r="BF89" s="53">
        <f t="shared" si="191"/>
        <v>1754.0126621809613</v>
      </c>
      <c r="BG89" s="53"/>
      <c r="BH89" s="53">
        <f t="shared" si="273"/>
        <v>2</v>
      </c>
      <c r="BI89" s="53">
        <f t="shared" si="274"/>
        <v>3</v>
      </c>
      <c r="BJ89" s="53">
        <f t="shared" si="275"/>
        <v>3</v>
      </c>
      <c r="BK89" s="53">
        <f t="shared" si="276"/>
        <v>2</v>
      </c>
      <c r="BL89" s="53"/>
      <c r="BM89" s="53">
        <f t="shared" si="277"/>
        <v>1</v>
      </c>
      <c r="BN89" s="53">
        <f t="shared" si="278"/>
        <v>2</v>
      </c>
      <c r="BO89" s="53">
        <f t="shared" si="279"/>
        <v>2</v>
      </c>
      <c r="BP89" s="53">
        <f t="shared" si="280"/>
        <v>0</v>
      </c>
      <c r="BQ89" s="53"/>
      <c r="BR89" s="53">
        <f t="shared" si="281"/>
        <v>3.25</v>
      </c>
      <c r="BS89" s="53">
        <f t="shared" si="282"/>
        <v>34.2</v>
      </c>
      <c r="BT89" s="53">
        <f t="shared" si="283"/>
        <v>11</v>
      </c>
      <c r="BU89" s="53">
        <f t="shared" si="192"/>
        <v>23256</v>
      </c>
      <c r="BV89" s="53"/>
      <c r="BW89" s="53">
        <f t="shared" si="284"/>
        <v>13000</v>
      </c>
      <c r="BX89" s="53">
        <f t="shared" si="285"/>
        <v>-20106</v>
      </c>
      <c r="BY89" s="53">
        <f t="shared" si="193"/>
        <v>-18255.092464544257</v>
      </c>
      <c r="BZ89" s="240">
        <f t="shared" si="286"/>
        <v>5.5020500000000006</v>
      </c>
      <c r="CC89" s="1">
        <f t="shared" si="194"/>
        <v>0</v>
      </c>
      <c r="CD89" s="195">
        <f t="shared" si="195"/>
        <v>2873.2</v>
      </c>
      <c r="CE89" s="195">
        <f t="shared" si="196"/>
        <v>2873.2</v>
      </c>
      <c r="CF89" s="239">
        <f t="shared" si="197"/>
        <v>1.45</v>
      </c>
      <c r="CG89" s="239">
        <f t="shared" si="197"/>
        <v>9.96</v>
      </c>
      <c r="CH89" s="1">
        <f t="shared" si="287"/>
        <v>4780.8</v>
      </c>
      <c r="CK89" s="211">
        <f t="shared" si="198"/>
        <v>0</v>
      </c>
      <c r="CL89" s="211">
        <f t="shared" si="199"/>
        <v>0</v>
      </c>
      <c r="CM89" s="211">
        <f t="shared" si="200"/>
        <v>0</v>
      </c>
      <c r="CQ89" s="1">
        <f t="shared" si="288"/>
        <v>0</v>
      </c>
      <c r="CR89" s="195">
        <f t="shared" si="201"/>
        <v>0</v>
      </c>
      <c r="CS89" s="195"/>
      <c r="CT89" s="195"/>
      <c r="CV89" s="199">
        <f t="shared" si="202"/>
        <v>2.540044114698215</v>
      </c>
      <c r="CW89" s="199">
        <f t="shared" si="203"/>
        <v>0</v>
      </c>
      <c r="CX89" s="199">
        <f t="shared" si="204"/>
        <v>0</v>
      </c>
      <c r="CY89" s="199">
        <f t="shared" si="205"/>
        <v>0</v>
      </c>
      <c r="CZ89" s="199">
        <f t="shared" si="206"/>
        <v>0</v>
      </c>
      <c r="DA89" s="199">
        <f t="shared" si="207"/>
        <v>0</v>
      </c>
      <c r="DB89" s="199">
        <f t="shared" si="208"/>
        <v>0</v>
      </c>
      <c r="DC89" s="199">
        <f t="shared" si="209"/>
        <v>0</v>
      </c>
      <c r="DD89" s="199">
        <f t="shared" si="210"/>
        <v>0</v>
      </c>
      <c r="DE89" s="199">
        <f t="shared" si="211"/>
        <v>0</v>
      </c>
      <c r="DF89" s="199">
        <f t="shared" si="212"/>
        <v>0</v>
      </c>
      <c r="DG89" s="199">
        <f t="shared" si="213"/>
        <v>0</v>
      </c>
      <c r="DH89" s="199">
        <f t="shared" si="214"/>
        <v>0</v>
      </c>
      <c r="DI89" s="199">
        <f t="shared" si="215"/>
        <v>0</v>
      </c>
      <c r="DJ89" s="199">
        <f t="shared" si="216"/>
        <v>0</v>
      </c>
      <c r="DK89" s="199">
        <f t="shared" si="217"/>
        <v>0</v>
      </c>
      <c r="DL89" s="199">
        <f t="shared" si="218"/>
        <v>0</v>
      </c>
      <c r="DM89" s="199">
        <f t="shared" si="219"/>
        <v>0</v>
      </c>
      <c r="DN89" s="199">
        <f t="shared" si="220"/>
        <v>0</v>
      </c>
      <c r="DO89" s="199">
        <f t="shared" si="221"/>
        <v>0</v>
      </c>
      <c r="DP89" s="199">
        <f t="shared" si="222"/>
        <v>0</v>
      </c>
      <c r="DQ89" s="199">
        <f t="shared" si="223"/>
        <v>0</v>
      </c>
      <c r="DR89" s="199">
        <f t="shared" si="224"/>
        <v>0</v>
      </c>
      <c r="DS89" s="199">
        <f t="shared" si="225"/>
        <v>0</v>
      </c>
      <c r="DT89" s="199">
        <f t="shared" si="226"/>
        <v>0</v>
      </c>
      <c r="DU89" s="199">
        <f t="shared" si="227"/>
        <v>0</v>
      </c>
      <c r="DV89" s="199">
        <f t="shared" si="228"/>
        <v>0</v>
      </c>
      <c r="DW89" s="199">
        <f t="shared" si="229"/>
        <v>0</v>
      </c>
      <c r="DX89" s="199">
        <f t="shared" si="230"/>
        <v>0</v>
      </c>
      <c r="DY89" s="199">
        <f t="shared" si="231"/>
        <v>0</v>
      </c>
      <c r="DZ89" s="199">
        <f t="shared" si="232"/>
        <v>0</v>
      </c>
      <c r="EA89" s="199">
        <f t="shared" si="233"/>
        <v>2.094738095047122</v>
      </c>
      <c r="EB89" s="199">
        <f t="shared" si="234"/>
        <v>0.24175948024864644</v>
      </c>
      <c r="EC89" s="202">
        <f t="shared" si="184"/>
        <v>4.876541689993983</v>
      </c>
      <c r="ED89" s="202">
        <f>SUM(CV89:DI89,DS89:DT89,DW89,DY89,EA89:EB89)</f>
        <v>4.876541689993983</v>
      </c>
      <c r="EE89" s="203">
        <f t="shared" si="235"/>
        <v>0.8072279895001377</v>
      </c>
      <c r="EF89" s="199"/>
      <c r="EI89" s="1">
        <f t="shared" si="236"/>
        <v>0.18495710758393283</v>
      </c>
      <c r="EJ89" s="1">
        <f t="shared" si="237"/>
        <v>0</v>
      </c>
      <c r="EK89" s="1">
        <f t="shared" si="238"/>
        <v>0</v>
      </c>
      <c r="EL89" s="1">
        <f t="shared" si="239"/>
        <v>0</v>
      </c>
      <c r="EM89" s="1">
        <f t="shared" si="240"/>
        <v>0</v>
      </c>
      <c r="EN89" s="1">
        <f t="shared" si="241"/>
        <v>0</v>
      </c>
      <c r="EO89" s="1">
        <f t="shared" si="242"/>
        <v>0</v>
      </c>
      <c r="EP89" s="1">
        <f t="shared" si="243"/>
        <v>0</v>
      </c>
      <c r="EQ89" s="1">
        <f t="shared" si="244"/>
        <v>0</v>
      </c>
      <c r="ER89" s="1">
        <f t="shared" si="245"/>
        <v>0</v>
      </c>
      <c r="ES89" s="1">
        <f t="shared" si="246"/>
        <v>0</v>
      </c>
      <c r="ET89" s="1">
        <f t="shared" si="247"/>
        <v>0</v>
      </c>
      <c r="EU89" s="1">
        <f t="shared" si="248"/>
        <v>0</v>
      </c>
      <c r="EV89" s="1">
        <f t="shared" si="249"/>
        <v>0</v>
      </c>
      <c r="EW89" s="1">
        <f t="shared" si="250"/>
        <v>0</v>
      </c>
      <c r="EX89" s="1">
        <f t="shared" si="251"/>
        <v>0</v>
      </c>
      <c r="EY89" s="1">
        <f t="shared" si="252"/>
        <v>0</v>
      </c>
      <c r="EZ89" s="1">
        <f t="shared" si="253"/>
        <v>0</v>
      </c>
      <c r="FA89" s="1">
        <f t="shared" si="254"/>
        <v>0</v>
      </c>
      <c r="FB89" s="1">
        <f t="shared" si="255"/>
        <v>0</v>
      </c>
      <c r="FC89" s="1">
        <f t="shared" si="256"/>
        <v>0</v>
      </c>
      <c r="FD89" s="1">
        <f t="shared" si="257"/>
        <v>0</v>
      </c>
      <c r="FE89" s="1">
        <f t="shared" si="258"/>
        <v>0</v>
      </c>
      <c r="FF89" s="1">
        <f t="shared" si="259"/>
        <v>0</v>
      </c>
      <c r="FG89" s="1">
        <f t="shared" si="260"/>
        <v>0</v>
      </c>
      <c r="FH89" s="1">
        <f t="shared" si="261"/>
        <v>0</v>
      </c>
      <c r="FI89" s="1">
        <f t="shared" si="262"/>
        <v>0</v>
      </c>
      <c r="FJ89" s="1">
        <f t="shared" si="263"/>
        <v>0</v>
      </c>
      <c r="FK89" s="1">
        <f t="shared" si="264"/>
        <v>0</v>
      </c>
      <c r="FL89" s="1">
        <f t="shared" si="265"/>
        <v>0</v>
      </c>
      <c r="FM89" s="1">
        <f t="shared" si="266"/>
        <v>0</v>
      </c>
      <c r="FN89" s="1">
        <f t="shared" si="267"/>
        <v>4.472293968912</v>
      </c>
      <c r="FO89" s="1">
        <f>IF(O89=0,0,SUM(EI89:FN89))</f>
        <v>4.657251076495933</v>
      </c>
    </row>
    <row r="90" spans="1:171" ht="12.75">
      <c r="A90" s="24">
        <v>2</v>
      </c>
      <c r="B90" s="25" t="s">
        <v>244</v>
      </c>
      <c r="C90" s="25" t="s">
        <v>245</v>
      </c>
      <c r="D90" s="26" t="s">
        <v>210</v>
      </c>
      <c r="E90" s="26">
        <v>3</v>
      </c>
      <c r="F90" s="26" t="s">
        <v>243</v>
      </c>
      <c r="G90" s="26" t="s">
        <v>74</v>
      </c>
      <c r="H90" s="26" t="s">
        <v>75</v>
      </c>
      <c r="I90" s="26">
        <v>3</v>
      </c>
      <c r="J90" s="26"/>
      <c r="K90" s="26">
        <f t="shared" si="268"/>
        <v>1</v>
      </c>
      <c r="L90" s="26">
        <f t="shared" si="269"/>
        <v>1</v>
      </c>
      <c r="M90" s="24">
        <v>331203</v>
      </c>
      <c r="N90" s="24">
        <v>873840</v>
      </c>
      <c r="O90" s="27">
        <f t="shared" si="270"/>
        <v>34500</v>
      </c>
      <c r="P90" s="28">
        <v>34500</v>
      </c>
      <c r="Q90" s="28">
        <v>38000</v>
      </c>
      <c r="R90" s="28">
        <v>15000</v>
      </c>
      <c r="S90" s="29">
        <v>14000</v>
      </c>
      <c r="T90" s="29">
        <v>0</v>
      </c>
      <c r="U90" s="29">
        <v>0</v>
      </c>
      <c r="V90" s="29">
        <v>0</v>
      </c>
      <c r="W90" s="28">
        <v>0</v>
      </c>
      <c r="X90" s="29">
        <v>0</v>
      </c>
      <c r="Y90" s="28">
        <v>0</v>
      </c>
      <c r="Z90" s="28">
        <v>0</v>
      </c>
      <c r="AA90" s="28">
        <v>0</v>
      </c>
      <c r="AB90" s="28">
        <v>7200</v>
      </c>
      <c r="AC90" s="28">
        <v>0</v>
      </c>
      <c r="AD90" s="28">
        <v>0</v>
      </c>
      <c r="AE90" s="28">
        <v>10000</v>
      </c>
      <c r="AF90" s="28">
        <v>0</v>
      </c>
      <c r="AG90" s="28">
        <v>2000</v>
      </c>
      <c r="AH90" s="28">
        <v>0</v>
      </c>
      <c r="AI90" s="28">
        <v>12000</v>
      </c>
      <c r="AJ90" s="28">
        <v>0</v>
      </c>
      <c r="AK90" s="28">
        <v>10500</v>
      </c>
      <c r="AL90" s="28">
        <v>0</v>
      </c>
      <c r="AM90" s="30">
        <v>0</v>
      </c>
      <c r="AN90" s="30">
        <v>0</v>
      </c>
      <c r="AO90" s="30">
        <v>15000</v>
      </c>
      <c r="AP90" s="30">
        <v>0</v>
      </c>
      <c r="AQ90" s="30">
        <v>0</v>
      </c>
      <c r="AR90" s="30">
        <v>0</v>
      </c>
      <c r="AS90" s="30">
        <v>2500</v>
      </c>
      <c r="AT90" s="30">
        <v>6</v>
      </c>
      <c r="AU90" s="30">
        <v>80</v>
      </c>
      <c r="AX90" s="2">
        <f t="shared" si="271"/>
        <v>18040</v>
      </c>
      <c r="AY90" s="32">
        <f t="shared" si="185"/>
        <v>16378.42105263158</v>
      </c>
      <c r="AZ90" s="186">
        <f t="shared" si="186"/>
        <v>0.2213641427939134</v>
      </c>
      <c r="BA90" s="186">
        <f t="shared" si="187"/>
        <v>0.05487553608766655</v>
      </c>
      <c r="BB90" s="186">
        <f t="shared" si="188"/>
        <v>0.2613436913356023</v>
      </c>
      <c r="BC90" s="53">
        <f t="shared" si="272"/>
        <v>34500</v>
      </c>
      <c r="BD90" s="53">
        <f t="shared" si="189"/>
        <v>6744.24719493991</v>
      </c>
      <c r="BE90" s="53">
        <f t="shared" si="190"/>
        <v>1671.8795359491482</v>
      </c>
      <c r="BF90" s="53">
        <f t="shared" si="191"/>
        <v>7962.294321742522</v>
      </c>
      <c r="BG90" s="53"/>
      <c r="BH90" s="53">
        <f t="shared" si="273"/>
        <v>3</v>
      </c>
      <c r="BI90" s="53">
        <f t="shared" si="274"/>
        <v>3</v>
      </c>
      <c r="BJ90" s="53">
        <f t="shared" si="275"/>
        <v>3</v>
      </c>
      <c r="BK90" s="53">
        <f t="shared" si="276"/>
        <v>2</v>
      </c>
      <c r="BL90" s="53"/>
      <c r="BM90" s="53">
        <f t="shared" si="277"/>
        <v>2</v>
      </c>
      <c r="BN90" s="53">
        <f t="shared" si="278"/>
        <v>2</v>
      </c>
      <c r="BO90" s="53">
        <f t="shared" si="279"/>
        <v>2</v>
      </c>
      <c r="BP90" s="53">
        <f t="shared" si="280"/>
        <v>0</v>
      </c>
      <c r="BQ90" s="53"/>
      <c r="BR90" s="53">
        <f t="shared" si="281"/>
        <v>6.5</v>
      </c>
      <c r="BS90" s="53">
        <f t="shared" si="282"/>
        <v>34.2</v>
      </c>
      <c r="BT90" s="53">
        <f t="shared" si="283"/>
        <v>11</v>
      </c>
      <c r="BU90" s="53">
        <f t="shared" si="192"/>
        <v>24816</v>
      </c>
      <c r="BV90" s="53"/>
      <c r="BW90" s="53">
        <f t="shared" si="284"/>
        <v>15600</v>
      </c>
      <c r="BX90" s="53">
        <f t="shared" si="285"/>
        <v>-21036</v>
      </c>
      <c r="BY90" s="53">
        <f t="shared" si="193"/>
        <v>-18814.91095745311</v>
      </c>
      <c r="BZ90" s="240">
        <f t="shared" si="286"/>
        <v>5.791300000000001</v>
      </c>
      <c r="CC90" s="1">
        <f t="shared" si="194"/>
        <v>0</v>
      </c>
      <c r="CD90" s="195">
        <f t="shared" si="195"/>
        <v>2873.2</v>
      </c>
      <c r="CE90" s="195">
        <f t="shared" si="196"/>
        <v>2873.2</v>
      </c>
      <c r="CF90" s="239">
        <f t="shared" si="197"/>
        <v>1.45</v>
      </c>
      <c r="CG90" s="239">
        <f t="shared" si="197"/>
        <v>9.96</v>
      </c>
      <c r="CH90" s="1">
        <f t="shared" si="287"/>
        <v>4780.8</v>
      </c>
      <c r="CK90" s="211">
        <f t="shared" si="198"/>
        <v>0</v>
      </c>
      <c r="CL90" s="211">
        <f t="shared" si="199"/>
        <v>0</v>
      </c>
      <c r="CM90" s="211">
        <f t="shared" si="200"/>
        <v>0</v>
      </c>
      <c r="CQ90" s="1">
        <f t="shared" si="288"/>
        <v>1</v>
      </c>
      <c r="CR90" s="195">
        <f t="shared" si="201"/>
        <v>10000</v>
      </c>
      <c r="CS90" s="195"/>
      <c r="CT90" s="195"/>
      <c r="CV90" s="199">
        <f t="shared" si="202"/>
        <v>19.304335271706435</v>
      </c>
      <c r="CW90" s="199">
        <f t="shared" si="203"/>
        <v>4.504511730499297</v>
      </c>
      <c r="CX90" s="199">
        <f t="shared" si="204"/>
        <v>27.56093843994385</v>
      </c>
      <c r="CY90" s="199">
        <f t="shared" si="205"/>
        <v>0</v>
      </c>
      <c r="CZ90" s="199">
        <f t="shared" si="206"/>
        <v>0</v>
      </c>
      <c r="DA90" s="199">
        <f t="shared" si="207"/>
        <v>0</v>
      </c>
      <c r="DB90" s="199">
        <f t="shared" si="208"/>
        <v>0</v>
      </c>
      <c r="DC90" s="199">
        <f t="shared" si="209"/>
        <v>0</v>
      </c>
      <c r="DD90" s="199">
        <f t="shared" si="210"/>
        <v>0</v>
      </c>
      <c r="DE90" s="199">
        <f t="shared" si="211"/>
        <v>0</v>
      </c>
      <c r="DF90" s="199">
        <f t="shared" si="212"/>
        <v>0</v>
      </c>
      <c r="DG90" s="199">
        <f t="shared" si="213"/>
        <v>9.54956486865851</v>
      </c>
      <c r="DH90" s="199">
        <f t="shared" si="214"/>
        <v>0</v>
      </c>
      <c r="DI90" s="199">
        <f t="shared" si="215"/>
        <v>0</v>
      </c>
      <c r="DJ90" s="199">
        <f t="shared" si="216"/>
        <v>1.3663685582514535</v>
      </c>
      <c r="DK90" s="199">
        <f t="shared" si="217"/>
        <v>0</v>
      </c>
      <c r="DL90" s="199">
        <f t="shared" si="218"/>
        <v>0.2732737116502907</v>
      </c>
      <c r="DM90" s="199">
        <f t="shared" si="219"/>
        <v>0</v>
      </c>
      <c r="DN90" s="199">
        <f t="shared" si="220"/>
        <v>1.6396422699017443</v>
      </c>
      <c r="DO90" s="199">
        <f t="shared" si="221"/>
        <v>0</v>
      </c>
      <c r="DP90" s="199">
        <f t="shared" si="222"/>
        <v>1.4346869861640263</v>
      </c>
      <c r="DQ90" s="199">
        <f t="shared" si="223"/>
        <v>0</v>
      </c>
      <c r="DR90" s="199">
        <f t="shared" si="224"/>
        <v>0</v>
      </c>
      <c r="DS90" s="199">
        <f t="shared" si="225"/>
        <v>0</v>
      </c>
      <c r="DT90" s="199">
        <f t="shared" si="226"/>
        <v>43.043112091437735</v>
      </c>
      <c r="DU90" s="199">
        <f t="shared" si="227"/>
        <v>0</v>
      </c>
      <c r="DV90" s="199">
        <f t="shared" si="228"/>
        <v>0</v>
      </c>
      <c r="DW90" s="199">
        <f t="shared" si="229"/>
        <v>0</v>
      </c>
      <c r="DX90" s="199">
        <f t="shared" si="230"/>
        <v>0.16182875476238218</v>
      </c>
      <c r="DY90" s="199">
        <f t="shared" si="231"/>
        <v>0.24824864648085018</v>
      </c>
      <c r="DZ90" s="199">
        <f t="shared" si="232"/>
        <v>0.005178520152396231</v>
      </c>
      <c r="EA90" s="199">
        <f t="shared" si="233"/>
        <v>9.5090084577797</v>
      </c>
      <c r="EB90" s="199">
        <f t="shared" si="234"/>
        <v>1.5957888725422942</v>
      </c>
      <c r="EC90" s="202">
        <f t="shared" si="184"/>
        <v>120.19648717993095</v>
      </c>
      <c r="ED90" s="202">
        <f>SUM(CV90:DI90,DS90:DT90,DW90,DY90,EA90:EB90)</f>
        <v>115.31550837904867</v>
      </c>
      <c r="EE90" s="203">
        <f t="shared" si="235"/>
        <v>19.088508189729144</v>
      </c>
      <c r="EF90" s="199"/>
      <c r="EI90" s="1">
        <f t="shared" si="236"/>
        <v>0.18495710758393283</v>
      </c>
      <c r="EJ90" s="1">
        <f t="shared" si="237"/>
        <v>0.002442336444552</v>
      </c>
      <c r="EK90" s="1">
        <f t="shared" si="238"/>
        <v>0.24682268761392</v>
      </c>
      <c r="EL90" s="1">
        <f t="shared" si="239"/>
        <v>0</v>
      </c>
      <c r="EM90" s="1">
        <f t="shared" si="240"/>
        <v>0</v>
      </c>
      <c r="EN90" s="1">
        <f t="shared" si="241"/>
        <v>0</v>
      </c>
      <c r="EO90" s="1">
        <f t="shared" si="242"/>
        <v>0</v>
      </c>
      <c r="EP90" s="1">
        <f t="shared" si="243"/>
        <v>0</v>
      </c>
      <c r="EQ90" s="1">
        <f t="shared" si="244"/>
        <v>0</v>
      </c>
      <c r="ER90" s="1">
        <f t="shared" si="245"/>
        <v>0</v>
      </c>
      <c r="ES90" s="1">
        <f t="shared" si="246"/>
        <v>0</v>
      </c>
      <c r="ET90" s="1">
        <f t="shared" si="247"/>
        <v>0.07346601658824001</v>
      </c>
      <c r="EU90" s="1">
        <f t="shared" si="248"/>
        <v>0</v>
      </c>
      <c r="EV90" s="1">
        <f t="shared" si="249"/>
        <v>0</v>
      </c>
      <c r="EW90" s="1">
        <f t="shared" si="250"/>
        <v>0.059350736407200004</v>
      </c>
      <c r="EX90" s="1">
        <f t="shared" si="251"/>
        <v>0</v>
      </c>
      <c r="EY90" s="1">
        <f t="shared" si="252"/>
        <v>0.059350736407200004</v>
      </c>
      <c r="EZ90" s="1">
        <f t="shared" si="253"/>
        <v>0</v>
      </c>
      <c r="FA90" s="1">
        <f t="shared" si="254"/>
        <v>0.059350736407200004</v>
      </c>
      <c r="FB90" s="1">
        <f t="shared" si="255"/>
        <v>0</v>
      </c>
      <c r="FC90" s="1">
        <f t="shared" si="256"/>
        <v>0.059350736407200004</v>
      </c>
      <c r="FD90" s="1">
        <f t="shared" si="257"/>
        <v>0</v>
      </c>
      <c r="FE90" s="1">
        <f t="shared" si="258"/>
        <v>0</v>
      </c>
      <c r="FF90" s="1">
        <f t="shared" si="259"/>
        <v>0</v>
      </c>
      <c r="FG90" s="1">
        <f t="shared" si="260"/>
        <v>0.059350736407200004</v>
      </c>
      <c r="FH90" s="1">
        <f t="shared" si="261"/>
        <v>0</v>
      </c>
      <c r="FI90" s="1">
        <f t="shared" si="262"/>
        <v>0</v>
      </c>
      <c r="FJ90" s="1">
        <f t="shared" si="263"/>
        <v>0</v>
      </c>
      <c r="FK90" s="1">
        <f t="shared" si="264"/>
        <v>0</v>
      </c>
      <c r="FL90" s="1">
        <f t="shared" si="265"/>
        <v>4.300268812675172</v>
      </c>
      <c r="FM90" s="1">
        <f t="shared" si="266"/>
        <v>0.0057571153094400015</v>
      </c>
      <c r="FN90" s="1">
        <f t="shared" si="267"/>
        <v>4.472293968912</v>
      </c>
      <c r="FO90" s="1">
        <f>IF(O90=0,0,SUM(EI90:FN90))</f>
        <v>9.582761727163255</v>
      </c>
    </row>
    <row r="91" spans="1:171" ht="12.75">
      <c r="A91" s="24">
        <v>11</v>
      </c>
      <c r="B91" s="25" t="s">
        <v>246</v>
      </c>
      <c r="C91" s="25" t="s">
        <v>247</v>
      </c>
      <c r="D91" s="26" t="s">
        <v>248</v>
      </c>
      <c r="E91" s="26">
        <v>3</v>
      </c>
      <c r="F91" s="26" t="s">
        <v>243</v>
      </c>
      <c r="G91" s="26" t="s">
        <v>74</v>
      </c>
      <c r="H91" s="26" t="s">
        <v>75</v>
      </c>
      <c r="I91" s="26">
        <v>3</v>
      </c>
      <c r="J91" s="26"/>
      <c r="K91" s="26">
        <f t="shared" si="268"/>
        <v>0</v>
      </c>
      <c r="L91" s="26">
        <f t="shared" si="269"/>
        <v>0</v>
      </c>
      <c r="M91" s="24">
        <v>332148</v>
      </c>
      <c r="N91" s="24">
        <v>924244</v>
      </c>
      <c r="O91" s="27">
        <f t="shared" si="270"/>
        <v>7200</v>
      </c>
      <c r="P91" s="28">
        <v>7200</v>
      </c>
      <c r="Q91" s="28">
        <v>7400</v>
      </c>
      <c r="R91" s="28">
        <v>3500</v>
      </c>
      <c r="S91" s="29">
        <v>0</v>
      </c>
      <c r="T91" s="29">
        <v>0</v>
      </c>
      <c r="U91" s="29">
        <v>0</v>
      </c>
      <c r="V91" s="29">
        <v>0</v>
      </c>
      <c r="W91" s="28">
        <v>0</v>
      </c>
      <c r="X91" s="29">
        <v>0</v>
      </c>
      <c r="Y91" s="29">
        <v>0</v>
      </c>
      <c r="Z91" s="28">
        <v>0</v>
      </c>
      <c r="AA91" s="29">
        <v>0</v>
      </c>
      <c r="AB91" s="28">
        <v>0</v>
      </c>
      <c r="AC91" s="29">
        <v>0</v>
      </c>
      <c r="AD91" s="28">
        <v>0</v>
      </c>
      <c r="AE91" s="28">
        <v>0</v>
      </c>
      <c r="AF91" s="29">
        <v>0</v>
      </c>
      <c r="AG91" s="29">
        <v>0</v>
      </c>
      <c r="AH91" s="29">
        <v>0</v>
      </c>
      <c r="AI91" s="29">
        <v>0</v>
      </c>
      <c r="AJ91" s="29">
        <v>0</v>
      </c>
      <c r="AK91" s="29">
        <v>0</v>
      </c>
      <c r="AL91" s="28">
        <v>5000</v>
      </c>
      <c r="AM91" s="30">
        <v>0</v>
      </c>
      <c r="AN91" s="31">
        <v>0</v>
      </c>
      <c r="AO91" s="30">
        <v>1500</v>
      </c>
      <c r="AP91" s="31">
        <v>0</v>
      </c>
      <c r="AQ91" s="31">
        <v>0</v>
      </c>
      <c r="AR91" s="31">
        <v>5000</v>
      </c>
      <c r="AS91" s="31">
        <v>0</v>
      </c>
      <c r="AT91" s="31">
        <v>3</v>
      </c>
      <c r="AU91" s="30">
        <v>0</v>
      </c>
      <c r="AX91" s="2">
        <f t="shared" si="271"/>
        <v>792</v>
      </c>
      <c r="AY91" s="32">
        <f t="shared" si="185"/>
        <v>770.5945945945946</v>
      </c>
      <c r="AZ91" s="186">
        <f t="shared" si="186"/>
        <v>0.2213641427939134</v>
      </c>
      <c r="BA91" s="186">
        <f t="shared" si="187"/>
        <v>0.05487553608766655</v>
      </c>
      <c r="BB91" s="186">
        <f t="shared" si="188"/>
        <v>0.2613436913356023</v>
      </c>
      <c r="BC91" s="53">
        <f t="shared" si="272"/>
        <v>7200</v>
      </c>
      <c r="BD91" s="53">
        <f t="shared" si="189"/>
        <v>317.3126650200153</v>
      </c>
      <c r="BE91" s="53">
        <f t="shared" si="190"/>
        <v>78.66089955043196</v>
      </c>
      <c r="BF91" s="53">
        <f t="shared" si="191"/>
        <v>374.6210300241473</v>
      </c>
      <c r="BG91" s="53"/>
      <c r="BH91" s="53">
        <f t="shared" si="273"/>
        <v>2</v>
      </c>
      <c r="BI91" s="53">
        <f t="shared" si="274"/>
        <v>3</v>
      </c>
      <c r="BJ91" s="53">
        <f t="shared" si="275"/>
        <v>3</v>
      </c>
      <c r="BK91" s="53">
        <f t="shared" si="276"/>
        <v>2</v>
      </c>
      <c r="BL91" s="53"/>
      <c r="BM91" s="53">
        <f t="shared" si="277"/>
        <v>1</v>
      </c>
      <c r="BN91" s="53">
        <f t="shared" si="278"/>
        <v>2</v>
      </c>
      <c r="BO91" s="53">
        <f t="shared" si="279"/>
        <v>2</v>
      </c>
      <c r="BP91" s="53">
        <f t="shared" si="280"/>
        <v>0</v>
      </c>
      <c r="BQ91" s="53"/>
      <c r="BR91" s="53">
        <f t="shared" si="281"/>
        <v>3.25</v>
      </c>
      <c r="BS91" s="53">
        <f t="shared" si="282"/>
        <v>34.2</v>
      </c>
      <c r="BT91" s="53">
        <f t="shared" si="283"/>
        <v>11</v>
      </c>
      <c r="BU91" s="53">
        <f t="shared" si="192"/>
        <v>23256</v>
      </c>
      <c r="BV91" s="53"/>
      <c r="BW91" s="53">
        <f t="shared" si="284"/>
        <v>13000</v>
      </c>
      <c r="BX91" s="53">
        <f t="shared" si="285"/>
        <v>-20106</v>
      </c>
      <c r="BY91" s="53">
        <f t="shared" si="193"/>
        <v>-18255.092464544257</v>
      </c>
      <c r="BZ91" s="240">
        <f t="shared" si="286"/>
        <v>5.5020500000000006</v>
      </c>
      <c r="CC91" s="1">
        <f t="shared" si="194"/>
        <v>0</v>
      </c>
      <c r="CD91" s="195">
        <f t="shared" si="195"/>
        <v>2873.2</v>
      </c>
      <c r="CE91" s="195">
        <f t="shared" si="196"/>
        <v>2873.2</v>
      </c>
      <c r="CF91" s="239">
        <f t="shared" si="197"/>
        <v>1.45</v>
      </c>
      <c r="CG91" s="239">
        <f t="shared" si="197"/>
        <v>9.96</v>
      </c>
      <c r="CH91" s="1">
        <f t="shared" si="287"/>
        <v>4780.8</v>
      </c>
      <c r="CK91" s="211">
        <f t="shared" si="198"/>
        <v>0</v>
      </c>
      <c r="CL91" s="211">
        <f t="shared" si="199"/>
        <v>0</v>
      </c>
      <c r="CM91" s="211">
        <f t="shared" si="200"/>
        <v>0</v>
      </c>
      <c r="CQ91" s="1">
        <f t="shared" si="288"/>
        <v>0</v>
      </c>
      <c r="CR91" s="195">
        <f t="shared" si="201"/>
        <v>0</v>
      </c>
      <c r="CS91" s="195"/>
      <c r="CT91" s="195"/>
      <c r="CV91" s="199">
        <f t="shared" si="202"/>
        <v>3.7592652897533583</v>
      </c>
      <c r="CW91" s="199">
        <f t="shared" si="203"/>
        <v>1.0510527371165028</v>
      </c>
      <c r="CX91" s="199">
        <f t="shared" si="204"/>
        <v>0</v>
      </c>
      <c r="CY91" s="199">
        <f t="shared" si="205"/>
        <v>0</v>
      </c>
      <c r="CZ91" s="199">
        <f t="shared" si="206"/>
        <v>0</v>
      </c>
      <c r="DA91" s="199">
        <f t="shared" si="207"/>
        <v>0</v>
      </c>
      <c r="DB91" s="199">
        <f t="shared" si="208"/>
        <v>0</v>
      </c>
      <c r="DC91" s="199">
        <f t="shared" si="209"/>
        <v>0</v>
      </c>
      <c r="DD91" s="199">
        <f t="shared" si="210"/>
        <v>0</v>
      </c>
      <c r="DE91" s="199">
        <f t="shared" si="211"/>
        <v>0</v>
      </c>
      <c r="DF91" s="199">
        <f t="shared" si="212"/>
        <v>0</v>
      </c>
      <c r="DG91" s="199">
        <f t="shared" si="213"/>
        <v>0</v>
      </c>
      <c r="DH91" s="199">
        <f t="shared" si="214"/>
        <v>0</v>
      </c>
      <c r="DI91" s="199">
        <f t="shared" si="215"/>
        <v>0</v>
      </c>
      <c r="DJ91" s="199">
        <f t="shared" si="216"/>
        <v>0</v>
      </c>
      <c r="DK91" s="199">
        <f t="shared" si="217"/>
        <v>0</v>
      </c>
      <c r="DL91" s="199">
        <f t="shared" si="218"/>
        <v>0</v>
      </c>
      <c r="DM91" s="199">
        <f t="shared" si="219"/>
        <v>0</v>
      </c>
      <c r="DN91" s="199">
        <f t="shared" si="220"/>
        <v>0</v>
      </c>
      <c r="DO91" s="199">
        <f t="shared" si="221"/>
        <v>0</v>
      </c>
      <c r="DP91" s="199">
        <f t="shared" si="222"/>
        <v>0</v>
      </c>
      <c r="DQ91" s="199">
        <f t="shared" si="223"/>
        <v>0.6831842791257268</v>
      </c>
      <c r="DR91" s="199">
        <f t="shared" si="224"/>
        <v>0</v>
      </c>
      <c r="DS91" s="199">
        <f t="shared" si="225"/>
        <v>0</v>
      </c>
      <c r="DT91" s="199">
        <f t="shared" si="226"/>
        <v>4.304311209143774</v>
      </c>
      <c r="DU91" s="199">
        <f t="shared" si="227"/>
        <v>0</v>
      </c>
      <c r="DV91" s="199">
        <f t="shared" si="228"/>
        <v>0</v>
      </c>
      <c r="DW91" s="199">
        <f t="shared" si="229"/>
        <v>4.170844194906757</v>
      </c>
      <c r="DX91" s="199">
        <f t="shared" si="230"/>
        <v>0</v>
      </c>
      <c r="DY91" s="199">
        <f t="shared" si="231"/>
        <v>0.12412432324042509</v>
      </c>
      <c r="DZ91" s="199">
        <f t="shared" si="232"/>
        <v>0</v>
      </c>
      <c r="EA91" s="199">
        <f t="shared" si="233"/>
        <v>0.44739297481560153</v>
      </c>
      <c r="EB91" s="199">
        <f t="shared" si="234"/>
        <v>0.24999569362504676</v>
      </c>
      <c r="EC91" s="202">
        <f t="shared" si="184"/>
        <v>14.790170701727194</v>
      </c>
      <c r="ED91" s="202">
        <f>SUM(CV91:DI91,DS91:DT91,DW91,DY91,EA91:EB91)</f>
        <v>14.106986422601464</v>
      </c>
      <c r="EE91" s="203">
        <f t="shared" si="235"/>
        <v>2.3351700880950266</v>
      </c>
      <c r="EF91" s="199"/>
      <c r="EI91" s="1">
        <f t="shared" si="236"/>
        <v>0.18495710758393283</v>
      </c>
      <c r="EJ91" s="1">
        <f t="shared" si="237"/>
        <v>0.002442336444552</v>
      </c>
      <c r="EK91" s="1">
        <f t="shared" si="238"/>
        <v>0</v>
      </c>
      <c r="EL91" s="1">
        <f t="shared" si="239"/>
        <v>0</v>
      </c>
      <c r="EM91" s="1">
        <f t="shared" si="240"/>
        <v>0</v>
      </c>
      <c r="EN91" s="1">
        <f t="shared" si="241"/>
        <v>0</v>
      </c>
      <c r="EO91" s="1">
        <f t="shared" si="242"/>
        <v>0</v>
      </c>
      <c r="EP91" s="1">
        <f t="shared" si="243"/>
        <v>0</v>
      </c>
      <c r="EQ91" s="1">
        <f t="shared" si="244"/>
        <v>0</v>
      </c>
      <c r="ER91" s="1">
        <f t="shared" si="245"/>
        <v>0</v>
      </c>
      <c r="ES91" s="1">
        <f t="shared" si="246"/>
        <v>0</v>
      </c>
      <c r="ET91" s="1">
        <f t="shared" si="247"/>
        <v>0</v>
      </c>
      <c r="EU91" s="1">
        <f t="shared" si="248"/>
        <v>0</v>
      </c>
      <c r="EV91" s="1">
        <f t="shared" si="249"/>
        <v>0</v>
      </c>
      <c r="EW91" s="1">
        <f t="shared" si="250"/>
        <v>0</v>
      </c>
      <c r="EX91" s="1">
        <f t="shared" si="251"/>
        <v>0</v>
      </c>
      <c r="EY91" s="1">
        <f t="shared" si="252"/>
        <v>0</v>
      </c>
      <c r="EZ91" s="1">
        <f t="shared" si="253"/>
        <v>0</v>
      </c>
      <c r="FA91" s="1">
        <f t="shared" si="254"/>
        <v>0</v>
      </c>
      <c r="FB91" s="1">
        <f t="shared" si="255"/>
        <v>0</v>
      </c>
      <c r="FC91" s="1">
        <f t="shared" si="256"/>
        <v>0</v>
      </c>
      <c r="FD91" s="1">
        <f t="shared" si="257"/>
        <v>0.059350736407200004</v>
      </c>
      <c r="FE91" s="1">
        <f t="shared" si="258"/>
        <v>0</v>
      </c>
      <c r="FF91" s="1">
        <f t="shared" si="259"/>
        <v>0</v>
      </c>
      <c r="FG91" s="1">
        <f t="shared" si="260"/>
        <v>0.059350736407200004</v>
      </c>
      <c r="FH91" s="1">
        <f t="shared" si="261"/>
        <v>0</v>
      </c>
      <c r="FI91" s="1">
        <f t="shared" si="262"/>
        <v>0</v>
      </c>
      <c r="FJ91" s="1">
        <f t="shared" si="263"/>
        <v>0</v>
      </c>
      <c r="FK91" s="1">
        <f t="shared" si="264"/>
        <v>0</v>
      </c>
      <c r="FL91" s="1">
        <f t="shared" si="265"/>
        <v>4.300268812675172</v>
      </c>
      <c r="FM91" s="1">
        <f t="shared" si="266"/>
        <v>0</v>
      </c>
      <c r="FN91" s="1">
        <f t="shared" si="267"/>
        <v>4.472293968912</v>
      </c>
      <c r="FO91" s="1">
        <f>IF(O91=0,0,SUM(EI91:FN91))</f>
        <v>9.078663698430056</v>
      </c>
    </row>
    <row r="92" spans="1:171" ht="12.75">
      <c r="A92" s="24">
        <v>12</v>
      </c>
      <c r="B92" s="25" t="s">
        <v>249</v>
      </c>
      <c r="C92" s="25" t="s">
        <v>159</v>
      </c>
      <c r="D92" s="26" t="s">
        <v>248</v>
      </c>
      <c r="E92" s="26">
        <v>3</v>
      </c>
      <c r="F92" s="26" t="s">
        <v>243</v>
      </c>
      <c r="G92" s="26" t="s">
        <v>74</v>
      </c>
      <c r="H92" s="26" t="s">
        <v>75</v>
      </c>
      <c r="I92" s="26">
        <v>3</v>
      </c>
      <c r="J92" s="26"/>
      <c r="K92" s="26">
        <f t="shared" si="268"/>
        <v>1</v>
      </c>
      <c r="L92" s="26">
        <f t="shared" si="269"/>
        <v>1</v>
      </c>
      <c r="M92" s="24">
        <v>331213</v>
      </c>
      <c r="N92" s="24">
        <v>924053</v>
      </c>
      <c r="O92" s="27">
        <f t="shared" si="270"/>
        <v>70000</v>
      </c>
      <c r="P92" s="28">
        <v>70000</v>
      </c>
      <c r="Q92" s="28">
        <v>72000</v>
      </c>
      <c r="R92" s="28">
        <v>28500</v>
      </c>
      <c r="S92" s="29">
        <v>0</v>
      </c>
      <c r="T92" s="29">
        <v>0</v>
      </c>
      <c r="U92" s="29">
        <v>0</v>
      </c>
      <c r="V92" s="29">
        <v>0</v>
      </c>
      <c r="W92" s="28">
        <v>19900</v>
      </c>
      <c r="X92" s="29">
        <v>0</v>
      </c>
      <c r="Y92" s="29">
        <v>0</v>
      </c>
      <c r="Z92" s="28">
        <v>0</v>
      </c>
      <c r="AA92" s="29">
        <v>0</v>
      </c>
      <c r="AB92" s="28">
        <v>14800</v>
      </c>
      <c r="AC92" s="29">
        <v>0</v>
      </c>
      <c r="AD92" s="28">
        <v>7400</v>
      </c>
      <c r="AE92" s="28">
        <v>20000</v>
      </c>
      <c r="AF92" s="29">
        <v>6800</v>
      </c>
      <c r="AG92" s="29">
        <v>0</v>
      </c>
      <c r="AH92" s="29">
        <v>28000</v>
      </c>
      <c r="AI92" s="29">
        <v>0</v>
      </c>
      <c r="AJ92" s="29">
        <v>0</v>
      </c>
      <c r="AK92" s="29">
        <v>21000</v>
      </c>
      <c r="AL92" s="28">
        <v>6500</v>
      </c>
      <c r="AM92" s="30">
        <v>5000</v>
      </c>
      <c r="AN92" s="31">
        <v>0</v>
      </c>
      <c r="AO92" s="30">
        <v>12000</v>
      </c>
      <c r="AP92" s="31">
        <v>0</v>
      </c>
      <c r="AQ92" s="31">
        <v>6600</v>
      </c>
      <c r="AR92" s="31">
        <v>0</v>
      </c>
      <c r="AS92" s="31">
        <v>0</v>
      </c>
      <c r="AT92" s="31">
        <v>0</v>
      </c>
      <c r="AU92" s="30">
        <v>157</v>
      </c>
      <c r="AX92" s="2">
        <f t="shared" si="271"/>
        <v>52800</v>
      </c>
      <c r="AY92" s="32">
        <f t="shared" si="185"/>
        <v>51333.333333333336</v>
      </c>
      <c r="AZ92" s="186">
        <f t="shared" si="186"/>
        <v>0.2213641427939134</v>
      </c>
      <c r="BA92" s="186">
        <f t="shared" si="187"/>
        <v>0.05487553608766655</v>
      </c>
      <c r="BB92" s="186">
        <f t="shared" si="188"/>
        <v>0.2613436913356023</v>
      </c>
      <c r="BC92" s="53">
        <f t="shared" si="272"/>
        <v>70000</v>
      </c>
      <c r="BD92" s="53">
        <f t="shared" si="189"/>
        <v>21137.85500004732</v>
      </c>
      <c r="BE92" s="53">
        <f t="shared" si="190"/>
        <v>5240.0136274593315</v>
      </c>
      <c r="BF92" s="53">
        <f t="shared" si="191"/>
        <v>24955.464705826686</v>
      </c>
      <c r="BG92" s="53"/>
      <c r="BH92" s="53">
        <f t="shared" si="273"/>
        <v>4</v>
      </c>
      <c r="BI92" s="53">
        <f t="shared" si="274"/>
        <v>4</v>
      </c>
      <c r="BJ92" s="53">
        <f t="shared" si="275"/>
        <v>3</v>
      </c>
      <c r="BK92" s="53">
        <f t="shared" si="276"/>
        <v>3</v>
      </c>
      <c r="BL92" s="53"/>
      <c r="BM92" s="53">
        <f t="shared" si="277"/>
        <v>2</v>
      </c>
      <c r="BN92" s="53">
        <f t="shared" si="278"/>
        <v>2</v>
      </c>
      <c r="BO92" s="53">
        <f t="shared" si="279"/>
        <v>2</v>
      </c>
      <c r="BP92" s="53">
        <f t="shared" si="280"/>
        <v>0</v>
      </c>
      <c r="BQ92" s="53"/>
      <c r="BR92" s="53">
        <f t="shared" si="281"/>
        <v>6.5</v>
      </c>
      <c r="BS92" s="53">
        <f t="shared" si="282"/>
        <v>34.2</v>
      </c>
      <c r="BT92" s="53">
        <f t="shared" si="283"/>
        <v>11</v>
      </c>
      <c r="BU92" s="53">
        <f t="shared" si="192"/>
        <v>24816</v>
      </c>
      <c r="BV92" s="53"/>
      <c r="BW92" s="53">
        <f t="shared" si="284"/>
        <v>15600</v>
      </c>
      <c r="BX92" s="53">
        <f t="shared" si="285"/>
        <v>-21036</v>
      </c>
      <c r="BY92" s="53">
        <f t="shared" si="193"/>
        <v>-18814.91095745311</v>
      </c>
      <c r="BZ92" s="240">
        <f t="shared" si="286"/>
        <v>5.791300000000001</v>
      </c>
      <c r="CC92" s="1">
        <f t="shared" si="194"/>
        <v>0</v>
      </c>
      <c r="CD92" s="195">
        <f t="shared" si="195"/>
        <v>2873.2</v>
      </c>
      <c r="CE92" s="195">
        <f t="shared" si="196"/>
        <v>2873.2</v>
      </c>
      <c r="CF92" s="239">
        <f t="shared" si="197"/>
        <v>1.45</v>
      </c>
      <c r="CG92" s="239">
        <f t="shared" si="197"/>
        <v>9.96</v>
      </c>
      <c r="CH92" s="1">
        <f t="shared" si="287"/>
        <v>4780.8</v>
      </c>
      <c r="CK92" s="211">
        <f t="shared" si="198"/>
        <v>0</v>
      </c>
      <c r="CL92" s="211">
        <f t="shared" si="199"/>
        <v>0</v>
      </c>
      <c r="CM92" s="211">
        <f t="shared" si="200"/>
        <v>0</v>
      </c>
      <c r="CQ92" s="1">
        <f t="shared" si="288"/>
        <v>1</v>
      </c>
      <c r="CR92" s="195">
        <f t="shared" si="201"/>
        <v>10000</v>
      </c>
      <c r="CS92" s="195"/>
      <c r="CT92" s="195"/>
      <c r="CV92" s="199">
        <f t="shared" si="202"/>
        <v>36.576635251654295</v>
      </c>
      <c r="CW92" s="199">
        <f t="shared" si="203"/>
        <v>8.558572287948666</v>
      </c>
      <c r="CX92" s="199">
        <f t="shared" si="204"/>
        <v>0</v>
      </c>
      <c r="CY92" s="199">
        <f t="shared" si="205"/>
        <v>0</v>
      </c>
      <c r="CZ92" s="199">
        <f t="shared" si="206"/>
        <v>0</v>
      </c>
      <c r="DA92" s="199">
        <f t="shared" si="207"/>
        <v>0</v>
      </c>
      <c r="DB92" s="199">
        <f t="shared" si="208"/>
        <v>5.179187487467415</v>
      </c>
      <c r="DC92" s="199">
        <f t="shared" si="209"/>
        <v>0</v>
      </c>
      <c r="DD92" s="199">
        <f t="shared" si="210"/>
        <v>0</v>
      </c>
      <c r="DE92" s="199">
        <f t="shared" si="211"/>
        <v>0</v>
      </c>
      <c r="DF92" s="199">
        <f t="shared" si="212"/>
        <v>0</v>
      </c>
      <c r="DG92" s="199">
        <f t="shared" si="213"/>
        <v>19.629661118909162</v>
      </c>
      <c r="DH92" s="199">
        <f t="shared" si="214"/>
        <v>0</v>
      </c>
      <c r="DI92" s="199">
        <f t="shared" si="215"/>
        <v>21.23460196510928</v>
      </c>
      <c r="DJ92" s="199">
        <f t="shared" si="216"/>
        <v>2.732737116502907</v>
      </c>
      <c r="DK92" s="199">
        <f t="shared" si="217"/>
        <v>0.9291306196109885</v>
      </c>
      <c r="DL92" s="199">
        <f t="shared" si="218"/>
        <v>0</v>
      </c>
      <c r="DM92" s="199">
        <f t="shared" si="219"/>
        <v>3.8258319631040703</v>
      </c>
      <c r="DN92" s="199">
        <f t="shared" si="220"/>
        <v>0</v>
      </c>
      <c r="DO92" s="199">
        <f t="shared" si="221"/>
        <v>0</v>
      </c>
      <c r="DP92" s="199">
        <f t="shared" si="222"/>
        <v>2.8693739723280527</v>
      </c>
      <c r="DQ92" s="199">
        <f t="shared" si="223"/>
        <v>0.8881395628634449</v>
      </c>
      <c r="DR92" s="199">
        <f t="shared" si="224"/>
        <v>0.7507519550832163</v>
      </c>
      <c r="DS92" s="199">
        <f t="shared" si="225"/>
        <v>0</v>
      </c>
      <c r="DT92" s="199">
        <f t="shared" si="226"/>
        <v>34.43448967315019</v>
      </c>
      <c r="DU92" s="199">
        <f t="shared" si="227"/>
        <v>0</v>
      </c>
      <c r="DV92" s="199">
        <f t="shared" si="228"/>
        <v>0.0019269300180469217</v>
      </c>
      <c r="DW92" s="199">
        <f t="shared" si="229"/>
        <v>0</v>
      </c>
      <c r="DX92" s="199">
        <f t="shared" si="230"/>
        <v>0</v>
      </c>
      <c r="DY92" s="199">
        <f t="shared" si="231"/>
        <v>0</v>
      </c>
      <c r="DZ92" s="199">
        <f t="shared" si="232"/>
        <v>0.010162845799077601</v>
      </c>
      <c r="EA92" s="199">
        <f t="shared" si="233"/>
        <v>29.803184279125723</v>
      </c>
      <c r="EB92" s="199">
        <f t="shared" si="234"/>
        <v>3.8055894659447898</v>
      </c>
      <c r="EC92" s="202">
        <f t="shared" si="184"/>
        <v>171.2299764946193</v>
      </c>
      <c r="ED92" s="202">
        <f>SUM(CV92:DI92,DS92:DT92,DW92,DY92,EA92:EB92)</f>
        <v>159.22192152930953</v>
      </c>
      <c r="EE92" s="203">
        <f t="shared" si="235"/>
        <v>26.356463200996817</v>
      </c>
      <c r="EF92" s="199"/>
      <c r="EI92" s="1">
        <f t="shared" si="236"/>
        <v>0.5699766927982697</v>
      </c>
      <c r="EJ92" s="1">
        <f t="shared" si="237"/>
        <v>0.010606863429336002</v>
      </c>
      <c r="EK92" s="1">
        <f t="shared" si="238"/>
        <v>0</v>
      </c>
      <c r="EL92" s="1">
        <f t="shared" si="239"/>
        <v>0</v>
      </c>
      <c r="EM92" s="1">
        <f t="shared" si="240"/>
        <v>0</v>
      </c>
      <c r="EN92" s="1">
        <f t="shared" si="241"/>
        <v>0</v>
      </c>
      <c r="EO92" s="1">
        <f t="shared" si="242"/>
        <v>0.2644897670328</v>
      </c>
      <c r="EP92" s="1">
        <f t="shared" si="243"/>
        <v>0</v>
      </c>
      <c r="EQ92" s="1">
        <f t="shared" si="244"/>
        <v>0</v>
      </c>
      <c r="ER92" s="1">
        <f t="shared" si="245"/>
        <v>0</v>
      </c>
      <c r="ES92" s="1">
        <f t="shared" si="246"/>
        <v>0</v>
      </c>
      <c r="ET92" s="1">
        <f t="shared" si="247"/>
        <v>0.14589546715944002</v>
      </c>
      <c r="EU92" s="1">
        <f t="shared" si="248"/>
        <v>0</v>
      </c>
      <c r="EV92" s="1">
        <f t="shared" si="249"/>
        <v>0</v>
      </c>
      <c r="EW92" s="1">
        <f t="shared" si="250"/>
        <v>0.059350736407200004</v>
      </c>
      <c r="EX92" s="1">
        <f t="shared" si="251"/>
        <v>0.059350736407200004</v>
      </c>
      <c r="EY92" s="1">
        <f t="shared" si="252"/>
        <v>0</v>
      </c>
      <c r="EZ92" s="1">
        <f t="shared" si="253"/>
        <v>0.059350736407200004</v>
      </c>
      <c r="FA92" s="1">
        <f t="shared" si="254"/>
        <v>0</v>
      </c>
      <c r="FB92" s="1">
        <f t="shared" si="255"/>
        <v>0</v>
      </c>
      <c r="FC92" s="1">
        <f t="shared" si="256"/>
        <v>0.059350736407200004</v>
      </c>
      <c r="FD92" s="1">
        <f t="shared" si="257"/>
        <v>0.059350736407200004</v>
      </c>
      <c r="FE92" s="1">
        <f t="shared" si="258"/>
        <v>0.059350736407200004</v>
      </c>
      <c r="FF92" s="1">
        <f t="shared" si="259"/>
        <v>0</v>
      </c>
      <c r="FG92" s="1">
        <f t="shared" si="260"/>
        <v>0.059350736407200004</v>
      </c>
      <c r="FH92" s="1">
        <f t="shared" si="261"/>
        <v>0</v>
      </c>
      <c r="FI92" s="1">
        <f t="shared" si="262"/>
        <v>0</v>
      </c>
      <c r="FJ92" s="1">
        <f t="shared" si="263"/>
        <v>0</v>
      </c>
      <c r="FK92" s="1">
        <f t="shared" si="264"/>
        <v>0</v>
      </c>
      <c r="FL92" s="1">
        <f t="shared" si="265"/>
        <v>0</v>
      </c>
      <c r="FM92" s="1">
        <f t="shared" si="266"/>
        <v>0.0057571153094400015</v>
      </c>
      <c r="FN92" s="1">
        <f t="shared" si="267"/>
        <v>7.46760736344</v>
      </c>
      <c r="FO92" s="1">
        <f>IF(O92=0,0,SUM(EI92:FN92))</f>
        <v>8.879788424019685</v>
      </c>
    </row>
    <row r="93" spans="1:171" ht="12.75">
      <c r="A93" s="24">
        <v>57</v>
      </c>
      <c r="B93" s="25" t="s">
        <v>250</v>
      </c>
      <c r="C93" s="25" t="s">
        <v>251</v>
      </c>
      <c r="D93" s="26" t="s">
        <v>216</v>
      </c>
      <c r="E93" s="26">
        <v>3</v>
      </c>
      <c r="F93" s="26" t="s">
        <v>243</v>
      </c>
      <c r="G93" s="26" t="s">
        <v>74</v>
      </c>
      <c r="H93" s="26" t="s">
        <v>75</v>
      </c>
      <c r="I93" s="26">
        <v>3</v>
      </c>
      <c r="J93" s="26"/>
      <c r="K93" s="26">
        <f t="shared" si="268"/>
        <v>0</v>
      </c>
      <c r="L93" s="26">
        <f t="shared" si="269"/>
        <v>0</v>
      </c>
      <c r="M93" s="24">
        <v>324800</v>
      </c>
      <c r="N93" s="24">
        <v>932400</v>
      </c>
      <c r="O93" s="27">
        <f t="shared" si="270"/>
        <v>13020</v>
      </c>
      <c r="P93" s="28">
        <v>13020</v>
      </c>
      <c r="Q93" s="28">
        <v>14000</v>
      </c>
      <c r="R93" s="28">
        <v>0</v>
      </c>
      <c r="S93" s="29">
        <v>0</v>
      </c>
      <c r="T93" s="29">
        <v>0</v>
      </c>
      <c r="U93" s="29">
        <v>0</v>
      </c>
      <c r="V93" s="29">
        <v>0</v>
      </c>
      <c r="W93" s="28">
        <v>0</v>
      </c>
      <c r="X93" s="28">
        <v>0</v>
      </c>
      <c r="Y93" s="28">
        <v>0</v>
      </c>
      <c r="Z93" s="28">
        <v>0</v>
      </c>
      <c r="AA93" s="28">
        <v>0</v>
      </c>
      <c r="AB93" s="28">
        <v>0</v>
      </c>
      <c r="AC93" s="28">
        <v>0</v>
      </c>
      <c r="AD93" s="28">
        <v>0</v>
      </c>
      <c r="AE93" s="28">
        <v>4750</v>
      </c>
      <c r="AF93" s="28">
        <v>0</v>
      </c>
      <c r="AG93" s="28">
        <v>0</v>
      </c>
      <c r="AH93" s="28">
        <v>0</v>
      </c>
      <c r="AI93" s="28">
        <v>0</v>
      </c>
      <c r="AJ93" s="28">
        <v>0</v>
      </c>
      <c r="AK93" s="28">
        <v>0</v>
      </c>
      <c r="AL93" s="28">
        <v>0</v>
      </c>
      <c r="AM93" s="30">
        <v>0</v>
      </c>
      <c r="AN93" s="31">
        <v>0</v>
      </c>
      <c r="AO93" s="30">
        <v>0</v>
      </c>
      <c r="AP93" s="31">
        <v>0</v>
      </c>
      <c r="AQ93" s="31">
        <v>500</v>
      </c>
      <c r="AR93" s="31">
        <v>0</v>
      </c>
      <c r="AS93" s="31">
        <v>0</v>
      </c>
      <c r="AT93" s="31">
        <v>2</v>
      </c>
      <c r="AU93" s="30">
        <v>0</v>
      </c>
      <c r="AX93" s="2">
        <f t="shared" si="271"/>
        <v>12320</v>
      </c>
      <c r="AY93" s="32">
        <f t="shared" si="185"/>
        <v>11457.6</v>
      </c>
      <c r="AZ93" s="186">
        <f t="shared" si="186"/>
        <v>0.2213641427939134</v>
      </c>
      <c r="BA93" s="186">
        <f t="shared" si="187"/>
        <v>0.05487553608766655</v>
      </c>
      <c r="BB93" s="186">
        <f t="shared" si="188"/>
        <v>0.2613436913356023</v>
      </c>
      <c r="BC93" s="53">
        <f t="shared" si="272"/>
        <v>13020</v>
      </c>
      <c r="BD93" s="53">
        <f t="shared" si="189"/>
        <v>4717.969236010561</v>
      </c>
      <c r="BE93" s="53">
        <f t="shared" si="190"/>
        <v>1169.5710416489228</v>
      </c>
      <c r="BF93" s="53">
        <f t="shared" si="191"/>
        <v>5570.059722340516</v>
      </c>
      <c r="BG93" s="53"/>
      <c r="BH93" s="53">
        <f t="shared" si="273"/>
        <v>2</v>
      </c>
      <c r="BI93" s="53">
        <f t="shared" si="274"/>
        <v>3</v>
      </c>
      <c r="BJ93" s="53">
        <f t="shared" si="275"/>
        <v>3</v>
      </c>
      <c r="BK93" s="53">
        <f t="shared" si="276"/>
        <v>2</v>
      </c>
      <c r="BL93" s="53"/>
      <c r="BM93" s="53">
        <f t="shared" si="277"/>
        <v>1</v>
      </c>
      <c r="BN93" s="53">
        <f t="shared" si="278"/>
        <v>2</v>
      </c>
      <c r="BO93" s="53">
        <f t="shared" si="279"/>
        <v>2</v>
      </c>
      <c r="BP93" s="53">
        <f t="shared" si="280"/>
        <v>0</v>
      </c>
      <c r="BQ93" s="53"/>
      <c r="BR93" s="53">
        <f t="shared" si="281"/>
        <v>3.25</v>
      </c>
      <c r="BS93" s="53">
        <f t="shared" si="282"/>
        <v>34.2</v>
      </c>
      <c r="BT93" s="53">
        <f t="shared" si="283"/>
        <v>11</v>
      </c>
      <c r="BU93" s="53">
        <f t="shared" si="192"/>
        <v>23256</v>
      </c>
      <c r="BV93" s="53"/>
      <c r="BW93" s="53">
        <f t="shared" si="284"/>
        <v>13000</v>
      </c>
      <c r="BX93" s="53">
        <f t="shared" si="285"/>
        <v>-20106</v>
      </c>
      <c r="BY93" s="53">
        <f t="shared" si="193"/>
        <v>-18255.092464544257</v>
      </c>
      <c r="BZ93" s="240">
        <f t="shared" si="286"/>
        <v>5.5020500000000006</v>
      </c>
      <c r="CC93" s="1">
        <f t="shared" si="194"/>
        <v>0</v>
      </c>
      <c r="CD93" s="195">
        <f t="shared" si="195"/>
        <v>2873.2</v>
      </c>
      <c r="CE93" s="195">
        <f t="shared" si="196"/>
        <v>2873.2</v>
      </c>
      <c r="CF93" s="239">
        <f t="shared" si="197"/>
        <v>1.45</v>
      </c>
      <c r="CG93" s="239">
        <f t="shared" si="197"/>
        <v>9.96</v>
      </c>
      <c r="CH93" s="1">
        <f t="shared" si="287"/>
        <v>4780.8</v>
      </c>
      <c r="CK93" s="211">
        <f t="shared" si="198"/>
        <v>0</v>
      </c>
      <c r="CL93" s="211">
        <f t="shared" si="199"/>
        <v>0</v>
      </c>
      <c r="CM93" s="211">
        <f t="shared" si="200"/>
        <v>0</v>
      </c>
      <c r="CQ93" s="1">
        <f t="shared" si="288"/>
        <v>0</v>
      </c>
      <c r="CR93" s="195">
        <f t="shared" si="201"/>
        <v>0</v>
      </c>
      <c r="CS93" s="195"/>
      <c r="CT93" s="195"/>
      <c r="CV93" s="199">
        <f t="shared" si="202"/>
        <v>7.112123521155002</v>
      </c>
      <c r="CW93" s="199">
        <f t="shared" si="203"/>
        <v>0</v>
      </c>
      <c r="CX93" s="199">
        <f t="shared" si="204"/>
        <v>0</v>
      </c>
      <c r="CY93" s="199">
        <f t="shared" si="205"/>
        <v>0</v>
      </c>
      <c r="CZ93" s="199">
        <f t="shared" si="206"/>
        <v>0</v>
      </c>
      <c r="DA93" s="199">
        <f t="shared" si="207"/>
        <v>0</v>
      </c>
      <c r="DB93" s="199">
        <f t="shared" si="208"/>
        <v>0</v>
      </c>
      <c r="DC93" s="199">
        <f t="shared" si="209"/>
        <v>0</v>
      </c>
      <c r="DD93" s="199">
        <f t="shared" si="210"/>
        <v>0</v>
      </c>
      <c r="DE93" s="199">
        <f t="shared" si="211"/>
        <v>0</v>
      </c>
      <c r="DF93" s="199">
        <f t="shared" si="212"/>
        <v>0</v>
      </c>
      <c r="DG93" s="199">
        <f t="shared" si="213"/>
        <v>0</v>
      </c>
      <c r="DH93" s="199">
        <f t="shared" si="214"/>
        <v>0</v>
      </c>
      <c r="DI93" s="199">
        <f t="shared" si="215"/>
        <v>0</v>
      </c>
      <c r="DJ93" s="199">
        <f t="shared" si="216"/>
        <v>0.6490250651694405</v>
      </c>
      <c r="DK93" s="199">
        <f t="shared" si="217"/>
        <v>0</v>
      </c>
      <c r="DL93" s="199">
        <f t="shared" si="218"/>
        <v>0</v>
      </c>
      <c r="DM93" s="199">
        <f t="shared" si="219"/>
        <v>0</v>
      </c>
      <c r="DN93" s="199">
        <f t="shared" si="220"/>
        <v>0</v>
      </c>
      <c r="DO93" s="199">
        <f t="shared" si="221"/>
        <v>0</v>
      </c>
      <c r="DP93" s="199">
        <f t="shared" si="222"/>
        <v>0</v>
      </c>
      <c r="DQ93" s="199">
        <f t="shared" si="223"/>
        <v>0</v>
      </c>
      <c r="DR93" s="199">
        <f t="shared" si="224"/>
        <v>0</v>
      </c>
      <c r="DS93" s="199">
        <f t="shared" si="225"/>
        <v>0</v>
      </c>
      <c r="DT93" s="199">
        <f t="shared" si="226"/>
        <v>0</v>
      </c>
      <c r="DU93" s="199">
        <f t="shared" si="227"/>
        <v>0</v>
      </c>
      <c r="DV93" s="199">
        <f t="shared" si="228"/>
        <v>0.0001459795468217365</v>
      </c>
      <c r="DW93" s="199">
        <f t="shared" si="229"/>
        <v>0</v>
      </c>
      <c r="DX93" s="199">
        <f t="shared" si="230"/>
        <v>0</v>
      </c>
      <c r="DY93" s="199">
        <f t="shared" si="231"/>
        <v>0.08274954882695007</v>
      </c>
      <c r="DZ93" s="199">
        <f t="shared" si="232"/>
        <v>0</v>
      </c>
      <c r="EA93" s="199">
        <f t="shared" si="233"/>
        <v>6.652070731100861</v>
      </c>
      <c r="EB93" s="199">
        <f t="shared" si="234"/>
        <v>0.7677337641066773</v>
      </c>
      <c r="EC93" s="202">
        <f t="shared" si="184"/>
        <v>15.263848609905754</v>
      </c>
      <c r="ED93" s="202">
        <f>SUM(CV93:DI93,DS93:DT93,DW93,DY93,EA93:EB93)</f>
        <v>14.614677565189488</v>
      </c>
      <c r="EE93" s="203">
        <f t="shared" si="235"/>
        <v>2.419209664986015</v>
      </c>
      <c r="EF93" s="199"/>
      <c r="EI93" s="1">
        <f t="shared" si="236"/>
        <v>0.18495710758393283</v>
      </c>
      <c r="EJ93" s="1">
        <f t="shared" si="237"/>
        <v>0</v>
      </c>
      <c r="EK93" s="1">
        <f t="shared" si="238"/>
        <v>0</v>
      </c>
      <c r="EL93" s="1">
        <f t="shared" si="239"/>
        <v>0</v>
      </c>
      <c r="EM93" s="1">
        <f t="shared" si="240"/>
        <v>0</v>
      </c>
      <c r="EN93" s="1">
        <f t="shared" si="241"/>
        <v>0</v>
      </c>
      <c r="EO93" s="1">
        <f t="shared" si="242"/>
        <v>0</v>
      </c>
      <c r="EP93" s="1">
        <f t="shared" si="243"/>
        <v>0</v>
      </c>
      <c r="EQ93" s="1">
        <f t="shared" si="244"/>
        <v>0</v>
      </c>
      <c r="ER93" s="1">
        <f t="shared" si="245"/>
        <v>0</v>
      </c>
      <c r="ES93" s="1">
        <f t="shared" si="246"/>
        <v>0</v>
      </c>
      <c r="ET93" s="1">
        <f t="shared" si="247"/>
        <v>0</v>
      </c>
      <c r="EU93" s="1">
        <f t="shared" si="248"/>
        <v>0</v>
      </c>
      <c r="EV93" s="1">
        <f t="shared" si="249"/>
        <v>0</v>
      </c>
      <c r="EW93" s="1">
        <f t="shared" si="250"/>
        <v>0.059350736407200004</v>
      </c>
      <c r="EX93" s="1">
        <f t="shared" si="251"/>
        <v>0</v>
      </c>
      <c r="EY93" s="1">
        <f t="shared" si="252"/>
        <v>0</v>
      </c>
      <c r="EZ93" s="1">
        <f t="shared" si="253"/>
        <v>0</v>
      </c>
      <c r="FA93" s="1">
        <f t="shared" si="254"/>
        <v>0</v>
      </c>
      <c r="FB93" s="1">
        <f t="shared" si="255"/>
        <v>0</v>
      </c>
      <c r="FC93" s="1">
        <f t="shared" si="256"/>
        <v>0</v>
      </c>
      <c r="FD93" s="1">
        <f t="shared" si="257"/>
        <v>0</v>
      </c>
      <c r="FE93" s="1">
        <f t="shared" si="258"/>
        <v>0</v>
      </c>
      <c r="FF93" s="1">
        <f t="shared" si="259"/>
        <v>0</v>
      </c>
      <c r="FG93" s="1">
        <f t="shared" si="260"/>
        <v>0</v>
      </c>
      <c r="FH93" s="1">
        <f t="shared" si="261"/>
        <v>0</v>
      </c>
      <c r="FI93" s="1">
        <f t="shared" si="262"/>
        <v>0</v>
      </c>
      <c r="FJ93" s="1">
        <f t="shared" si="263"/>
        <v>0</v>
      </c>
      <c r="FK93" s="1">
        <f t="shared" si="264"/>
        <v>0</v>
      </c>
      <c r="FL93" s="1">
        <f t="shared" si="265"/>
        <v>4.300268812675172</v>
      </c>
      <c r="FM93" s="1">
        <f t="shared" si="266"/>
        <v>0</v>
      </c>
      <c r="FN93" s="1">
        <f t="shared" si="267"/>
        <v>4.472293968912</v>
      </c>
      <c r="FO93" s="1">
        <f>IF(O93=0,0,SUM(EI93:FN93))</f>
        <v>9.016870625578305</v>
      </c>
    </row>
    <row r="94" spans="1:171" ht="12.75">
      <c r="A94" s="24">
        <v>58</v>
      </c>
      <c r="B94" s="25" t="s">
        <v>250</v>
      </c>
      <c r="C94" s="25" t="s">
        <v>252</v>
      </c>
      <c r="D94" s="26" t="s">
        <v>216</v>
      </c>
      <c r="E94" s="26">
        <v>3</v>
      </c>
      <c r="F94" s="26" t="s">
        <v>243</v>
      </c>
      <c r="G94" s="26" t="s">
        <v>74</v>
      </c>
      <c r="H94" s="26" t="s">
        <v>75</v>
      </c>
      <c r="I94" s="26">
        <v>3</v>
      </c>
      <c r="J94" s="26"/>
      <c r="K94" s="26">
        <f t="shared" si="268"/>
        <v>0</v>
      </c>
      <c r="L94" s="26">
        <f t="shared" si="269"/>
        <v>0</v>
      </c>
      <c r="M94" s="24">
        <v>323400</v>
      </c>
      <c r="N94" s="24">
        <v>933100</v>
      </c>
      <c r="O94" s="27">
        <f t="shared" si="270"/>
        <v>8300</v>
      </c>
      <c r="P94" s="28">
        <v>8300</v>
      </c>
      <c r="Q94" s="28">
        <v>8655</v>
      </c>
      <c r="R94" s="28">
        <v>7000</v>
      </c>
      <c r="S94" s="29">
        <v>0</v>
      </c>
      <c r="T94" s="29">
        <v>0</v>
      </c>
      <c r="U94" s="29">
        <v>0</v>
      </c>
      <c r="V94" s="29">
        <v>0</v>
      </c>
      <c r="W94" s="28">
        <v>0</v>
      </c>
      <c r="X94" s="28">
        <v>0</v>
      </c>
      <c r="Y94" s="28">
        <v>0</v>
      </c>
      <c r="Z94" s="28">
        <v>0</v>
      </c>
      <c r="AA94" s="28">
        <v>0</v>
      </c>
      <c r="AB94" s="28">
        <v>0</v>
      </c>
      <c r="AC94" s="28">
        <v>0</v>
      </c>
      <c r="AD94" s="28">
        <v>0</v>
      </c>
      <c r="AE94" s="28">
        <v>0</v>
      </c>
      <c r="AF94" s="28">
        <v>0</v>
      </c>
      <c r="AG94" s="28">
        <v>0</v>
      </c>
      <c r="AH94" s="28">
        <v>0</v>
      </c>
      <c r="AI94" s="28">
        <v>8500</v>
      </c>
      <c r="AJ94" s="28">
        <v>0</v>
      </c>
      <c r="AK94" s="28">
        <v>0</v>
      </c>
      <c r="AL94" s="28">
        <v>0</v>
      </c>
      <c r="AM94" s="30">
        <v>0</v>
      </c>
      <c r="AN94" s="31">
        <v>0</v>
      </c>
      <c r="AO94" s="30">
        <v>2000</v>
      </c>
      <c r="AP94" s="31">
        <v>0</v>
      </c>
      <c r="AQ94" s="31">
        <v>0</v>
      </c>
      <c r="AR94" s="31">
        <v>7000</v>
      </c>
      <c r="AS94" s="31">
        <v>0</v>
      </c>
      <c r="AT94" s="31">
        <v>5</v>
      </c>
      <c r="AU94" s="30">
        <v>3</v>
      </c>
      <c r="AX94" s="2">
        <f t="shared" si="271"/>
        <v>-303.6</v>
      </c>
      <c r="AY94" s="32">
        <f t="shared" si="185"/>
        <v>0</v>
      </c>
      <c r="AZ94" s="186">
        <f t="shared" si="186"/>
        <v>0.2213641427939134</v>
      </c>
      <c r="BA94" s="186">
        <f t="shared" si="187"/>
        <v>0.05487553608766655</v>
      </c>
      <c r="BB94" s="186">
        <f t="shared" si="188"/>
        <v>0.2613436913356023</v>
      </c>
      <c r="BC94" s="53">
        <f t="shared" si="272"/>
        <v>8300</v>
      </c>
      <c r="BD94" s="53">
        <f t="shared" si="189"/>
        <v>0</v>
      </c>
      <c r="BE94" s="53">
        <f t="shared" si="190"/>
        <v>0</v>
      </c>
      <c r="BF94" s="53">
        <f t="shared" si="191"/>
        <v>0</v>
      </c>
      <c r="BG94" s="53"/>
      <c r="BH94" s="53">
        <f t="shared" si="273"/>
        <v>2</v>
      </c>
      <c r="BI94" s="53">
        <f t="shared" si="274"/>
        <v>0</v>
      </c>
      <c r="BJ94" s="53">
        <f t="shared" si="275"/>
        <v>2</v>
      </c>
      <c r="BK94" s="53">
        <f t="shared" si="276"/>
        <v>0</v>
      </c>
      <c r="BL94" s="53"/>
      <c r="BM94" s="53">
        <f t="shared" si="277"/>
        <v>1</v>
      </c>
      <c r="BN94" s="53">
        <f t="shared" si="278"/>
        <v>0</v>
      </c>
      <c r="BO94" s="53">
        <f t="shared" si="279"/>
        <v>1</v>
      </c>
      <c r="BP94" s="53">
        <f t="shared" si="280"/>
        <v>0</v>
      </c>
      <c r="BQ94" s="53"/>
      <c r="BR94" s="53">
        <f t="shared" si="281"/>
        <v>3.25</v>
      </c>
      <c r="BS94" s="53">
        <f t="shared" si="282"/>
        <v>0</v>
      </c>
      <c r="BT94" s="53">
        <f t="shared" si="283"/>
        <v>5.5</v>
      </c>
      <c r="BU94" s="53">
        <f t="shared" si="192"/>
        <v>4200</v>
      </c>
      <c r="BV94" s="53"/>
      <c r="BW94" s="53">
        <f t="shared" si="284"/>
        <v>5200</v>
      </c>
      <c r="BX94" s="53">
        <f t="shared" si="285"/>
        <v>-2940</v>
      </c>
      <c r="BY94" s="53">
        <f t="shared" si="193"/>
        <v>-2199.6369858177036</v>
      </c>
      <c r="BZ94" s="240">
        <f t="shared" si="286"/>
        <v>1.0317500000000002</v>
      </c>
      <c r="CC94" s="1">
        <f t="shared" si="194"/>
        <v>0</v>
      </c>
      <c r="CD94" s="195">
        <f t="shared" si="195"/>
        <v>2873.2</v>
      </c>
      <c r="CE94" s="195">
        <f t="shared" si="196"/>
        <v>2873.2</v>
      </c>
      <c r="CF94" s="239">
        <f t="shared" si="197"/>
        <v>1.45</v>
      </c>
      <c r="CG94" s="239">
        <f t="shared" si="197"/>
        <v>9.96</v>
      </c>
      <c r="CH94" s="1">
        <f t="shared" si="287"/>
        <v>4780.8</v>
      </c>
      <c r="CK94" s="211">
        <f t="shared" si="198"/>
        <v>0</v>
      </c>
      <c r="CL94" s="211">
        <f t="shared" si="199"/>
        <v>0</v>
      </c>
      <c r="CM94" s="211">
        <f t="shared" si="200"/>
        <v>0</v>
      </c>
      <c r="CQ94" s="1">
        <f t="shared" si="288"/>
        <v>0</v>
      </c>
      <c r="CR94" s="195">
        <f t="shared" si="201"/>
        <v>0</v>
      </c>
      <c r="CS94" s="195"/>
      <c r="CT94" s="195"/>
      <c r="CV94" s="199">
        <f t="shared" si="202"/>
        <v>4.39681636254261</v>
      </c>
      <c r="CW94" s="199">
        <f t="shared" si="203"/>
        <v>2.1021054742330056</v>
      </c>
      <c r="CX94" s="199">
        <f t="shared" si="204"/>
        <v>0</v>
      </c>
      <c r="CY94" s="199">
        <f t="shared" si="205"/>
        <v>0</v>
      </c>
      <c r="CZ94" s="199">
        <f t="shared" si="206"/>
        <v>0</v>
      </c>
      <c r="DA94" s="199">
        <f t="shared" si="207"/>
        <v>0</v>
      </c>
      <c r="DB94" s="199">
        <f t="shared" si="208"/>
        <v>0</v>
      </c>
      <c r="DC94" s="199">
        <f t="shared" si="209"/>
        <v>0</v>
      </c>
      <c r="DD94" s="199">
        <f t="shared" si="210"/>
        <v>0</v>
      </c>
      <c r="DE94" s="199">
        <f t="shared" si="211"/>
        <v>0</v>
      </c>
      <c r="DF94" s="199">
        <f t="shared" si="212"/>
        <v>0</v>
      </c>
      <c r="DG94" s="199">
        <f t="shared" si="213"/>
        <v>0</v>
      </c>
      <c r="DH94" s="199">
        <f t="shared" si="214"/>
        <v>0</v>
      </c>
      <c r="DI94" s="199">
        <f t="shared" si="215"/>
        <v>0</v>
      </c>
      <c r="DJ94" s="199">
        <f t="shared" si="216"/>
        <v>0</v>
      </c>
      <c r="DK94" s="199">
        <f t="shared" si="217"/>
        <v>0</v>
      </c>
      <c r="DL94" s="199">
        <f t="shared" si="218"/>
        <v>0</v>
      </c>
      <c r="DM94" s="199">
        <f t="shared" si="219"/>
        <v>0</v>
      </c>
      <c r="DN94" s="199">
        <f t="shared" si="220"/>
        <v>1.1614132745137358</v>
      </c>
      <c r="DO94" s="199">
        <f t="shared" si="221"/>
        <v>0</v>
      </c>
      <c r="DP94" s="199">
        <f t="shared" si="222"/>
        <v>0</v>
      </c>
      <c r="DQ94" s="199">
        <f t="shared" si="223"/>
        <v>0</v>
      </c>
      <c r="DR94" s="199">
        <f t="shared" si="224"/>
        <v>0</v>
      </c>
      <c r="DS94" s="199">
        <f t="shared" si="225"/>
        <v>0</v>
      </c>
      <c r="DT94" s="199">
        <f t="shared" si="226"/>
        <v>5.739081612191698</v>
      </c>
      <c r="DU94" s="199">
        <f t="shared" si="227"/>
        <v>0</v>
      </c>
      <c r="DV94" s="199">
        <f t="shared" si="228"/>
        <v>0</v>
      </c>
      <c r="DW94" s="199">
        <f t="shared" si="229"/>
        <v>5.83918187286946</v>
      </c>
      <c r="DX94" s="199">
        <f t="shared" si="230"/>
        <v>0</v>
      </c>
      <c r="DY94" s="199">
        <f t="shared" si="231"/>
        <v>0.20687387206737518</v>
      </c>
      <c r="DZ94" s="199">
        <f t="shared" si="232"/>
        <v>0.00019419450571485863</v>
      </c>
      <c r="EA94" s="199">
        <f t="shared" si="233"/>
        <v>0</v>
      </c>
      <c r="EB94" s="199">
        <f t="shared" si="234"/>
        <v>0.26032741126930015</v>
      </c>
      <c r="EC94" s="202">
        <f t="shared" si="184"/>
        <v>19.7059940741929</v>
      </c>
      <c r="ED94" s="202">
        <f>SUM(CV94:DI94,DS94:DT94,DW94,DY94,EA94:EB94)</f>
        <v>18.54438660517345</v>
      </c>
      <c r="EE94" s="203">
        <f t="shared" si="235"/>
        <v>3.0697057192237227</v>
      </c>
      <c r="EF94" s="199"/>
      <c r="EI94" s="1">
        <f t="shared" si="236"/>
        <v>0.18495710758393283</v>
      </c>
      <c r="EJ94" s="1">
        <f t="shared" si="237"/>
        <v>0.002442336444552</v>
      </c>
      <c r="EK94" s="1">
        <f t="shared" si="238"/>
        <v>0</v>
      </c>
      <c r="EL94" s="1">
        <f t="shared" si="239"/>
        <v>0</v>
      </c>
      <c r="EM94" s="1">
        <f t="shared" si="240"/>
        <v>0</v>
      </c>
      <c r="EN94" s="1">
        <f t="shared" si="241"/>
        <v>0</v>
      </c>
      <c r="EO94" s="1">
        <f t="shared" si="242"/>
        <v>0</v>
      </c>
      <c r="EP94" s="1">
        <f t="shared" si="243"/>
        <v>0</v>
      </c>
      <c r="EQ94" s="1">
        <f t="shared" si="244"/>
        <v>0</v>
      </c>
      <c r="ER94" s="1">
        <f t="shared" si="245"/>
        <v>0</v>
      </c>
      <c r="ES94" s="1">
        <f t="shared" si="246"/>
        <v>0</v>
      </c>
      <c r="ET94" s="1">
        <f t="shared" si="247"/>
        <v>0</v>
      </c>
      <c r="EU94" s="1">
        <f t="shared" si="248"/>
        <v>0</v>
      </c>
      <c r="EV94" s="1">
        <f t="shared" si="249"/>
        <v>0</v>
      </c>
      <c r="EW94" s="1">
        <f t="shared" si="250"/>
        <v>0</v>
      </c>
      <c r="EX94" s="1">
        <f t="shared" si="251"/>
        <v>0</v>
      </c>
      <c r="EY94" s="1">
        <f t="shared" si="252"/>
        <v>0</v>
      </c>
      <c r="EZ94" s="1">
        <f t="shared" si="253"/>
        <v>0</v>
      </c>
      <c r="FA94" s="1">
        <f t="shared" si="254"/>
        <v>0.059350736407200004</v>
      </c>
      <c r="FB94" s="1">
        <f t="shared" si="255"/>
        <v>0</v>
      </c>
      <c r="FC94" s="1">
        <f t="shared" si="256"/>
        <v>0</v>
      </c>
      <c r="FD94" s="1">
        <f t="shared" si="257"/>
        <v>0</v>
      </c>
      <c r="FE94" s="1">
        <f t="shared" si="258"/>
        <v>0</v>
      </c>
      <c r="FF94" s="1">
        <f t="shared" si="259"/>
        <v>0</v>
      </c>
      <c r="FG94" s="1">
        <f t="shared" si="260"/>
        <v>0.059350736407200004</v>
      </c>
      <c r="FH94" s="1">
        <f t="shared" si="261"/>
        <v>0</v>
      </c>
      <c r="FI94" s="1">
        <f t="shared" si="262"/>
        <v>0</v>
      </c>
      <c r="FJ94" s="1">
        <f t="shared" si="263"/>
        <v>0</v>
      </c>
      <c r="FK94" s="1">
        <f t="shared" si="264"/>
        <v>0</v>
      </c>
      <c r="FL94" s="1">
        <f t="shared" si="265"/>
        <v>4.300268812675172</v>
      </c>
      <c r="FM94" s="1">
        <f t="shared" si="266"/>
        <v>0.0034234991863440005</v>
      </c>
      <c r="FN94" s="1">
        <f t="shared" si="267"/>
        <v>4.472293968912</v>
      </c>
      <c r="FO94" s="1">
        <f>IF(O94=0,0,SUM(EI94:FN94))</f>
        <v>9.082087197616401</v>
      </c>
    </row>
    <row r="95" spans="1:171" s="45" customFormat="1" ht="12.75">
      <c r="A95" s="24">
        <v>70</v>
      </c>
      <c r="B95" s="25" t="s">
        <v>253</v>
      </c>
      <c r="C95" s="25" t="s">
        <v>254</v>
      </c>
      <c r="D95" s="26" t="s">
        <v>216</v>
      </c>
      <c r="E95" s="26">
        <v>3</v>
      </c>
      <c r="F95" s="26" t="s">
        <v>243</v>
      </c>
      <c r="G95" s="26" t="s">
        <v>74</v>
      </c>
      <c r="H95" s="26" t="s">
        <v>75</v>
      </c>
      <c r="I95" s="26">
        <v>3</v>
      </c>
      <c r="J95" s="26"/>
      <c r="K95" s="26">
        <f t="shared" si="268"/>
        <v>1</v>
      </c>
      <c r="L95" s="26">
        <f t="shared" si="269"/>
        <v>1</v>
      </c>
      <c r="M95" s="24">
        <v>322742</v>
      </c>
      <c r="N95" s="24">
        <v>934720</v>
      </c>
      <c r="O95" s="27">
        <f t="shared" si="270"/>
        <v>42000</v>
      </c>
      <c r="P95" s="28">
        <v>42000</v>
      </c>
      <c r="Q95" s="28">
        <v>50000</v>
      </c>
      <c r="R95" s="28">
        <v>24300</v>
      </c>
      <c r="S95" s="29">
        <v>0</v>
      </c>
      <c r="T95" s="29">
        <v>0</v>
      </c>
      <c r="U95" s="29">
        <v>0</v>
      </c>
      <c r="V95" s="29">
        <v>0</v>
      </c>
      <c r="W95" s="28">
        <v>3500</v>
      </c>
      <c r="X95" s="29">
        <v>7000</v>
      </c>
      <c r="Y95" s="29">
        <v>0</v>
      </c>
      <c r="Z95" s="28">
        <v>0</v>
      </c>
      <c r="AA95" s="29">
        <v>0</v>
      </c>
      <c r="AB95" s="28">
        <v>8000</v>
      </c>
      <c r="AC95" s="28">
        <v>0</v>
      </c>
      <c r="AD95" s="28">
        <v>0</v>
      </c>
      <c r="AE95" s="28">
        <v>12000</v>
      </c>
      <c r="AF95" s="28">
        <v>0</v>
      </c>
      <c r="AG95" s="28">
        <v>0</v>
      </c>
      <c r="AH95" s="28">
        <v>0</v>
      </c>
      <c r="AI95" s="28">
        <v>8000</v>
      </c>
      <c r="AJ95" s="28">
        <v>0</v>
      </c>
      <c r="AK95" s="28">
        <v>8000</v>
      </c>
      <c r="AL95" s="28">
        <v>1200</v>
      </c>
      <c r="AM95" s="30">
        <v>4500</v>
      </c>
      <c r="AN95" s="31">
        <v>0</v>
      </c>
      <c r="AO95" s="30">
        <v>11600</v>
      </c>
      <c r="AP95" s="31">
        <v>4000</v>
      </c>
      <c r="AQ95" s="31">
        <v>0</v>
      </c>
      <c r="AR95" s="31">
        <v>9000</v>
      </c>
      <c r="AS95" s="31">
        <v>0</v>
      </c>
      <c r="AT95" s="31">
        <v>6</v>
      </c>
      <c r="AU95" s="30">
        <v>10</v>
      </c>
      <c r="AW95" s="1"/>
      <c r="AX95" s="2">
        <f t="shared" si="271"/>
        <v>25872</v>
      </c>
      <c r="AY95" s="32">
        <f t="shared" si="185"/>
        <v>21732.48</v>
      </c>
      <c r="AZ95" s="186">
        <f t="shared" si="186"/>
        <v>0.2213641427939134</v>
      </c>
      <c r="BA95" s="186">
        <f t="shared" si="187"/>
        <v>0.05487553608766655</v>
      </c>
      <c r="BB95" s="186">
        <f t="shared" si="188"/>
        <v>0.2613436913356023</v>
      </c>
      <c r="BC95" s="53">
        <f t="shared" si="272"/>
        <v>42000</v>
      </c>
      <c r="BD95" s="53">
        <f t="shared" si="189"/>
        <v>8948.92229282003</v>
      </c>
      <c r="BE95" s="53">
        <f t="shared" si="190"/>
        <v>2218.4121693211823</v>
      </c>
      <c r="BF95" s="53">
        <f t="shared" si="191"/>
        <v>10565.145537858783</v>
      </c>
      <c r="BG95" s="53"/>
      <c r="BH95" s="53">
        <f t="shared" si="273"/>
        <v>3</v>
      </c>
      <c r="BI95" s="53">
        <f t="shared" si="274"/>
        <v>3</v>
      </c>
      <c r="BJ95" s="53">
        <f t="shared" si="275"/>
        <v>3</v>
      </c>
      <c r="BK95" s="53">
        <f t="shared" si="276"/>
        <v>2</v>
      </c>
      <c r="BL95" s="53"/>
      <c r="BM95" s="53">
        <f t="shared" si="277"/>
        <v>2</v>
      </c>
      <c r="BN95" s="53">
        <f t="shared" si="278"/>
        <v>2</v>
      </c>
      <c r="BO95" s="53">
        <f t="shared" si="279"/>
        <v>2</v>
      </c>
      <c r="BP95" s="53">
        <f t="shared" si="280"/>
        <v>0</v>
      </c>
      <c r="BQ95" s="53"/>
      <c r="BR95" s="53">
        <f t="shared" si="281"/>
        <v>6.5</v>
      </c>
      <c r="BS95" s="53">
        <f t="shared" si="282"/>
        <v>34.2</v>
      </c>
      <c r="BT95" s="53">
        <f t="shared" si="283"/>
        <v>11</v>
      </c>
      <c r="BU95" s="53">
        <f t="shared" si="192"/>
        <v>24816</v>
      </c>
      <c r="BV95" s="53"/>
      <c r="BW95" s="53">
        <f t="shared" si="284"/>
        <v>15600</v>
      </c>
      <c r="BX95" s="53">
        <f t="shared" si="285"/>
        <v>-21036</v>
      </c>
      <c r="BY95" s="53">
        <f t="shared" si="193"/>
        <v>-18814.91095745311</v>
      </c>
      <c r="BZ95" s="240">
        <f t="shared" si="286"/>
        <v>5.791300000000001</v>
      </c>
      <c r="CC95" s="1">
        <f t="shared" si="194"/>
        <v>0</v>
      </c>
      <c r="CD95" s="195">
        <f t="shared" si="195"/>
        <v>2873.2</v>
      </c>
      <c r="CE95" s="195">
        <f t="shared" si="196"/>
        <v>2873.2</v>
      </c>
      <c r="CF95" s="239">
        <f t="shared" si="197"/>
        <v>1.45</v>
      </c>
      <c r="CG95" s="239">
        <f t="shared" si="197"/>
        <v>9.96</v>
      </c>
      <c r="CH95" s="1">
        <f t="shared" si="287"/>
        <v>4780.8</v>
      </c>
      <c r="CI95" s="1"/>
      <c r="CJ95" s="1"/>
      <c r="CK95" s="211">
        <f t="shared" si="198"/>
        <v>0</v>
      </c>
      <c r="CL95" s="211">
        <f t="shared" si="199"/>
        <v>0</v>
      </c>
      <c r="CM95" s="211">
        <f t="shared" si="200"/>
        <v>0</v>
      </c>
      <c r="CN95" s="1"/>
      <c r="CO95" s="1"/>
      <c r="CP95" s="1"/>
      <c r="CQ95" s="1">
        <f t="shared" si="288"/>
        <v>1</v>
      </c>
      <c r="CR95" s="195">
        <f t="shared" si="201"/>
        <v>10000</v>
      </c>
      <c r="CS95" s="195"/>
      <c r="CT95" s="195"/>
      <c r="CU95" s="1"/>
      <c r="CV95" s="199">
        <f t="shared" si="202"/>
        <v>25.400441146982153</v>
      </c>
      <c r="CW95" s="199">
        <f t="shared" si="203"/>
        <v>7.297309003408862</v>
      </c>
      <c r="CX95" s="199">
        <f t="shared" si="204"/>
        <v>0</v>
      </c>
      <c r="CY95" s="199">
        <f t="shared" si="205"/>
        <v>0</v>
      </c>
      <c r="CZ95" s="199">
        <f t="shared" si="206"/>
        <v>0</v>
      </c>
      <c r="DA95" s="199">
        <f t="shared" si="207"/>
        <v>0</v>
      </c>
      <c r="DB95" s="199">
        <f t="shared" si="208"/>
        <v>0.9109123721676358</v>
      </c>
      <c r="DC95" s="199">
        <f t="shared" si="209"/>
        <v>1.8218247443352715</v>
      </c>
      <c r="DD95" s="199">
        <f t="shared" si="210"/>
        <v>0</v>
      </c>
      <c r="DE95" s="199">
        <f t="shared" si="211"/>
        <v>0</v>
      </c>
      <c r="DF95" s="199">
        <f t="shared" si="212"/>
        <v>0</v>
      </c>
      <c r="DG95" s="199">
        <f t="shared" si="213"/>
        <v>10.61062763184279</v>
      </c>
      <c r="DH95" s="199">
        <f t="shared" si="214"/>
        <v>0</v>
      </c>
      <c r="DI95" s="199">
        <f t="shared" si="215"/>
        <v>0</v>
      </c>
      <c r="DJ95" s="199">
        <f t="shared" si="216"/>
        <v>1.6396422699017443</v>
      </c>
      <c r="DK95" s="199">
        <f t="shared" si="217"/>
        <v>0</v>
      </c>
      <c r="DL95" s="199">
        <f t="shared" si="218"/>
        <v>0</v>
      </c>
      <c r="DM95" s="199">
        <f t="shared" si="219"/>
        <v>0</v>
      </c>
      <c r="DN95" s="199">
        <f t="shared" si="220"/>
        <v>1.0930948466011627</v>
      </c>
      <c r="DO95" s="199">
        <f t="shared" si="221"/>
        <v>0</v>
      </c>
      <c r="DP95" s="199">
        <f t="shared" si="222"/>
        <v>1.0930948466011627</v>
      </c>
      <c r="DQ95" s="199">
        <f t="shared" si="223"/>
        <v>0.16396422699017443</v>
      </c>
      <c r="DR95" s="199">
        <f t="shared" si="224"/>
        <v>0.6756767595748947</v>
      </c>
      <c r="DS95" s="199">
        <f t="shared" si="225"/>
        <v>0</v>
      </c>
      <c r="DT95" s="199">
        <f t="shared" si="226"/>
        <v>33.28667335071185</v>
      </c>
      <c r="DU95" s="199">
        <f t="shared" si="227"/>
        <v>0.001167836374573892</v>
      </c>
      <c r="DV95" s="199">
        <f t="shared" si="228"/>
        <v>0</v>
      </c>
      <c r="DW95" s="199">
        <f t="shared" si="229"/>
        <v>7.507519550832162</v>
      </c>
      <c r="DX95" s="199">
        <f t="shared" si="230"/>
        <v>0</v>
      </c>
      <c r="DY95" s="199">
        <f t="shared" si="231"/>
        <v>0.24824864648085018</v>
      </c>
      <c r="DZ95" s="199">
        <f t="shared" si="232"/>
        <v>0.0006473150190495289</v>
      </c>
      <c r="EA95" s="199">
        <f t="shared" si="233"/>
        <v>12.617476096410668</v>
      </c>
      <c r="EB95" s="199">
        <f t="shared" si="234"/>
        <v>1.9989531966472827</v>
      </c>
      <c r="EC95" s="202">
        <f t="shared" si="184"/>
        <v>106.36727384088228</v>
      </c>
      <c r="ED95" s="202">
        <f>SUM(CV95:DI95,DS95:DT95,DW95,DY95,EA95:EB95)</f>
        <v>101.69998573981951</v>
      </c>
      <c r="EE95" s="203">
        <f t="shared" si="235"/>
        <v>16.83469151702228</v>
      </c>
      <c r="EF95" s="199"/>
      <c r="EI95" s="1">
        <f t="shared" si="236"/>
        <v>0.18495710758393283</v>
      </c>
      <c r="EJ95" s="1">
        <f t="shared" si="237"/>
        <v>0.002442336444552</v>
      </c>
      <c r="EK95" s="1">
        <f t="shared" si="238"/>
        <v>0</v>
      </c>
      <c r="EL95" s="1">
        <f t="shared" si="239"/>
        <v>0</v>
      </c>
      <c r="EM95" s="1">
        <f t="shared" si="240"/>
        <v>0</v>
      </c>
      <c r="EN95" s="1">
        <f t="shared" si="241"/>
        <v>0</v>
      </c>
      <c r="EO95" s="1">
        <f t="shared" si="242"/>
        <v>0.20522871634656004</v>
      </c>
      <c r="EP95" s="1">
        <f t="shared" si="243"/>
        <v>0</v>
      </c>
      <c r="EQ95" s="1">
        <f t="shared" si="244"/>
        <v>0</v>
      </c>
      <c r="ER95" s="1">
        <f t="shared" si="245"/>
        <v>0</v>
      </c>
      <c r="ES95" s="1">
        <f t="shared" si="246"/>
        <v>0</v>
      </c>
      <c r="ET95" s="1">
        <f t="shared" si="247"/>
        <v>0.07346601658824001</v>
      </c>
      <c r="EU95" s="1">
        <f t="shared" si="248"/>
        <v>0</v>
      </c>
      <c r="EV95" s="1">
        <f t="shared" si="249"/>
        <v>0</v>
      </c>
      <c r="EW95" s="1">
        <f t="shared" si="250"/>
        <v>0.059350736407200004</v>
      </c>
      <c r="EX95" s="1">
        <f t="shared" si="251"/>
        <v>0</v>
      </c>
      <c r="EY95" s="1">
        <f t="shared" si="252"/>
        <v>0</v>
      </c>
      <c r="EZ95" s="1">
        <f t="shared" si="253"/>
        <v>0</v>
      </c>
      <c r="FA95" s="1">
        <f t="shared" si="254"/>
        <v>0.059350736407200004</v>
      </c>
      <c r="FB95" s="1">
        <f t="shared" si="255"/>
        <v>0</v>
      </c>
      <c r="FC95" s="1">
        <f t="shared" si="256"/>
        <v>0.059350736407200004</v>
      </c>
      <c r="FD95" s="1">
        <f t="shared" si="257"/>
        <v>0.059350736407200004</v>
      </c>
      <c r="FE95" s="1">
        <f t="shared" si="258"/>
        <v>0.059350736407200004</v>
      </c>
      <c r="FF95" s="1">
        <f t="shared" si="259"/>
        <v>0</v>
      </c>
      <c r="FG95" s="1">
        <f t="shared" si="260"/>
        <v>0.059350736407200004</v>
      </c>
      <c r="FH95" s="1">
        <f t="shared" si="261"/>
        <v>0</v>
      </c>
      <c r="FI95" s="1">
        <f t="shared" si="262"/>
        <v>0</v>
      </c>
      <c r="FJ95" s="1">
        <f t="shared" si="263"/>
        <v>0</v>
      </c>
      <c r="FK95" s="1">
        <f t="shared" si="264"/>
        <v>0</v>
      </c>
      <c r="FL95" s="1">
        <f t="shared" si="265"/>
        <v>4.300268812675172</v>
      </c>
      <c r="FM95" s="1">
        <f t="shared" si="266"/>
        <v>0.0034234991863440005</v>
      </c>
      <c r="FN95" s="1">
        <f t="shared" si="267"/>
        <v>4.472293968912</v>
      </c>
      <c r="FO95" s="1">
        <f>IF(O95=0,0,SUM(EI95:FN95))</f>
        <v>9.598184876180001</v>
      </c>
    </row>
    <row r="96" spans="1:171" s="45" customFormat="1" ht="12.75">
      <c r="A96" s="24">
        <v>79</v>
      </c>
      <c r="B96" s="25" t="s">
        <v>255</v>
      </c>
      <c r="C96" s="25" t="s">
        <v>256</v>
      </c>
      <c r="D96" s="26" t="s">
        <v>240</v>
      </c>
      <c r="E96" s="26">
        <v>3</v>
      </c>
      <c r="F96" s="26" t="s">
        <v>243</v>
      </c>
      <c r="G96" s="26" t="s">
        <v>74</v>
      </c>
      <c r="H96" s="26" t="s">
        <v>75</v>
      </c>
      <c r="I96" s="26">
        <v>3</v>
      </c>
      <c r="J96" s="26"/>
      <c r="K96" s="26">
        <f t="shared" si="268"/>
        <v>0</v>
      </c>
      <c r="L96" s="26">
        <f t="shared" si="269"/>
        <v>0</v>
      </c>
      <c r="M96" s="24">
        <v>322321</v>
      </c>
      <c r="N96" s="24">
        <v>905431</v>
      </c>
      <c r="O96" s="27">
        <f t="shared" si="270"/>
        <v>23000</v>
      </c>
      <c r="P96" s="28">
        <v>23000</v>
      </c>
      <c r="Q96" s="28">
        <v>24300</v>
      </c>
      <c r="R96" s="28">
        <v>18000</v>
      </c>
      <c r="S96" s="29">
        <v>0</v>
      </c>
      <c r="T96" s="29">
        <v>0</v>
      </c>
      <c r="U96" s="29">
        <v>0</v>
      </c>
      <c r="V96" s="29">
        <v>0</v>
      </c>
      <c r="W96" s="28">
        <v>0</v>
      </c>
      <c r="X96" s="29">
        <v>0</v>
      </c>
      <c r="Y96" s="29">
        <v>0</v>
      </c>
      <c r="Z96" s="28">
        <v>0</v>
      </c>
      <c r="AA96" s="29">
        <v>0</v>
      </c>
      <c r="AB96" s="28">
        <v>0</v>
      </c>
      <c r="AC96" s="28">
        <v>0</v>
      </c>
      <c r="AD96" s="28">
        <v>0</v>
      </c>
      <c r="AE96" s="28">
        <v>0</v>
      </c>
      <c r="AF96" s="28">
        <v>0</v>
      </c>
      <c r="AG96" s="28">
        <v>0</v>
      </c>
      <c r="AH96" s="28">
        <v>0</v>
      </c>
      <c r="AI96" s="28">
        <v>0</v>
      </c>
      <c r="AJ96" s="28">
        <v>0</v>
      </c>
      <c r="AK96" s="28">
        <v>0</v>
      </c>
      <c r="AL96" s="28">
        <v>12000</v>
      </c>
      <c r="AM96" s="30">
        <v>0</v>
      </c>
      <c r="AN96" s="31">
        <v>0</v>
      </c>
      <c r="AO96" s="30">
        <v>10000</v>
      </c>
      <c r="AP96" s="31">
        <v>0</v>
      </c>
      <c r="AQ96" s="31">
        <v>0</v>
      </c>
      <c r="AR96" s="31">
        <v>11400</v>
      </c>
      <c r="AS96" s="31">
        <v>0</v>
      </c>
      <c r="AT96" s="31">
        <v>8</v>
      </c>
      <c r="AU96" s="30">
        <v>0</v>
      </c>
      <c r="AW96" s="1"/>
      <c r="AX96" s="2">
        <f t="shared" si="271"/>
        <v>2552</v>
      </c>
      <c r="AY96" s="32">
        <f t="shared" si="185"/>
        <v>2415.4732510288068</v>
      </c>
      <c r="AZ96" s="186">
        <f t="shared" si="186"/>
        <v>0.2213641427939134</v>
      </c>
      <c r="BA96" s="186">
        <f t="shared" si="187"/>
        <v>0.05487553608766655</v>
      </c>
      <c r="BB96" s="186">
        <f t="shared" si="188"/>
        <v>0.2613436913356023</v>
      </c>
      <c r="BC96" s="53">
        <f t="shared" si="272"/>
        <v>23000</v>
      </c>
      <c r="BD96" s="53">
        <f t="shared" si="189"/>
        <v>994.6348701962302</v>
      </c>
      <c r="BE96" s="53">
        <f t="shared" si="190"/>
        <v>246.56713153547608</v>
      </c>
      <c r="BF96" s="53">
        <f t="shared" si="191"/>
        <v>1174.2712492971004</v>
      </c>
      <c r="BG96" s="53"/>
      <c r="BH96" s="53">
        <f t="shared" si="273"/>
        <v>2</v>
      </c>
      <c r="BI96" s="53">
        <f t="shared" si="274"/>
        <v>3</v>
      </c>
      <c r="BJ96" s="53">
        <f t="shared" si="275"/>
        <v>3</v>
      </c>
      <c r="BK96" s="53">
        <f t="shared" si="276"/>
        <v>2</v>
      </c>
      <c r="BL96" s="53"/>
      <c r="BM96" s="53">
        <f t="shared" si="277"/>
        <v>1</v>
      </c>
      <c r="BN96" s="53">
        <f t="shared" si="278"/>
        <v>2</v>
      </c>
      <c r="BO96" s="53">
        <f t="shared" si="279"/>
        <v>2</v>
      </c>
      <c r="BP96" s="53">
        <f t="shared" si="280"/>
        <v>0</v>
      </c>
      <c r="BQ96" s="53"/>
      <c r="BR96" s="53">
        <f t="shared" si="281"/>
        <v>3.25</v>
      </c>
      <c r="BS96" s="53">
        <f t="shared" si="282"/>
        <v>34.2</v>
      </c>
      <c r="BT96" s="53">
        <f t="shared" si="283"/>
        <v>11</v>
      </c>
      <c r="BU96" s="53">
        <f t="shared" si="192"/>
        <v>23256</v>
      </c>
      <c r="BV96" s="53"/>
      <c r="BW96" s="53">
        <f t="shared" si="284"/>
        <v>13000</v>
      </c>
      <c r="BX96" s="53">
        <f t="shared" si="285"/>
        <v>-20106</v>
      </c>
      <c r="BY96" s="53">
        <f t="shared" si="193"/>
        <v>-18255.092464544257</v>
      </c>
      <c r="BZ96" s="240">
        <f t="shared" si="286"/>
        <v>5.5020500000000006</v>
      </c>
      <c r="CC96" s="1">
        <f t="shared" si="194"/>
        <v>0</v>
      </c>
      <c r="CD96" s="195">
        <f t="shared" si="195"/>
        <v>2873.2</v>
      </c>
      <c r="CE96" s="195">
        <f t="shared" si="196"/>
        <v>2873.2</v>
      </c>
      <c r="CF96" s="239">
        <f t="shared" si="197"/>
        <v>1.45</v>
      </c>
      <c r="CG96" s="239">
        <f t="shared" si="197"/>
        <v>9.96</v>
      </c>
      <c r="CH96" s="1">
        <f t="shared" si="287"/>
        <v>4780.8</v>
      </c>
      <c r="CI96" s="1"/>
      <c r="CJ96" s="1"/>
      <c r="CK96" s="211">
        <f t="shared" si="198"/>
        <v>0</v>
      </c>
      <c r="CL96" s="211">
        <f t="shared" si="199"/>
        <v>0</v>
      </c>
      <c r="CM96" s="211">
        <f t="shared" si="200"/>
        <v>0</v>
      </c>
      <c r="CN96" s="1"/>
      <c r="CO96" s="1"/>
      <c r="CP96" s="1"/>
      <c r="CQ96" s="1">
        <f t="shared" si="288"/>
        <v>0</v>
      </c>
      <c r="CR96" s="195">
        <f t="shared" si="201"/>
        <v>0</v>
      </c>
      <c r="CS96" s="195"/>
      <c r="CT96" s="195"/>
      <c r="CU96" s="1"/>
      <c r="CV96" s="199">
        <f t="shared" si="202"/>
        <v>12.344614397433325</v>
      </c>
      <c r="CW96" s="199">
        <f t="shared" si="203"/>
        <v>5.405414076599158</v>
      </c>
      <c r="CX96" s="199">
        <f t="shared" si="204"/>
        <v>0</v>
      </c>
      <c r="CY96" s="199">
        <f t="shared" si="205"/>
        <v>0</v>
      </c>
      <c r="CZ96" s="199">
        <f t="shared" si="206"/>
        <v>0</v>
      </c>
      <c r="DA96" s="199">
        <f t="shared" si="207"/>
        <v>0</v>
      </c>
      <c r="DB96" s="199">
        <f t="shared" si="208"/>
        <v>0</v>
      </c>
      <c r="DC96" s="199">
        <f t="shared" si="209"/>
        <v>0</v>
      </c>
      <c r="DD96" s="199">
        <f t="shared" si="210"/>
        <v>0</v>
      </c>
      <c r="DE96" s="199">
        <f t="shared" si="211"/>
        <v>0</v>
      </c>
      <c r="DF96" s="199">
        <f t="shared" si="212"/>
        <v>0</v>
      </c>
      <c r="DG96" s="199">
        <f t="shared" si="213"/>
        <v>0</v>
      </c>
      <c r="DH96" s="199">
        <f t="shared" si="214"/>
        <v>0</v>
      </c>
      <c r="DI96" s="199">
        <f t="shared" si="215"/>
        <v>0</v>
      </c>
      <c r="DJ96" s="199">
        <f t="shared" si="216"/>
        <v>0</v>
      </c>
      <c r="DK96" s="199">
        <f t="shared" si="217"/>
        <v>0</v>
      </c>
      <c r="DL96" s="199">
        <f t="shared" si="218"/>
        <v>0</v>
      </c>
      <c r="DM96" s="199">
        <f t="shared" si="219"/>
        <v>0</v>
      </c>
      <c r="DN96" s="199">
        <f t="shared" si="220"/>
        <v>0</v>
      </c>
      <c r="DO96" s="199">
        <f t="shared" si="221"/>
        <v>0</v>
      </c>
      <c r="DP96" s="199">
        <f t="shared" si="222"/>
        <v>0</v>
      </c>
      <c r="DQ96" s="199">
        <f t="shared" si="223"/>
        <v>1.6396422699017443</v>
      </c>
      <c r="DR96" s="199">
        <f t="shared" si="224"/>
        <v>0</v>
      </c>
      <c r="DS96" s="199">
        <f t="shared" si="225"/>
        <v>0</v>
      </c>
      <c r="DT96" s="199">
        <f t="shared" si="226"/>
        <v>28.69540806095849</v>
      </c>
      <c r="DU96" s="199">
        <f t="shared" si="227"/>
        <v>0</v>
      </c>
      <c r="DV96" s="199">
        <f t="shared" si="228"/>
        <v>0</v>
      </c>
      <c r="DW96" s="199">
        <f t="shared" si="229"/>
        <v>9.509524764387406</v>
      </c>
      <c r="DX96" s="199">
        <f t="shared" si="230"/>
        <v>0</v>
      </c>
      <c r="DY96" s="199">
        <f t="shared" si="231"/>
        <v>0.3309981953078003</v>
      </c>
      <c r="DZ96" s="199">
        <f t="shared" si="232"/>
        <v>0</v>
      </c>
      <c r="EA96" s="199">
        <f t="shared" si="233"/>
        <v>1.4023791121112423</v>
      </c>
      <c r="EB96" s="199">
        <f t="shared" si="234"/>
        <v>0.7971499226053583</v>
      </c>
      <c r="EC96" s="202">
        <f t="shared" si="184"/>
        <v>60.12513079930452</v>
      </c>
      <c r="ED96" s="202">
        <f>SUM(CV96:DI96,DS96:DT96,DW96,DY96,EA96:EB96)</f>
        <v>58.48548852940278</v>
      </c>
      <c r="EE96" s="203">
        <f t="shared" si="235"/>
        <v>9.681271343869394</v>
      </c>
      <c r="EF96" s="199"/>
      <c r="EI96" s="1">
        <f t="shared" si="236"/>
        <v>0.18495710758393283</v>
      </c>
      <c r="EJ96" s="1">
        <f t="shared" si="237"/>
        <v>0.002442336444552</v>
      </c>
      <c r="EK96" s="1">
        <f t="shared" si="238"/>
        <v>0</v>
      </c>
      <c r="EL96" s="1">
        <f t="shared" si="239"/>
        <v>0</v>
      </c>
      <c r="EM96" s="1">
        <f t="shared" si="240"/>
        <v>0</v>
      </c>
      <c r="EN96" s="1">
        <f t="shared" si="241"/>
        <v>0</v>
      </c>
      <c r="EO96" s="1">
        <f t="shared" si="242"/>
        <v>0</v>
      </c>
      <c r="EP96" s="1">
        <f t="shared" si="243"/>
        <v>0</v>
      </c>
      <c r="EQ96" s="1">
        <f t="shared" si="244"/>
        <v>0</v>
      </c>
      <c r="ER96" s="1">
        <f t="shared" si="245"/>
        <v>0</v>
      </c>
      <c r="ES96" s="1">
        <f t="shared" si="246"/>
        <v>0</v>
      </c>
      <c r="ET96" s="1">
        <f t="shared" si="247"/>
        <v>0</v>
      </c>
      <c r="EU96" s="1">
        <f t="shared" si="248"/>
        <v>0</v>
      </c>
      <c r="EV96" s="1">
        <f t="shared" si="249"/>
        <v>0</v>
      </c>
      <c r="EW96" s="1">
        <f t="shared" si="250"/>
        <v>0</v>
      </c>
      <c r="EX96" s="1">
        <f t="shared" si="251"/>
        <v>0</v>
      </c>
      <c r="EY96" s="1">
        <f t="shared" si="252"/>
        <v>0</v>
      </c>
      <c r="EZ96" s="1">
        <f t="shared" si="253"/>
        <v>0</v>
      </c>
      <c r="FA96" s="1">
        <f t="shared" si="254"/>
        <v>0</v>
      </c>
      <c r="FB96" s="1">
        <f t="shared" si="255"/>
        <v>0</v>
      </c>
      <c r="FC96" s="1">
        <f t="shared" si="256"/>
        <v>0</v>
      </c>
      <c r="FD96" s="1">
        <f t="shared" si="257"/>
        <v>0.059350736407200004</v>
      </c>
      <c r="FE96" s="1">
        <f t="shared" si="258"/>
        <v>0</v>
      </c>
      <c r="FF96" s="1">
        <f t="shared" si="259"/>
        <v>0</v>
      </c>
      <c r="FG96" s="1">
        <f t="shared" si="260"/>
        <v>0.059350736407200004</v>
      </c>
      <c r="FH96" s="1">
        <f t="shared" si="261"/>
        <v>0</v>
      </c>
      <c r="FI96" s="1">
        <f t="shared" si="262"/>
        <v>0</v>
      </c>
      <c r="FJ96" s="1">
        <f t="shared" si="263"/>
        <v>0</v>
      </c>
      <c r="FK96" s="1">
        <f t="shared" si="264"/>
        <v>0</v>
      </c>
      <c r="FL96" s="1">
        <f t="shared" si="265"/>
        <v>4.300268812675172</v>
      </c>
      <c r="FM96" s="1">
        <f t="shared" si="266"/>
        <v>0</v>
      </c>
      <c r="FN96" s="1">
        <f t="shared" si="267"/>
        <v>4.472293968912</v>
      </c>
      <c r="FO96" s="1">
        <f>IF(O96=0,0,SUM(EI96:FN96))</f>
        <v>9.078663698430056</v>
      </c>
    </row>
    <row r="97" spans="1:171" s="45" customFormat="1" ht="12.75">
      <c r="A97" s="24">
        <v>80</v>
      </c>
      <c r="B97" s="25" t="s">
        <v>257</v>
      </c>
      <c r="C97" s="25" t="s">
        <v>258</v>
      </c>
      <c r="D97" s="26" t="s">
        <v>240</v>
      </c>
      <c r="E97" s="26">
        <v>3</v>
      </c>
      <c r="F97" s="26" t="s">
        <v>243</v>
      </c>
      <c r="G97" s="26" t="s">
        <v>74</v>
      </c>
      <c r="H97" s="26" t="s">
        <v>79</v>
      </c>
      <c r="I97" s="26">
        <v>3</v>
      </c>
      <c r="J97" s="26"/>
      <c r="K97" s="26">
        <f t="shared" si="268"/>
        <v>0</v>
      </c>
      <c r="L97" s="26">
        <f t="shared" si="269"/>
        <v>0</v>
      </c>
      <c r="M97" s="24">
        <v>310130</v>
      </c>
      <c r="N97" s="24">
        <v>892700</v>
      </c>
      <c r="O97" s="27">
        <f t="shared" si="270"/>
        <v>0</v>
      </c>
      <c r="P97" s="30">
        <v>0</v>
      </c>
      <c r="Q97" s="30">
        <v>6500</v>
      </c>
      <c r="R97" s="28">
        <v>0</v>
      </c>
      <c r="S97" s="29">
        <v>0</v>
      </c>
      <c r="T97" s="29">
        <v>0</v>
      </c>
      <c r="U97" s="29">
        <v>0</v>
      </c>
      <c r="V97" s="29">
        <v>0</v>
      </c>
      <c r="W97" s="28">
        <v>0</v>
      </c>
      <c r="X97" s="29">
        <v>0</v>
      </c>
      <c r="Y97" s="29">
        <v>0</v>
      </c>
      <c r="Z97" s="28">
        <v>0</v>
      </c>
      <c r="AA97" s="29">
        <v>0</v>
      </c>
      <c r="AB97" s="28">
        <v>0</v>
      </c>
      <c r="AC97" s="28">
        <v>0</v>
      </c>
      <c r="AD97" s="28">
        <v>0</v>
      </c>
      <c r="AE97" s="28">
        <v>0</v>
      </c>
      <c r="AF97" s="28">
        <v>0</v>
      </c>
      <c r="AG97" s="28">
        <v>0</v>
      </c>
      <c r="AH97" s="28">
        <v>0</v>
      </c>
      <c r="AI97" s="28">
        <v>0</v>
      </c>
      <c r="AJ97" s="28">
        <v>0</v>
      </c>
      <c r="AK97" s="28">
        <v>0</v>
      </c>
      <c r="AL97" s="28">
        <v>0</v>
      </c>
      <c r="AM97" s="30">
        <v>0</v>
      </c>
      <c r="AN97" s="31">
        <v>0</v>
      </c>
      <c r="AO97" s="30">
        <v>3575</v>
      </c>
      <c r="AP97" s="31">
        <v>0</v>
      </c>
      <c r="AQ97" s="31">
        <v>0</v>
      </c>
      <c r="AR97" s="31">
        <v>0</v>
      </c>
      <c r="AS97" s="31">
        <v>0</v>
      </c>
      <c r="AT97" s="31">
        <v>0</v>
      </c>
      <c r="AU97" s="30">
        <v>0</v>
      </c>
      <c r="AW97" s="1"/>
      <c r="AX97" s="2">
        <f t="shared" si="271"/>
        <v>2574</v>
      </c>
      <c r="AY97" s="32">
        <f t="shared" si="185"/>
        <v>0</v>
      </c>
      <c r="AZ97" s="186">
        <f t="shared" si="186"/>
        <v>0.2213641427939134</v>
      </c>
      <c r="BA97" s="186">
        <f t="shared" si="187"/>
        <v>0.05487553608766655</v>
      </c>
      <c r="BB97" s="186">
        <f t="shared" si="188"/>
        <v>0.2613436913356023</v>
      </c>
      <c r="BC97" s="53">
        <f t="shared" si="272"/>
        <v>0</v>
      </c>
      <c r="BD97" s="53">
        <f t="shared" si="189"/>
        <v>0</v>
      </c>
      <c r="BE97" s="53">
        <f t="shared" si="190"/>
        <v>0</v>
      </c>
      <c r="BF97" s="53">
        <f t="shared" si="191"/>
        <v>0</v>
      </c>
      <c r="BG97" s="53"/>
      <c r="BH97" s="53">
        <f t="shared" si="273"/>
        <v>0</v>
      </c>
      <c r="BI97" s="53">
        <f t="shared" si="274"/>
        <v>0</v>
      </c>
      <c r="BJ97" s="53">
        <f t="shared" si="275"/>
        <v>0</v>
      </c>
      <c r="BK97" s="53">
        <f t="shared" si="276"/>
        <v>0</v>
      </c>
      <c r="BL97" s="53"/>
      <c r="BM97" s="53">
        <f t="shared" si="277"/>
        <v>0</v>
      </c>
      <c r="BN97" s="53">
        <f t="shared" si="278"/>
        <v>0</v>
      </c>
      <c r="BO97" s="53">
        <f t="shared" si="279"/>
        <v>0</v>
      </c>
      <c r="BP97" s="53">
        <f t="shared" si="280"/>
        <v>0</v>
      </c>
      <c r="BQ97" s="53"/>
      <c r="BR97" s="53">
        <f t="shared" si="281"/>
        <v>0</v>
      </c>
      <c r="BS97" s="53">
        <f t="shared" si="282"/>
        <v>0</v>
      </c>
      <c r="BT97" s="53">
        <f t="shared" si="283"/>
        <v>0</v>
      </c>
      <c r="BU97" s="53">
        <f t="shared" si="192"/>
        <v>0</v>
      </c>
      <c r="BV97" s="53"/>
      <c r="BW97" s="53">
        <f t="shared" si="284"/>
        <v>0</v>
      </c>
      <c r="BX97" s="53">
        <f t="shared" si="285"/>
        <v>0</v>
      </c>
      <c r="BY97" s="53">
        <f t="shared" si="193"/>
        <v>0</v>
      </c>
      <c r="BZ97" s="240">
        <f t="shared" si="286"/>
        <v>0</v>
      </c>
      <c r="CC97" s="1">
        <f t="shared" si="194"/>
        <v>0</v>
      </c>
      <c r="CD97" s="195">
        <f t="shared" si="195"/>
        <v>0</v>
      </c>
      <c r="CE97" s="195">
        <f t="shared" si="196"/>
        <v>0</v>
      </c>
      <c r="CF97" s="239">
        <f t="shared" si="197"/>
        <v>0</v>
      </c>
      <c r="CG97" s="239">
        <f t="shared" si="197"/>
        <v>0</v>
      </c>
      <c r="CH97" s="1">
        <f t="shared" si="287"/>
        <v>0</v>
      </c>
      <c r="CI97" s="1"/>
      <c r="CJ97" s="1"/>
      <c r="CK97" s="211">
        <f t="shared" si="198"/>
        <v>0</v>
      </c>
      <c r="CL97" s="211">
        <f t="shared" si="199"/>
        <v>0</v>
      </c>
      <c r="CM97" s="211">
        <f t="shared" si="200"/>
        <v>0</v>
      </c>
      <c r="CN97" s="1"/>
      <c r="CO97" s="1"/>
      <c r="CP97" s="1"/>
      <c r="CQ97" s="1">
        <f t="shared" si="288"/>
        <v>0</v>
      </c>
      <c r="CR97" s="195">
        <f t="shared" si="201"/>
        <v>0</v>
      </c>
      <c r="CS97" s="195"/>
      <c r="CT97" s="195"/>
      <c r="CU97" s="1"/>
      <c r="CV97" s="199">
        <f t="shared" si="202"/>
        <v>3.3020573491076792</v>
      </c>
      <c r="CW97" s="199">
        <f t="shared" si="203"/>
        <v>0</v>
      </c>
      <c r="CX97" s="199">
        <f t="shared" si="204"/>
        <v>0</v>
      </c>
      <c r="CY97" s="199">
        <f t="shared" si="205"/>
        <v>0</v>
      </c>
      <c r="CZ97" s="199">
        <f t="shared" si="206"/>
        <v>0</v>
      </c>
      <c r="DA97" s="199">
        <f t="shared" si="207"/>
        <v>0</v>
      </c>
      <c r="DB97" s="199">
        <f t="shared" si="208"/>
        <v>0</v>
      </c>
      <c r="DC97" s="199">
        <f t="shared" si="209"/>
        <v>0</v>
      </c>
      <c r="DD97" s="199">
        <f t="shared" si="210"/>
        <v>0</v>
      </c>
      <c r="DE97" s="199">
        <f t="shared" si="211"/>
        <v>0</v>
      </c>
      <c r="DF97" s="199">
        <f t="shared" si="212"/>
        <v>0</v>
      </c>
      <c r="DG97" s="199">
        <f t="shared" si="213"/>
        <v>0</v>
      </c>
      <c r="DH97" s="199">
        <f t="shared" si="214"/>
        <v>0</v>
      </c>
      <c r="DI97" s="199">
        <f t="shared" si="215"/>
        <v>0</v>
      </c>
      <c r="DJ97" s="199">
        <f t="shared" si="216"/>
        <v>0</v>
      </c>
      <c r="DK97" s="199">
        <f t="shared" si="217"/>
        <v>0</v>
      </c>
      <c r="DL97" s="199">
        <f t="shared" si="218"/>
        <v>0</v>
      </c>
      <c r="DM97" s="199">
        <f t="shared" si="219"/>
        <v>0</v>
      </c>
      <c r="DN97" s="199">
        <f t="shared" si="220"/>
        <v>0</v>
      </c>
      <c r="DO97" s="199">
        <f t="shared" si="221"/>
        <v>0</v>
      </c>
      <c r="DP97" s="199">
        <f t="shared" si="222"/>
        <v>0</v>
      </c>
      <c r="DQ97" s="199">
        <f t="shared" si="223"/>
        <v>0</v>
      </c>
      <c r="DR97" s="199">
        <f t="shared" si="224"/>
        <v>0</v>
      </c>
      <c r="DS97" s="199">
        <f t="shared" si="225"/>
        <v>0</v>
      </c>
      <c r="DT97" s="199">
        <f t="shared" si="226"/>
        <v>10.25860838179266</v>
      </c>
      <c r="DU97" s="199">
        <f t="shared" si="227"/>
        <v>0</v>
      </c>
      <c r="DV97" s="199">
        <f t="shared" si="228"/>
        <v>0</v>
      </c>
      <c r="DW97" s="199">
        <f t="shared" si="229"/>
        <v>0</v>
      </c>
      <c r="DX97" s="199">
        <f t="shared" si="230"/>
        <v>0</v>
      </c>
      <c r="DY97" s="199">
        <f t="shared" si="231"/>
        <v>0</v>
      </c>
      <c r="DZ97" s="199">
        <f t="shared" si="232"/>
        <v>0</v>
      </c>
      <c r="EA97" s="199">
        <f t="shared" si="233"/>
        <v>0</v>
      </c>
      <c r="EB97" s="199">
        <f t="shared" si="234"/>
        <v>0</v>
      </c>
      <c r="EC97" s="202">
        <f t="shared" si="184"/>
        <v>13.56066573090034</v>
      </c>
      <c r="ED97" s="202">
        <f>SUM(CV97:DI97,DS97:DT97,DW97,DY97,EA97:EB97)</f>
        <v>13.56066573090034</v>
      </c>
      <c r="EE97" s="203">
        <f t="shared" si="235"/>
        <v>2.244736050693253</v>
      </c>
      <c r="EF97" s="199"/>
      <c r="EI97" s="1">
        <f t="shared" si="236"/>
        <v>0.18495710758393283</v>
      </c>
      <c r="EJ97" s="1">
        <f t="shared" si="237"/>
        <v>0</v>
      </c>
      <c r="EK97" s="1">
        <f t="shared" si="238"/>
        <v>0</v>
      </c>
      <c r="EL97" s="1">
        <f t="shared" si="239"/>
        <v>0</v>
      </c>
      <c r="EM97" s="1">
        <f t="shared" si="240"/>
        <v>0</v>
      </c>
      <c r="EN97" s="1">
        <f t="shared" si="241"/>
        <v>0</v>
      </c>
      <c r="EO97" s="1">
        <f t="shared" si="242"/>
        <v>0</v>
      </c>
      <c r="EP97" s="1">
        <f t="shared" si="243"/>
        <v>0</v>
      </c>
      <c r="EQ97" s="1">
        <f t="shared" si="244"/>
        <v>0</v>
      </c>
      <c r="ER97" s="1">
        <f t="shared" si="245"/>
        <v>0</v>
      </c>
      <c r="ES97" s="1">
        <f t="shared" si="246"/>
        <v>0</v>
      </c>
      <c r="ET97" s="1">
        <f t="shared" si="247"/>
        <v>0</v>
      </c>
      <c r="EU97" s="1">
        <f t="shared" si="248"/>
        <v>0</v>
      </c>
      <c r="EV97" s="1">
        <f t="shared" si="249"/>
        <v>0</v>
      </c>
      <c r="EW97" s="1">
        <f t="shared" si="250"/>
        <v>0</v>
      </c>
      <c r="EX97" s="1">
        <f t="shared" si="251"/>
        <v>0</v>
      </c>
      <c r="EY97" s="1">
        <f t="shared" si="252"/>
        <v>0</v>
      </c>
      <c r="EZ97" s="1">
        <f t="shared" si="253"/>
        <v>0</v>
      </c>
      <c r="FA97" s="1">
        <f t="shared" si="254"/>
        <v>0</v>
      </c>
      <c r="FB97" s="1">
        <f t="shared" si="255"/>
        <v>0</v>
      </c>
      <c r="FC97" s="1">
        <f t="shared" si="256"/>
        <v>0</v>
      </c>
      <c r="FD97" s="1">
        <f t="shared" si="257"/>
        <v>0</v>
      </c>
      <c r="FE97" s="1">
        <f t="shared" si="258"/>
        <v>0</v>
      </c>
      <c r="FF97" s="1">
        <f t="shared" si="259"/>
        <v>0</v>
      </c>
      <c r="FG97" s="1">
        <f t="shared" si="260"/>
        <v>0.059350736407200004</v>
      </c>
      <c r="FH97" s="1">
        <f t="shared" si="261"/>
        <v>0</v>
      </c>
      <c r="FI97" s="1">
        <f t="shared" si="262"/>
        <v>0</v>
      </c>
      <c r="FJ97" s="1">
        <f t="shared" si="263"/>
        <v>0</v>
      </c>
      <c r="FK97" s="1">
        <f t="shared" si="264"/>
        <v>0</v>
      </c>
      <c r="FL97" s="1">
        <f t="shared" si="265"/>
        <v>0</v>
      </c>
      <c r="FM97" s="1">
        <f t="shared" si="266"/>
        <v>0</v>
      </c>
      <c r="FN97" s="1">
        <f t="shared" si="267"/>
        <v>0</v>
      </c>
      <c r="FO97" s="1">
        <f>IF(O97=0,0,SUM(EI97:FN97))</f>
        <v>0</v>
      </c>
    </row>
    <row r="98" spans="1:171" s="45" customFormat="1" ht="12.75">
      <c r="A98" s="24">
        <v>81</v>
      </c>
      <c r="B98" s="25" t="s">
        <v>257</v>
      </c>
      <c r="C98" s="25" t="s">
        <v>259</v>
      </c>
      <c r="D98" s="26" t="s">
        <v>240</v>
      </c>
      <c r="E98" s="26">
        <v>3</v>
      </c>
      <c r="F98" s="26" t="s">
        <v>243</v>
      </c>
      <c r="G98" s="26" t="s">
        <v>74</v>
      </c>
      <c r="H98" s="26" t="s">
        <v>79</v>
      </c>
      <c r="I98" s="26">
        <v>3</v>
      </c>
      <c r="J98" s="26"/>
      <c r="K98" s="26">
        <f t="shared" si="268"/>
        <v>0</v>
      </c>
      <c r="L98" s="26">
        <f t="shared" si="269"/>
        <v>0</v>
      </c>
      <c r="M98" s="24">
        <v>314900</v>
      </c>
      <c r="N98" s="24">
        <v>890020</v>
      </c>
      <c r="O98" s="27">
        <f t="shared" si="270"/>
        <v>11000</v>
      </c>
      <c r="P98" s="28">
        <v>11000</v>
      </c>
      <c r="Q98" s="28">
        <v>12500</v>
      </c>
      <c r="R98" s="28">
        <v>6875</v>
      </c>
      <c r="S98" s="29">
        <v>0</v>
      </c>
      <c r="T98" s="29">
        <v>0</v>
      </c>
      <c r="U98" s="29">
        <v>0</v>
      </c>
      <c r="V98" s="29">
        <v>0</v>
      </c>
      <c r="W98" s="28">
        <v>0</v>
      </c>
      <c r="X98" s="29">
        <v>0</v>
      </c>
      <c r="Y98" s="29">
        <v>0</v>
      </c>
      <c r="Z98" s="28">
        <v>0</v>
      </c>
      <c r="AA98" s="29">
        <v>0</v>
      </c>
      <c r="AB98" s="28">
        <v>0</v>
      </c>
      <c r="AC98" s="28">
        <v>0</v>
      </c>
      <c r="AD98" s="28">
        <v>0</v>
      </c>
      <c r="AE98" s="28">
        <v>0</v>
      </c>
      <c r="AF98" s="28">
        <v>0</v>
      </c>
      <c r="AG98" s="28">
        <v>0</v>
      </c>
      <c r="AH98" s="28">
        <v>0</v>
      </c>
      <c r="AI98" s="28">
        <v>0</v>
      </c>
      <c r="AJ98" s="28">
        <v>0</v>
      </c>
      <c r="AK98" s="28">
        <v>0</v>
      </c>
      <c r="AL98" s="28">
        <v>0</v>
      </c>
      <c r="AM98" s="30">
        <v>0</v>
      </c>
      <c r="AN98" s="31">
        <v>0</v>
      </c>
      <c r="AO98" s="30">
        <v>6125</v>
      </c>
      <c r="AP98" s="31">
        <v>0</v>
      </c>
      <c r="AQ98" s="31">
        <v>0</v>
      </c>
      <c r="AR98" s="31">
        <v>0</v>
      </c>
      <c r="AS98" s="31">
        <v>0</v>
      </c>
      <c r="AT98" s="31">
        <v>0</v>
      </c>
      <c r="AU98" s="30">
        <v>0</v>
      </c>
      <c r="AW98" s="1"/>
      <c r="AX98" s="2">
        <f t="shared" si="271"/>
        <v>5610</v>
      </c>
      <c r="AY98" s="32">
        <f t="shared" si="185"/>
        <v>4936.8</v>
      </c>
      <c r="AZ98" s="186">
        <f t="shared" si="186"/>
        <v>0.2213641427939134</v>
      </c>
      <c r="BA98" s="186">
        <f t="shared" si="187"/>
        <v>0.05487553608766655</v>
      </c>
      <c r="BB98" s="186">
        <f t="shared" si="188"/>
        <v>0.2613436913356023</v>
      </c>
      <c r="BC98" s="53">
        <f t="shared" si="272"/>
        <v>11000</v>
      </c>
      <c r="BD98" s="53">
        <f t="shared" si="189"/>
        <v>2032.8577122902648</v>
      </c>
      <c r="BE98" s="53">
        <f t="shared" si="190"/>
        <v>503.93959628651737</v>
      </c>
      <c r="BF98" s="53">
        <f t="shared" si="191"/>
        <v>2400.0026914232176</v>
      </c>
      <c r="BG98" s="53"/>
      <c r="BH98" s="53">
        <f t="shared" si="273"/>
        <v>2</v>
      </c>
      <c r="BI98" s="53">
        <f t="shared" si="274"/>
        <v>3</v>
      </c>
      <c r="BJ98" s="53">
        <f t="shared" si="275"/>
        <v>3</v>
      </c>
      <c r="BK98" s="53">
        <f t="shared" si="276"/>
        <v>2</v>
      </c>
      <c r="BL98" s="53"/>
      <c r="BM98" s="53">
        <f t="shared" si="277"/>
        <v>0</v>
      </c>
      <c r="BN98" s="53">
        <f t="shared" si="278"/>
        <v>2</v>
      </c>
      <c r="BO98" s="53">
        <f t="shared" si="279"/>
        <v>2</v>
      </c>
      <c r="BP98" s="53">
        <f t="shared" si="280"/>
        <v>0</v>
      </c>
      <c r="BQ98" s="53"/>
      <c r="BR98" s="53">
        <f t="shared" si="281"/>
        <v>0</v>
      </c>
      <c r="BS98" s="53">
        <f t="shared" si="282"/>
        <v>34.2</v>
      </c>
      <c r="BT98" s="53">
        <f t="shared" si="283"/>
        <v>11</v>
      </c>
      <c r="BU98" s="53">
        <f t="shared" si="192"/>
        <v>21696</v>
      </c>
      <c r="BV98" s="53"/>
      <c r="BW98" s="53">
        <f t="shared" si="284"/>
        <v>10400</v>
      </c>
      <c r="BX98" s="53">
        <f t="shared" si="285"/>
        <v>-19176</v>
      </c>
      <c r="BY98" s="53">
        <f t="shared" si="193"/>
        <v>-17695.273971635408</v>
      </c>
      <c r="BZ98" s="240">
        <f t="shared" si="286"/>
        <v>5.2128000000000005</v>
      </c>
      <c r="CC98" s="1">
        <f t="shared" si="194"/>
        <v>0</v>
      </c>
      <c r="CD98" s="195">
        <f t="shared" si="195"/>
        <v>2873.2</v>
      </c>
      <c r="CE98" s="195">
        <f t="shared" si="196"/>
        <v>2873.2</v>
      </c>
      <c r="CF98" s="239">
        <f t="shared" si="197"/>
        <v>1.45</v>
      </c>
      <c r="CG98" s="239">
        <f t="shared" si="197"/>
        <v>9.96</v>
      </c>
      <c r="CH98" s="1">
        <f t="shared" si="287"/>
        <v>4780.8</v>
      </c>
      <c r="CI98" s="1"/>
      <c r="CJ98" s="1"/>
      <c r="CK98" s="211">
        <f t="shared" si="198"/>
        <v>0</v>
      </c>
      <c r="CL98" s="211">
        <f t="shared" si="199"/>
        <v>0</v>
      </c>
      <c r="CM98" s="211">
        <f t="shared" si="200"/>
        <v>0</v>
      </c>
      <c r="CN98" s="1"/>
      <c r="CO98" s="1"/>
      <c r="CP98" s="1"/>
      <c r="CQ98" s="1">
        <f t="shared" si="288"/>
        <v>0</v>
      </c>
      <c r="CR98" s="195">
        <f t="shared" si="201"/>
        <v>0</v>
      </c>
      <c r="CS98" s="195"/>
      <c r="CT98" s="195"/>
      <c r="CU98" s="1"/>
      <c r="CV98" s="199">
        <f t="shared" si="202"/>
        <v>6.350110286745538</v>
      </c>
      <c r="CW98" s="199">
        <f t="shared" si="203"/>
        <v>2.064567876478845</v>
      </c>
      <c r="CX98" s="199">
        <f t="shared" si="204"/>
        <v>0</v>
      </c>
      <c r="CY98" s="199">
        <f t="shared" si="205"/>
        <v>0</v>
      </c>
      <c r="CZ98" s="199">
        <f t="shared" si="206"/>
        <v>0</v>
      </c>
      <c r="DA98" s="199">
        <f t="shared" si="207"/>
        <v>0</v>
      </c>
      <c r="DB98" s="199">
        <f t="shared" si="208"/>
        <v>0</v>
      </c>
      <c r="DC98" s="199">
        <f t="shared" si="209"/>
        <v>0</v>
      </c>
      <c r="DD98" s="199">
        <f t="shared" si="210"/>
        <v>0</v>
      </c>
      <c r="DE98" s="199">
        <f t="shared" si="211"/>
        <v>0</v>
      </c>
      <c r="DF98" s="199">
        <f t="shared" si="212"/>
        <v>0</v>
      </c>
      <c r="DG98" s="199">
        <f t="shared" si="213"/>
        <v>0</v>
      </c>
      <c r="DH98" s="199">
        <f t="shared" si="214"/>
        <v>0</v>
      </c>
      <c r="DI98" s="199">
        <f t="shared" si="215"/>
        <v>0</v>
      </c>
      <c r="DJ98" s="199">
        <f t="shared" si="216"/>
        <v>0</v>
      </c>
      <c r="DK98" s="199">
        <f t="shared" si="217"/>
        <v>0</v>
      </c>
      <c r="DL98" s="199">
        <f t="shared" si="218"/>
        <v>0</v>
      </c>
      <c r="DM98" s="199">
        <f t="shared" si="219"/>
        <v>0</v>
      </c>
      <c r="DN98" s="199">
        <f t="shared" si="220"/>
        <v>0</v>
      </c>
      <c r="DO98" s="199">
        <f t="shared" si="221"/>
        <v>0</v>
      </c>
      <c r="DP98" s="199">
        <f t="shared" si="222"/>
        <v>0</v>
      </c>
      <c r="DQ98" s="199">
        <f t="shared" si="223"/>
        <v>0</v>
      </c>
      <c r="DR98" s="199">
        <f t="shared" si="224"/>
        <v>0</v>
      </c>
      <c r="DS98" s="199">
        <f t="shared" si="225"/>
        <v>0</v>
      </c>
      <c r="DT98" s="199">
        <f t="shared" si="226"/>
        <v>17.575937437337075</v>
      </c>
      <c r="DU98" s="199">
        <f t="shared" si="227"/>
        <v>0</v>
      </c>
      <c r="DV98" s="199">
        <f t="shared" si="228"/>
        <v>0</v>
      </c>
      <c r="DW98" s="199">
        <f t="shared" si="229"/>
        <v>0</v>
      </c>
      <c r="DX98" s="199">
        <f t="shared" si="230"/>
        <v>0</v>
      </c>
      <c r="DY98" s="199">
        <f t="shared" si="231"/>
        <v>0</v>
      </c>
      <c r="DZ98" s="199">
        <f t="shared" si="232"/>
        <v>0</v>
      </c>
      <c r="EA98" s="199">
        <f t="shared" si="233"/>
        <v>2.8662148081010623</v>
      </c>
      <c r="EB98" s="199">
        <f t="shared" si="234"/>
        <v>0.4998537214357328</v>
      </c>
      <c r="EC98" s="202">
        <f t="shared" si="184"/>
        <v>29.356684130098255</v>
      </c>
      <c r="ED98" s="202">
        <f>SUM(CV98:DI98,DS98:DT98,DW98,DY98,EA98:EB98)</f>
        <v>29.356684130098255</v>
      </c>
      <c r="EE98" s="203">
        <f t="shared" si="235"/>
        <v>4.859496465979983</v>
      </c>
      <c r="EF98" s="199"/>
      <c r="EI98" s="1">
        <f t="shared" si="236"/>
        <v>0.18495710758393283</v>
      </c>
      <c r="EJ98" s="1">
        <f t="shared" si="237"/>
        <v>0.002442336444552</v>
      </c>
      <c r="EK98" s="1">
        <f t="shared" si="238"/>
        <v>0</v>
      </c>
      <c r="EL98" s="1">
        <f t="shared" si="239"/>
        <v>0</v>
      </c>
      <c r="EM98" s="1">
        <f t="shared" si="240"/>
        <v>0</v>
      </c>
      <c r="EN98" s="1">
        <f t="shared" si="241"/>
        <v>0</v>
      </c>
      <c r="EO98" s="1">
        <f t="shared" si="242"/>
        <v>0</v>
      </c>
      <c r="EP98" s="1">
        <f t="shared" si="243"/>
        <v>0</v>
      </c>
      <c r="EQ98" s="1">
        <f t="shared" si="244"/>
        <v>0</v>
      </c>
      <c r="ER98" s="1">
        <f t="shared" si="245"/>
        <v>0</v>
      </c>
      <c r="ES98" s="1">
        <f t="shared" si="246"/>
        <v>0</v>
      </c>
      <c r="ET98" s="1">
        <f t="shared" si="247"/>
        <v>0</v>
      </c>
      <c r="EU98" s="1">
        <f t="shared" si="248"/>
        <v>0</v>
      </c>
      <c r="EV98" s="1">
        <f t="shared" si="249"/>
        <v>0</v>
      </c>
      <c r="EW98" s="1">
        <f t="shared" si="250"/>
        <v>0</v>
      </c>
      <c r="EX98" s="1">
        <f t="shared" si="251"/>
        <v>0</v>
      </c>
      <c r="EY98" s="1">
        <f t="shared" si="252"/>
        <v>0</v>
      </c>
      <c r="EZ98" s="1">
        <f t="shared" si="253"/>
        <v>0</v>
      </c>
      <c r="FA98" s="1">
        <f t="shared" si="254"/>
        <v>0</v>
      </c>
      <c r="FB98" s="1">
        <f t="shared" si="255"/>
        <v>0</v>
      </c>
      <c r="FC98" s="1">
        <f t="shared" si="256"/>
        <v>0</v>
      </c>
      <c r="FD98" s="1">
        <f t="shared" si="257"/>
        <v>0</v>
      </c>
      <c r="FE98" s="1">
        <f t="shared" si="258"/>
        <v>0</v>
      </c>
      <c r="FF98" s="1">
        <f t="shared" si="259"/>
        <v>0</v>
      </c>
      <c r="FG98" s="1">
        <f t="shared" si="260"/>
        <v>0.059350736407200004</v>
      </c>
      <c r="FH98" s="1">
        <f t="shared" si="261"/>
        <v>0</v>
      </c>
      <c r="FI98" s="1">
        <f t="shared" si="262"/>
        <v>0</v>
      </c>
      <c r="FJ98" s="1">
        <f t="shared" si="263"/>
        <v>0</v>
      </c>
      <c r="FK98" s="1">
        <f t="shared" si="264"/>
        <v>0</v>
      </c>
      <c r="FL98" s="1">
        <f t="shared" si="265"/>
        <v>0</v>
      </c>
      <c r="FM98" s="1">
        <f t="shared" si="266"/>
        <v>0</v>
      </c>
      <c r="FN98" s="1">
        <f t="shared" si="267"/>
        <v>4.472293968912</v>
      </c>
      <c r="FO98" s="1">
        <f>IF(O98=0,0,SUM(EI98:FN98))</f>
        <v>4.719044149347685</v>
      </c>
    </row>
    <row r="99" spans="1:171" s="45" customFormat="1" ht="12.75">
      <c r="A99" s="24">
        <v>91</v>
      </c>
      <c r="B99" s="25" t="s">
        <v>260</v>
      </c>
      <c r="C99" s="25" t="s">
        <v>261</v>
      </c>
      <c r="D99" s="26" t="s">
        <v>262</v>
      </c>
      <c r="E99" s="26">
        <v>3</v>
      </c>
      <c r="F99" s="26" t="s">
        <v>263</v>
      </c>
      <c r="G99" s="26" t="s">
        <v>74</v>
      </c>
      <c r="H99" s="26" t="s">
        <v>75</v>
      </c>
      <c r="I99" s="26">
        <v>3</v>
      </c>
      <c r="J99" s="26"/>
      <c r="K99" s="26">
        <f t="shared" si="268"/>
        <v>1</v>
      </c>
      <c r="L99" s="26">
        <f t="shared" si="269"/>
        <v>1</v>
      </c>
      <c r="M99" s="24">
        <v>364150</v>
      </c>
      <c r="N99" s="24">
        <v>1075820</v>
      </c>
      <c r="O99" s="27">
        <f t="shared" si="270"/>
        <v>16800</v>
      </c>
      <c r="P99" s="28">
        <v>16800</v>
      </c>
      <c r="Q99" s="28">
        <v>18107</v>
      </c>
      <c r="R99" s="28">
        <v>0</v>
      </c>
      <c r="S99" s="29">
        <v>0</v>
      </c>
      <c r="T99" s="29">
        <v>0</v>
      </c>
      <c r="U99" s="29">
        <v>0</v>
      </c>
      <c r="V99" s="29">
        <v>0</v>
      </c>
      <c r="W99" s="28">
        <v>6000</v>
      </c>
      <c r="X99" s="29">
        <v>500</v>
      </c>
      <c r="Y99" s="29">
        <v>0</v>
      </c>
      <c r="Z99" s="28">
        <v>0</v>
      </c>
      <c r="AA99" s="29">
        <v>0</v>
      </c>
      <c r="AB99" s="28">
        <v>0</v>
      </c>
      <c r="AC99" s="28">
        <v>4000</v>
      </c>
      <c r="AD99" s="28">
        <v>0</v>
      </c>
      <c r="AE99" s="28">
        <v>4000</v>
      </c>
      <c r="AF99" s="28">
        <v>0</v>
      </c>
      <c r="AG99" s="28">
        <v>0</v>
      </c>
      <c r="AH99" s="28">
        <v>3000</v>
      </c>
      <c r="AI99" s="28">
        <v>0</v>
      </c>
      <c r="AJ99" s="28">
        <v>0</v>
      </c>
      <c r="AK99" s="28">
        <v>0</v>
      </c>
      <c r="AL99" s="28">
        <v>0</v>
      </c>
      <c r="AM99" s="30">
        <v>0</v>
      </c>
      <c r="AN99" s="31">
        <v>0</v>
      </c>
      <c r="AO99" s="30">
        <v>0</v>
      </c>
      <c r="AP99" s="31">
        <v>355</v>
      </c>
      <c r="AQ99" s="31">
        <v>0</v>
      </c>
      <c r="AR99" s="31">
        <v>0</v>
      </c>
      <c r="AS99" s="31">
        <v>0</v>
      </c>
      <c r="AT99" s="31">
        <v>0</v>
      </c>
      <c r="AU99" s="30">
        <v>3</v>
      </c>
      <c r="AW99" s="1"/>
      <c r="AX99" s="2">
        <f t="shared" si="271"/>
        <v>15934.16</v>
      </c>
      <c r="AY99" s="32">
        <f t="shared" si="185"/>
        <v>14784</v>
      </c>
      <c r="AZ99" s="186">
        <f t="shared" si="186"/>
        <v>0.5642786777583187</v>
      </c>
      <c r="BA99" s="186">
        <f t="shared" si="187"/>
        <v>0.02724113397548161</v>
      </c>
      <c r="BB99" s="186">
        <f t="shared" si="188"/>
        <v>0.29106009194395793</v>
      </c>
      <c r="BC99" s="53">
        <f t="shared" si="272"/>
        <v>16800</v>
      </c>
      <c r="BD99" s="53">
        <f t="shared" si="189"/>
        <v>9452.170774811648</v>
      </c>
      <c r="BE99" s="53">
        <f t="shared" si="190"/>
        <v>456.31327318388986</v>
      </c>
      <c r="BF99" s="53">
        <f t="shared" si="191"/>
        <v>4875.515952004465</v>
      </c>
      <c r="BG99" s="53"/>
      <c r="BH99" s="53">
        <f t="shared" si="273"/>
        <v>2</v>
      </c>
      <c r="BI99" s="53">
        <f t="shared" si="274"/>
        <v>3</v>
      </c>
      <c r="BJ99" s="53">
        <f t="shared" si="275"/>
        <v>3</v>
      </c>
      <c r="BK99" s="53">
        <f t="shared" si="276"/>
        <v>2</v>
      </c>
      <c r="BL99" s="53"/>
      <c r="BM99" s="53">
        <f t="shared" si="277"/>
        <v>1</v>
      </c>
      <c r="BN99" s="53">
        <f t="shared" si="278"/>
        <v>2</v>
      </c>
      <c r="BO99" s="53">
        <f t="shared" si="279"/>
        <v>2</v>
      </c>
      <c r="BP99" s="53">
        <f t="shared" si="280"/>
        <v>0</v>
      </c>
      <c r="BQ99" s="53"/>
      <c r="BR99" s="53">
        <f t="shared" si="281"/>
        <v>3.25</v>
      </c>
      <c r="BS99" s="53">
        <f t="shared" si="282"/>
        <v>34.2</v>
      </c>
      <c r="BT99" s="53">
        <f t="shared" si="283"/>
        <v>11</v>
      </c>
      <c r="BU99" s="53">
        <f t="shared" si="192"/>
        <v>23256</v>
      </c>
      <c r="BV99" s="53"/>
      <c r="BW99" s="53">
        <f t="shared" si="284"/>
        <v>13000</v>
      </c>
      <c r="BX99" s="53">
        <f t="shared" si="285"/>
        <v>-20106</v>
      </c>
      <c r="BY99" s="53">
        <f t="shared" si="193"/>
        <v>-18255.092464544257</v>
      </c>
      <c r="BZ99" s="240">
        <f t="shared" si="286"/>
        <v>5.5020500000000006</v>
      </c>
      <c r="CC99" s="1">
        <f t="shared" si="194"/>
        <v>0</v>
      </c>
      <c r="CD99" s="195">
        <f t="shared" si="195"/>
        <v>2873.2</v>
      </c>
      <c r="CE99" s="195">
        <f t="shared" si="196"/>
        <v>2873.2</v>
      </c>
      <c r="CF99" s="239">
        <f t="shared" si="197"/>
        <v>1.45</v>
      </c>
      <c r="CG99" s="239">
        <f t="shared" si="197"/>
        <v>9.96</v>
      </c>
      <c r="CH99" s="1">
        <f t="shared" si="287"/>
        <v>4780.8</v>
      </c>
      <c r="CI99" s="1"/>
      <c r="CJ99" s="1"/>
      <c r="CK99" s="211">
        <f t="shared" si="198"/>
        <v>0</v>
      </c>
      <c r="CL99" s="211">
        <f t="shared" si="199"/>
        <v>0</v>
      </c>
      <c r="CM99" s="211">
        <f t="shared" si="200"/>
        <v>0</v>
      </c>
      <c r="CN99" s="1"/>
      <c r="CO99" s="1"/>
      <c r="CP99" s="1"/>
      <c r="CQ99" s="1">
        <f t="shared" si="288"/>
        <v>0</v>
      </c>
      <c r="CR99" s="195">
        <f t="shared" si="201"/>
        <v>0</v>
      </c>
      <c r="CS99" s="195"/>
      <c r="CT99" s="195"/>
      <c r="CU99" s="1"/>
      <c r="CV99" s="199">
        <f t="shared" si="202"/>
        <v>9.198515756968115</v>
      </c>
      <c r="CW99" s="199">
        <f t="shared" si="203"/>
        <v>0</v>
      </c>
      <c r="CX99" s="199">
        <f t="shared" si="204"/>
        <v>0</v>
      </c>
      <c r="CY99" s="199">
        <f t="shared" si="205"/>
        <v>0</v>
      </c>
      <c r="CZ99" s="199">
        <f t="shared" si="206"/>
        <v>0</v>
      </c>
      <c r="DA99" s="199">
        <f t="shared" si="207"/>
        <v>0</v>
      </c>
      <c r="DB99" s="199">
        <f t="shared" si="208"/>
        <v>1.5615640665730899</v>
      </c>
      <c r="DC99" s="199">
        <f t="shared" si="209"/>
        <v>0.13013033888109082</v>
      </c>
      <c r="DD99" s="199">
        <f t="shared" si="210"/>
        <v>0</v>
      </c>
      <c r="DE99" s="199">
        <f t="shared" si="211"/>
        <v>0</v>
      </c>
      <c r="DF99" s="199">
        <f t="shared" si="212"/>
        <v>0</v>
      </c>
      <c r="DG99" s="199">
        <f t="shared" si="213"/>
        <v>0</v>
      </c>
      <c r="DH99" s="199">
        <f t="shared" si="214"/>
        <v>5.305313815921395</v>
      </c>
      <c r="DI99" s="199">
        <f t="shared" si="215"/>
        <v>0</v>
      </c>
      <c r="DJ99" s="199">
        <f t="shared" si="216"/>
        <v>0.5465474233005814</v>
      </c>
      <c r="DK99" s="199">
        <f t="shared" si="217"/>
        <v>0</v>
      </c>
      <c r="DL99" s="199">
        <f t="shared" si="218"/>
        <v>0</v>
      </c>
      <c r="DM99" s="199">
        <f t="shared" si="219"/>
        <v>0.4099105674754361</v>
      </c>
      <c r="DN99" s="199">
        <f t="shared" si="220"/>
        <v>0</v>
      </c>
      <c r="DO99" s="199">
        <f t="shared" si="221"/>
        <v>0</v>
      </c>
      <c r="DP99" s="199">
        <f t="shared" si="222"/>
        <v>0</v>
      </c>
      <c r="DQ99" s="199">
        <f t="shared" si="223"/>
        <v>0</v>
      </c>
      <c r="DR99" s="199">
        <f t="shared" si="224"/>
        <v>0</v>
      </c>
      <c r="DS99" s="199">
        <f t="shared" si="225"/>
        <v>0</v>
      </c>
      <c r="DT99" s="199">
        <f t="shared" si="226"/>
        <v>0</v>
      </c>
      <c r="DU99" s="199">
        <f t="shared" si="227"/>
        <v>0.00010364547824343292</v>
      </c>
      <c r="DV99" s="199">
        <f t="shared" si="228"/>
        <v>0</v>
      </c>
      <c r="DW99" s="199">
        <f t="shared" si="229"/>
        <v>0</v>
      </c>
      <c r="DX99" s="199">
        <f t="shared" si="230"/>
        <v>0</v>
      </c>
      <c r="DY99" s="199">
        <f t="shared" si="231"/>
        <v>0</v>
      </c>
      <c r="DZ99" s="199">
        <f t="shared" si="232"/>
        <v>0.00019419450571485863</v>
      </c>
      <c r="EA99" s="199">
        <f t="shared" si="233"/>
        <v>8.583317072388208</v>
      </c>
      <c r="EB99" s="199">
        <f t="shared" si="234"/>
        <v>0.9906242117505515</v>
      </c>
      <c r="EC99" s="202">
        <f t="shared" si="184"/>
        <v>26.726221093242422</v>
      </c>
      <c r="ED99" s="202">
        <f>SUM(CV99:DI99,DS99:DT99,DW99,DY99,EA99:EB99)</f>
        <v>25.76946526248245</v>
      </c>
      <c r="EE99" s="203">
        <f t="shared" si="235"/>
        <v>4.2656937962839425</v>
      </c>
      <c r="EF99" s="199"/>
      <c r="EI99" s="1">
        <f t="shared" si="236"/>
        <v>0.18495710758393283</v>
      </c>
      <c r="EJ99" s="1">
        <f t="shared" si="237"/>
        <v>0</v>
      </c>
      <c r="EK99" s="1">
        <f t="shared" si="238"/>
        <v>0</v>
      </c>
      <c r="EL99" s="1">
        <f t="shared" si="239"/>
        <v>0</v>
      </c>
      <c r="EM99" s="1">
        <f t="shared" si="240"/>
        <v>0</v>
      </c>
      <c r="EN99" s="1">
        <f t="shared" si="241"/>
        <v>0</v>
      </c>
      <c r="EO99" s="1">
        <f t="shared" si="242"/>
        <v>0.20522871634656004</v>
      </c>
      <c r="EP99" s="1">
        <f t="shared" si="243"/>
        <v>0</v>
      </c>
      <c r="EQ99" s="1">
        <f t="shared" si="244"/>
        <v>0</v>
      </c>
      <c r="ER99" s="1">
        <f t="shared" si="245"/>
        <v>0</v>
      </c>
      <c r="ES99" s="1">
        <f t="shared" si="246"/>
        <v>0</v>
      </c>
      <c r="ET99" s="1">
        <f t="shared" si="247"/>
        <v>0</v>
      </c>
      <c r="EU99" s="1">
        <f t="shared" si="248"/>
        <v>0.07346601658824001</v>
      </c>
      <c r="EV99" s="1">
        <f t="shared" si="249"/>
        <v>0</v>
      </c>
      <c r="EW99" s="1">
        <f t="shared" si="250"/>
        <v>0.059350736407200004</v>
      </c>
      <c r="EX99" s="1">
        <f t="shared" si="251"/>
        <v>0</v>
      </c>
      <c r="EY99" s="1">
        <f t="shared" si="252"/>
        <v>0</v>
      </c>
      <c r="EZ99" s="1">
        <f t="shared" si="253"/>
        <v>0.059350736407200004</v>
      </c>
      <c r="FA99" s="1">
        <f t="shared" si="254"/>
        <v>0</v>
      </c>
      <c r="FB99" s="1">
        <f t="shared" si="255"/>
        <v>0</v>
      </c>
      <c r="FC99" s="1">
        <f t="shared" si="256"/>
        <v>0</v>
      </c>
      <c r="FD99" s="1">
        <f t="shared" si="257"/>
        <v>0</v>
      </c>
      <c r="FE99" s="1">
        <f t="shared" si="258"/>
        <v>0</v>
      </c>
      <c r="FF99" s="1">
        <f t="shared" si="259"/>
        <v>0</v>
      </c>
      <c r="FG99" s="1">
        <f t="shared" si="260"/>
        <v>0</v>
      </c>
      <c r="FH99" s="1">
        <f t="shared" si="261"/>
        <v>0</v>
      </c>
      <c r="FI99" s="1">
        <f t="shared" si="262"/>
        <v>0</v>
      </c>
      <c r="FJ99" s="1">
        <f t="shared" si="263"/>
        <v>0</v>
      </c>
      <c r="FK99" s="1">
        <f t="shared" si="264"/>
        <v>0</v>
      </c>
      <c r="FL99" s="1">
        <f t="shared" si="265"/>
        <v>0</v>
      </c>
      <c r="FM99" s="1">
        <f t="shared" si="266"/>
        <v>0.0034234991863440005</v>
      </c>
      <c r="FN99" s="1">
        <f t="shared" si="267"/>
        <v>4.472293968912</v>
      </c>
      <c r="FO99" s="1">
        <f>IF(O99=0,0,SUM(EI99:FN99))</f>
        <v>5.058070781431477</v>
      </c>
    </row>
    <row r="100" spans="1:171" s="45" customFormat="1" ht="12.75">
      <c r="A100" s="24">
        <v>92</v>
      </c>
      <c r="B100" s="46" t="s">
        <v>260</v>
      </c>
      <c r="C100" s="25" t="s">
        <v>264</v>
      </c>
      <c r="D100" s="26" t="s">
        <v>262</v>
      </c>
      <c r="E100" s="26">
        <v>3</v>
      </c>
      <c r="F100" s="26" t="s">
        <v>263</v>
      </c>
      <c r="G100" s="26" t="s">
        <v>74</v>
      </c>
      <c r="H100" s="26" t="s">
        <v>75</v>
      </c>
      <c r="I100" s="26">
        <v>3</v>
      </c>
      <c r="J100" s="26"/>
      <c r="K100" s="26">
        <f t="shared" si="268"/>
        <v>1</v>
      </c>
      <c r="L100" s="26">
        <f t="shared" si="269"/>
        <v>1</v>
      </c>
      <c r="M100" s="24">
        <v>353020</v>
      </c>
      <c r="N100" s="24">
        <v>1082530</v>
      </c>
      <c r="O100" s="27">
        <f t="shared" si="270"/>
        <v>20800</v>
      </c>
      <c r="P100" s="28">
        <v>20800</v>
      </c>
      <c r="Q100" s="28">
        <v>21000</v>
      </c>
      <c r="R100" s="28">
        <v>0</v>
      </c>
      <c r="S100" s="29">
        <v>0</v>
      </c>
      <c r="T100" s="29">
        <v>0</v>
      </c>
      <c r="U100" s="29">
        <v>0</v>
      </c>
      <c r="V100" s="29">
        <v>0</v>
      </c>
      <c r="W100" s="28">
        <v>8500</v>
      </c>
      <c r="X100" s="29">
        <v>3000</v>
      </c>
      <c r="Y100" s="29">
        <v>0</v>
      </c>
      <c r="Z100" s="28">
        <v>0</v>
      </c>
      <c r="AA100" s="29">
        <v>0</v>
      </c>
      <c r="AB100" s="28">
        <v>0</v>
      </c>
      <c r="AC100" s="28">
        <v>6800</v>
      </c>
      <c r="AD100" s="28">
        <v>0</v>
      </c>
      <c r="AE100" s="28">
        <v>6800</v>
      </c>
      <c r="AF100" s="28">
        <v>0</v>
      </c>
      <c r="AG100" s="28">
        <v>0</v>
      </c>
      <c r="AH100" s="28">
        <v>3000</v>
      </c>
      <c r="AI100" s="28">
        <v>0</v>
      </c>
      <c r="AJ100" s="28">
        <v>0</v>
      </c>
      <c r="AK100" s="28">
        <v>0</v>
      </c>
      <c r="AL100" s="28">
        <v>0</v>
      </c>
      <c r="AM100" s="30">
        <v>1800</v>
      </c>
      <c r="AN100" s="31">
        <v>0</v>
      </c>
      <c r="AO100" s="30">
        <v>0</v>
      </c>
      <c r="AP100" s="31">
        <v>0</v>
      </c>
      <c r="AQ100" s="31">
        <v>4000</v>
      </c>
      <c r="AR100" s="31">
        <v>0</v>
      </c>
      <c r="AS100" s="31">
        <v>0</v>
      </c>
      <c r="AT100" s="31">
        <v>0</v>
      </c>
      <c r="AU100" s="30">
        <v>2</v>
      </c>
      <c r="AW100" s="1"/>
      <c r="AX100" s="2">
        <f t="shared" si="271"/>
        <v>18480</v>
      </c>
      <c r="AY100" s="32">
        <f t="shared" si="185"/>
        <v>18304</v>
      </c>
      <c r="AZ100" s="186">
        <f t="shared" si="186"/>
        <v>0.5642786777583187</v>
      </c>
      <c r="BA100" s="186">
        <f t="shared" si="187"/>
        <v>0.02724113397548161</v>
      </c>
      <c r="BB100" s="186">
        <f t="shared" si="188"/>
        <v>0.29106009194395793</v>
      </c>
      <c r="BC100" s="53">
        <f t="shared" si="272"/>
        <v>20800</v>
      </c>
      <c r="BD100" s="53">
        <f t="shared" si="189"/>
        <v>11702.687625957276</v>
      </c>
      <c r="BE100" s="53">
        <f t="shared" si="190"/>
        <v>564.9592906086257</v>
      </c>
      <c r="BF100" s="53">
        <f t="shared" si="191"/>
        <v>6036.353083434099</v>
      </c>
      <c r="BG100" s="53"/>
      <c r="BH100" s="53">
        <f t="shared" si="273"/>
        <v>2</v>
      </c>
      <c r="BI100" s="53">
        <f t="shared" si="274"/>
        <v>3</v>
      </c>
      <c r="BJ100" s="53">
        <f t="shared" si="275"/>
        <v>3</v>
      </c>
      <c r="BK100" s="53">
        <f t="shared" si="276"/>
        <v>2</v>
      </c>
      <c r="BL100" s="53"/>
      <c r="BM100" s="53">
        <f t="shared" si="277"/>
        <v>1</v>
      </c>
      <c r="BN100" s="53">
        <f t="shared" si="278"/>
        <v>2</v>
      </c>
      <c r="BO100" s="53">
        <f t="shared" si="279"/>
        <v>2</v>
      </c>
      <c r="BP100" s="53">
        <f t="shared" si="280"/>
        <v>0</v>
      </c>
      <c r="BQ100" s="53"/>
      <c r="BR100" s="53">
        <f t="shared" si="281"/>
        <v>3.25</v>
      </c>
      <c r="BS100" s="53">
        <f t="shared" si="282"/>
        <v>34.2</v>
      </c>
      <c r="BT100" s="53">
        <f t="shared" si="283"/>
        <v>11</v>
      </c>
      <c r="BU100" s="53">
        <f t="shared" si="192"/>
        <v>23256</v>
      </c>
      <c r="BV100" s="53"/>
      <c r="BW100" s="53">
        <f t="shared" si="284"/>
        <v>13000</v>
      </c>
      <c r="BX100" s="53">
        <f t="shared" si="285"/>
        <v>-20106</v>
      </c>
      <c r="BY100" s="53">
        <f t="shared" si="193"/>
        <v>-18255.092464544257</v>
      </c>
      <c r="BZ100" s="240">
        <f t="shared" si="286"/>
        <v>5.5020500000000006</v>
      </c>
      <c r="CC100" s="1">
        <f t="shared" si="194"/>
        <v>0</v>
      </c>
      <c r="CD100" s="195">
        <f t="shared" si="195"/>
        <v>2873.2</v>
      </c>
      <c r="CE100" s="195">
        <f t="shared" si="196"/>
        <v>2873.2</v>
      </c>
      <c r="CF100" s="239">
        <f t="shared" si="197"/>
        <v>1.45</v>
      </c>
      <c r="CG100" s="239">
        <f t="shared" si="197"/>
        <v>9.96</v>
      </c>
      <c r="CH100" s="1">
        <f t="shared" si="287"/>
        <v>4780.8</v>
      </c>
      <c r="CI100" s="1"/>
      <c r="CJ100" s="1"/>
      <c r="CK100" s="211">
        <f t="shared" si="198"/>
        <v>0</v>
      </c>
      <c r="CL100" s="211">
        <f t="shared" si="199"/>
        <v>0</v>
      </c>
      <c r="CM100" s="211">
        <f t="shared" si="200"/>
        <v>0</v>
      </c>
      <c r="CN100" s="1"/>
      <c r="CO100" s="1"/>
      <c r="CP100" s="1"/>
      <c r="CQ100" s="1">
        <f t="shared" si="288"/>
        <v>0</v>
      </c>
      <c r="CR100" s="195">
        <f t="shared" si="201"/>
        <v>0</v>
      </c>
      <c r="CS100" s="195"/>
      <c r="CT100" s="195"/>
      <c r="CU100" s="1"/>
      <c r="CV100" s="199">
        <f t="shared" si="202"/>
        <v>10.668185281732503</v>
      </c>
      <c r="CW100" s="199">
        <f t="shared" si="203"/>
        <v>0</v>
      </c>
      <c r="CX100" s="199">
        <f t="shared" si="204"/>
        <v>0</v>
      </c>
      <c r="CY100" s="199">
        <f t="shared" si="205"/>
        <v>0</v>
      </c>
      <c r="CZ100" s="199">
        <f t="shared" si="206"/>
        <v>0</v>
      </c>
      <c r="DA100" s="199">
        <f t="shared" si="207"/>
        <v>0</v>
      </c>
      <c r="DB100" s="199">
        <f t="shared" si="208"/>
        <v>2.212215760978544</v>
      </c>
      <c r="DC100" s="199">
        <f t="shared" si="209"/>
        <v>0.7807820332865449</v>
      </c>
      <c r="DD100" s="199">
        <f t="shared" si="210"/>
        <v>0</v>
      </c>
      <c r="DE100" s="199">
        <f t="shared" si="211"/>
        <v>0</v>
      </c>
      <c r="DF100" s="199">
        <f t="shared" si="212"/>
        <v>0</v>
      </c>
      <c r="DG100" s="199">
        <f t="shared" si="213"/>
        <v>0</v>
      </c>
      <c r="DH100" s="199">
        <f t="shared" si="214"/>
        <v>9.019033487066372</v>
      </c>
      <c r="DI100" s="199">
        <f t="shared" si="215"/>
        <v>0</v>
      </c>
      <c r="DJ100" s="199">
        <f t="shared" si="216"/>
        <v>0.9291306196109885</v>
      </c>
      <c r="DK100" s="199">
        <f t="shared" si="217"/>
        <v>0</v>
      </c>
      <c r="DL100" s="199">
        <f t="shared" si="218"/>
        <v>0</v>
      </c>
      <c r="DM100" s="199">
        <f t="shared" si="219"/>
        <v>0.4099105674754361</v>
      </c>
      <c r="DN100" s="199">
        <f t="shared" si="220"/>
        <v>0</v>
      </c>
      <c r="DO100" s="199">
        <f t="shared" si="221"/>
        <v>0</v>
      </c>
      <c r="DP100" s="199">
        <f t="shared" si="222"/>
        <v>0</v>
      </c>
      <c r="DQ100" s="199">
        <f t="shared" si="223"/>
        <v>0</v>
      </c>
      <c r="DR100" s="199">
        <f t="shared" si="224"/>
        <v>0.2702707038299579</v>
      </c>
      <c r="DS100" s="199">
        <f t="shared" si="225"/>
        <v>0</v>
      </c>
      <c r="DT100" s="199">
        <f t="shared" si="226"/>
        <v>0</v>
      </c>
      <c r="DU100" s="199">
        <f t="shared" si="227"/>
        <v>0</v>
      </c>
      <c r="DV100" s="199">
        <f t="shared" si="228"/>
        <v>0.001167836374573892</v>
      </c>
      <c r="DW100" s="199">
        <f t="shared" si="229"/>
        <v>0</v>
      </c>
      <c r="DX100" s="199">
        <f t="shared" si="230"/>
        <v>0</v>
      </c>
      <c r="DY100" s="199">
        <f t="shared" si="231"/>
        <v>0</v>
      </c>
      <c r="DZ100" s="199">
        <f t="shared" si="232"/>
        <v>0.00012946300380990572</v>
      </c>
      <c r="EA100" s="199">
        <f t="shared" si="233"/>
        <v>10.6269639943854</v>
      </c>
      <c r="EB100" s="199">
        <f t="shared" si="234"/>
        <v>1.2264871193102065</v>
      </c>
      <c r="EC100" s="202">
        <f t="shared" si="184"/>
        <v>36.14427686705434</v>
      </c>
      <c r="ED100" s="202">
        <f>SUM(CV100:DI100,DS100:DT100,DW100,DY100,EA100:EB100)</f>
        <v>34.53366767675957</v>
      </c>
      <c r="EE100" s="203">
        <f t="shared" si="235"/>
        <v>5.71645746123231</v>
      </c>
      <c r="EF100" s="199"/>
      <c r="EI100" s="1">
        <f t="shared" si="236"/>
        <v>0.18495710758393283</v>
      </c>
      <c r="EJ100" s="1">
        <f t="shared" si="237"/>
        <v>0</v>
      </c>
      <c r="EK100" s="1">
        <f t="shared" si="238"/>
        <v>0</v>
      </c>
      <c r="EL100" s="1">
        <f t="shared" si="239"/>
        <v>0</v>
      </c>
      <c r="EM100" s="1">
        <f t="shared" si="240"/>
        <v>0</v>
      </c>
      <c r="EN100" s="1">
        <f t="shared" si="241"/>
        <v>0</v>
      </c>
      <c r="EO100" s="1">
        <f t="shared" si="242"/>
        <v>0.20522871634656004</v>
      </c>
      <c r="EP100" s="1">
        <f t="shared" si="243"/>
        <v>0</v>
      </c>
      <c r="EQ100" s="1">
        <f t="shared" si="244"/>
        <v>0</v>
      </c>
      <c r="ER100" s="1">
        <f t="shared" si="245"/>
        <v>0</v>
      </c>
      <c r="ES100" s="1">
        <f t="shared" si="246"/>
        <v>0</v>
      </c>
      <c r="ET100" s="1">
        <f t="shared" si="247"/>
        <v>0</v>
      </c>
      <c r="EU100" s="1">
        <f t="shared" si="248"/>
        <v>0.07346601658824001</v>
      </c>
      <c r="EV100" s="1">
        <f t="shared" si="249"/>
        <v>0</v>
      </c>
      <c r="EW100" s="1">
        <f t="shared" si="250"/>
        <v>0.059350736407200004</v>
      </c>
      <c r="EX100" s="1">
        <f t="shared" si="251"/>
        <v>0</v>
      </c>
      <c r="EY100" s="1">
        <f t="shared" si="252"/>
        <v>0</v>
      </c>
      <c r="EZ100" s="1">
        <f t="shared" si="253"/>
        <v>0.059350736407200004</v>
      </c>
      <c r="FA100" s="1">
        <f t="shared" si="254"/>
        <v>0</v>
      </c>
      <c r="FB100" s="1">
        <f t="shared" si="255"/>
        <v>0</v>
      </c>
      <c r="FC100" s="1">
        <f t="shared" si="256"/>
        <v>0</v>
      </c>
      <c r="FD100" s="1">
        <f t="shared" si="257"/>
        <v>0</v>
      </c>
      <c r="FE100" s="1">
        <f t="shared" si="258"/>
        <v>0.059350736407200004</v>
      </c>
      <c r="FF100" s="1">
        <f t="shared" si="259"/>
        <v>0</v>
      </c>
      <c r="FG100" s="1">
        <f t="shared" si="260"/>
        <v>0</v>
      </c>
      <c r="FH100" s="1">
        <f t="shared" si="261"/>
        <v>0</v>
      </c>
      <c r="FI100" s="1">
        <f t="shared" si="262"/>
        <v>0</v>
      </c>
      <c r="FJ100" s="1">
        <f t="shared" si="263"/>
        <v>0</v>
      </c>
      <c r="FK100" s="1">
        <f t="shared" si="264"/>
        <v>0</v>
      </c>
      <c r="FL100" s="1">
        <f t="shared" si="265"/>
        <v>0</v>
      </c>
      <c r="FM100" s="1">
        <f t="shared" si="266"/>
        <v>0.0034234991863440005</v>
      </c>
      <c r="FN100" s="1">
        <f t="shared" si="267"/>
        <v>4.472293968912</v>
      </c>
      <c r="FO100" s="1">
        <f>IF(O100=0,0,SUM(EI100:FN100))</f>
        <v>5.117421517838677</v>
      </c>
    </row>
    <row r="101" spans="1:171" s="45" customFormat="1" ht="12.75">
      <c r="A101" s="24">
        <v>93</v>
      </c>
      <c r="B101" s="25" t="s">
        <v>265</v>
      </c>
      <c r="C101" s="25" t="s">
        <v>266</v>
      </c>
      <c r="D101" s="26" t="s">
        <v>262</v>
      </c>
      <c r="E101" s="26">
        <v>3</v>
      </c>
      <c r="F101" s="26" t="s">
        <v>263</v>
      </c>
      <c r="G101" s="26" t="s">
        <v>74</v>
      </c>
      <c r="H101" s="26" t="s">
        <v>75</v>
      </c>
      <c r="I101" s="26">
        <v>2</v>
      </c>
      <c r="J101" s="26"/>
      <c r="K101" s="26">
        <f t="shared" si="268"/>
        <v>1</v>
      </c>
      <c r="L101" s="26">
        <f t="shared" si="269"/>
        <v>1</v>
      </c>
      <c r="M101" s="24">
        <v>325105</v>
      </c>
      <c r="N101" s="24">
        <v>1042346</v>
      </c>
      <c r="O101" s="27">
        <f t="shared" si="270"/>
        <v>75000</v>
      </c>
      <c r="P101" s="28">
        <v>75000</v>
      </c>
      <c r="Q101" s="28">
        <v>76000</v>
      </c>
      <c r="R101" s="28">
        <v>22000</v>
      </c>
      <c r="S101" s="29">
        <v>0</v>
      </c>
      <c r="T101" s="29">
        <v>0</v>
      </c>
      <c r="U101" s="29">
        <v>0</v>
      </c>
      <c r="V101" s="29">
        <v>0</v>
      </c>
      <c r="W101" s="28">
        <v>27000</v>
      </c>
      <c r="X101" s="29">
        <v>0</v>
      </c>
      <c r="Y101" s="29">
        <v>0</v>
      </c>
      <c r="Z101" s="28">
        <v>0</v>
      </c>
      <c r="AA101" s="29">
        <v>0</v>
      </c>
      <c r="AB101" s="28">
        <v>18000</v>
      </c>
      <c r="AC101" s="28">
        <v>0</v>
      </c>
      <c r="AD101" s="28">
        <v>0</v>
      </c>
      <c r="AE101" s="28">
        <v>25000</v>
      </c>
      <c r="AF101" s="28">
        <v>0</v>
      </c>
      <c r="AG101" s="28">
        <v>11000</v>
      </c>
      <c r="AH101" s="28">
        <v>15000</v>
      </c>
      <c r="AI101" s="28">
        <v>0</v>
      </c>
      <c r="AJ101" s="28">
        <v>0</v>
      </c>
      <c r="AK101" s="28">
        <v>0</v>
      </c>
      <c r="AL101" s="28">
        <v>0</v>
      </c>
      <c r="AM101" s="30">
        <v>8600</v>
      </c>
      <c r="AN101" s="31">
        <v>0</v>
      </c>
      <c r="AO101" s="30">
        <v>6000</v>
      </c>
      <c r="AP101" s="31">
        <v>0</v>
      </c>
      <c r="AQ101" s="31">
        <v>9540</v>
      </c>
      <c r="AR101" s="31">
        <v>0</v>
      </c>
      <c r="AS101" s="31">
        <v>0</v>
      </c>
      <c r="AT101" s="31">
        <v>0</v>
      </c>
      <c r="AU101" s="30">
        <v>130</v>
      </c>
      <c r="AW101" s="1"/>
      <c r="AX101" s="2">
        <f t="shared" si="271"/>
        <v>61600</v>
      </c>
      <c r="AY101" s="32">
        <f aca="true" t="shared" si="289" ref="AY101:AY132">IF(AX101&lt;0,0,AX101)*IF(Q101&gt;0,P101/Q101,0.9)</f>
        <v>60789.47368421053</v>
      </c>
      <c r="AZ101" s="186">
        <f aca="true" t="shared" si="290" ref="AZ101:AZ132">HLOOKUP($F101,yields,3)/100</f>
        <v>0.5642786777583187</v>
      </c>
      <c r="BA101" s="186">
        <f aca="true" t="shared" si="291" ref="BA101:BA132">(HLOOKUP($F101,yields,4)+(HLOOKUP($F101,yields,5)+HLOOKUP($F101,yields,6))/2+HLOOKUP($F101,yields,9)+HLOOKUP($F101,yields,11))/100</f>
        <v>0.02724113397548161</v>
      </c>
      <c r="BB101" s="186">
        <f aca="true" t="shared" si="292" ref="BB101:BB132">((HLOOKUP($F101,yields,5)+HLOOKUP($F101,yields,6))/2+HLOOKUP($F101,yields,7))/100</f>
        <v>0.29106009194395793</v>
      </c>
      <c r="BC101" s="53">
        <f t="shared" si="272"/>
        <v>75000</v>
      </c>
      <c r="BD101" s="53">
        <f t="shared" si="189"/>
        <v>38865.83377800842</v>
      </c>
      <c r="BE101" s="53">
        <f t="shared" si="190"/>
        <v>1876.2881298679683</v>
      </c>
      <c r="BF101" s="53">
        <f t="shared" si="191"/>
        <v>20047.351776334148</v>
      </c>
      <c r="BG101" s="53"/>
      <c r="BH101" s="53">
        <f t="shared" si="273"/>
        <v>4</v>
      </c>
      <c r="BI101" s="53">
        <f t="shared" si="274"/>
        <v>4</v>
      </c>
      <c r="BJ101" s="53">
        <f t="shared" si="275"/>
        <v>3</v>
      </c>
      <c r="BK101" s="53">
        <f t="shared" si="276"/>
        <v>3</v>
      </c>
      <c r="BL101" s="53"/>
      <c r="BM101" s="53">
        <f t="shared" si="277"/>
        <v>2</v>
      </c>
      <c r="BN101" s="53">
        <f t="shared" si="278"/>
        <v>2</v>
      </c>
      <c r="BO101" s="53">
        <f t="shared" si="279"/>
        <v>2</v>
      </c>
      <c r="BP101" s="53">
        <f t="shared" si="280"/>
        <v>0</v>
      </c>
      <c r="BQ101" s="53"/>
      <c r="BR101" s="53">
        <f t="shared" si="281"/>
        <v>6.5</v>
      </c>
      <c r="BS101" s="53">
        <f t="shared" si="282"/>
        <v>34.2</v>
      </c>
      <c r="BT101" s="53">
        <f t="shared" si="283"/>
        <v>11</v>
      </c>
      <c r="BU101" s="53">
        <f aca="true" t="shared" si="293" ref="BU101:BU132">SUM(BR101:BT101)*BU$3</f>
        <v>24816</v>
      </c>
      <c r="BV101" s="53"/>
      <c r="BW101" s="53">
        <f t="shared" si="284"/>
        <v>15600</v>
      </c>
      <c r="BX101" s="53">
        <f t="shared" si="285"/>
        <v>-21036</v>
      </c>
      <c r="BY101" s="53">
        <f aca="true" t="shared" si="294" ref="BY101:BY132">BW101*CRF+BX101</f>
        <v>-18814.91095745311</v>
      </c>
      <c r="BZ101" s="240">
        <f t="shared" si="286"/>
        <v>5.791300000000001</v>
      </c>
      <c r="CC101" s="1">
        <f aca="true" t="shared" si="295" ref="CC101:CC132">IF($O101=0,CT_idle,IF($O101&lt;Small_cutoff,CT_small,IF($O101&gt;Large_cutoff,CT_large,CT_med)))*CC$3</f>
        <v>0</v>
      </c>
      <c r="CD101" s="195">
        <f aca="true" t="shared" si="296" ref="CD101:CD132">IF($O101=0,CT_idle,IF($O101&lt;Small_cutoff,CT_small,IF($O101&gt;Large_cutoff,CT_large,CT_med)))*CD$3-CH101</f>
        <v>5746.4</v>
      </c>
      <c r="CE101" s="195">
        <f aca="true" t="shared" si="297" ref="CE101:CE132">CC101*CRF+CD101</f>
        <v>5746.4</v>
      </c>
      <c r="CF101" s="239">
        <f aca="true" t="shared" si="298" ref="CF101:CG132">IF($O101=0,CT_idle,IF($O101&lt;Small_cutoff,CT_small,IF($O101&gt;Large_cutoff,CT_large,CT_med)))*CF$3</f>
        <v>2.9</v>
      </c>
      <c r="CG101" s="239">
        <f t="shared" si="298"/>
        <v>19.92</v>
      </c>
      <c r="CH101" s="1">
        <f t="shared" si="287"/>
        <v>9561.6</v>
      </c>
      <c r="CI101" s="1"/>
      <c r="CJ101" s="1"/>
      <c r="CK101" s="211">
        <f aca="true" t="shared" si="299" ref="CK101:CK132">IF($O101=0,TCI_idle,IF($O101&lt;Small_cutoff,TCI_small,IF($O101&gt;Large_cutoff,TCI_large,TCI_med)))</f>
        <v>0</v>
      </c>
      <c r="CL101" s="211">
        <f aca="true" t="shared" si="300" ref="CL101:CL132">IF($O101=0,AOC_idle,IF($O101&lt;Small_cutoff,AOC_small,IF($O101&gt;Large_cutoff,AOC_large,AOC_med)))</f>
        <v>0</v>
      </c>
      <c r="CM101" s="211">
        <f aca="true" t="shared" si="301" ref="CM101:CM132">CK101*CRF+CL101</f>
        <v>0</v>
      </c>
      <c r="CN101" s="1"/>
      <c r="CO101" s="1"/>
      <c r="CP101" s="1"/>
      <c r="CQ101" s="1">
        <f t="shared" si="288"/>
        <v>1</v>
      </c>
      <c r="CR101" s="195">
        <f t="shared" si="201"/>
        <v>10000</v>
      </c>
      <c r="CS101" s="195"/>
      <c r="CT101" s="195"/>
      <c r="CU101" s="1"/>
      <c r="CV101" s="199">
        <f aca="true" t="shared" si="302" ref="CV101:CV132">Q101*CV$2*CV$3*WW_density/1000000</f>
        <v>38.60867054341287</v>
      </c>
      <c r="CW101" s="199">
        <f aca="true" t="shared" si="303" ref="CW101:CW132">R101*CW$2*CW$3*WW_density/1000000</f>
        <v>6.606617204732303</v>
      </c>
      <c r="CX101" s="199">
        <f aca="true" t="shared" si="304" ref="CX101:CX132">S101*CX$2*CX$3*WW_density/1000000</f>
        <v>0</v>
      </c>
      <c r="CY101" s="199">
        <f aca="true" t="shared" si="305" ref="CY101:CY132">T101*CY$2*CY$3*WW_density/1000000</f>
        <v>0</v>
      </c>
      <c r="CZ101" s="199">
        <f aca="true" t="shared" si="306" ref="CZ101:CZ132">U101*CZ$2*CZ$3*WW_density/1000000</f>
        <v>0</v>
      </c>
      <c r="DA101" s="199">
        <f aca="true" t="shared" si="307" ref="DA101:DA132">V101*DA$2*DA$3*WW_density/1000000</f>
        <v>0</v>
      </c>
      <c r="DB101" s="199">
        <f aca="true" t="shared" si="308" ref="DB101:DB132">W101*DB$2*DB$3*WW_density/1000000</f>
        <v>7.027038299578904</v>
      </c>
      <c r="DC101" s="199">
        <f aca="true" t="shared" si="309" ref="DC101:DC132">X101*DC$2*DC$3*WW_density/1000000</f>
        <v>0</v>
      </c>
      <c r="DD101" s="199">
        <f aca="true" t="shared" si="310" ref="DD101:DD132">Y101*DD$2*DD$3*WW_density/1000000</f>
        <v>0</v>
      </c>
      <c r="DE101" s="199">
        <f aca="true" t="shared" si="311" ref="DE101:DE132">Z101*DE$2*DE$3*WW_density/1000000</f>
        <v>0</v>
      </c>
      <c r="DF101" s="199">
        <f aca="true" t="shared" si="312" ref="DF101:DF132">AA101*DF$2*DF$3*WW_density/1000000</f>
        <v>0</v>
      </c>
      <c r="DG101" s="199">
        <f aca="true" t="shared" si="313" ref="DG101:DG132">AB101*DG$2*DG$3*WW_density/1000000</f>
        <v>23.87391217164628</v>
      </c>
      <c r="DH101" s="199">
        <f aca="true" t="shared" si="314" ref="DH101:DH132">AC101*DH$2*DH$3*WW_density/1000000</f>
        <v>0</v>
      </c>
      <c r="DI101" s="199">
        <f aca="true" t="shared" si="315" ref="DI101:DI132">AD101*DI$2*DI$3*WW_density/1000000</f>
        <v>0</v>
      </c>
      <c r="DJ101" s="199">
        <f aca="true" t="shared" si="316" ref="DJ101:DJ132">AE101*DJ$2*DJ$3*WW_density/1000000</f>
        <v>3.415921395628634</v>
      </c>
      <c r="DK101" s="199">
        <f aca="true" t="shared" si="317" ref="DK101:DK132">AF101*DK$2*DK$3*WW_density/1000000</f>
        <v>0</v>
      </c>
      <c r="DL101" s="199">
        <f aca="true" t="shared" si="318" ref="DL101:DL132">AG101*DL$2*DL$3*WW_density/1000000</f>
        <v>1.5030054140765992</v>
      </c>
      <c r="DM101" s="199">
        <f aca="true" t="shared" si="319" ref="DM101:DM132">AH101*DM$2*DM$3*WW_density/1000000</f>
        <v>2.0495528373771807</v>
      </c>
      <c r="DN101" s="199">
        <f aca="true" t="shared" si="320" ref="DN101:DN132">AI101*DN$2*DN$3*WW_density/1000000</f>
        <v>0</v>
      </c>
      <c r="DO101" s="199">
        <f aca="true" t="shared" si="321" ref="DO101:DO132">AJ101*DO$2*DO$3*WW_density/1000000</f>
        <v>0</v>
      </c>
      <c r="DP101" s="199">
        <f aca="true" t="shared" si="322" ref="DP101:DP132">AK101*DP$2*DP$3*WW_density/1000000</f>
        <v>0</v>
      </c>
      <c r="DQ101" s="199">
        <f aca="true" t="shared" si="323" ref="DQ101:DQ132">AL101*DQ$2*DQ$3*WW_density/1000000</f>
        <v>0</v>
      </c>
      <c r="DR101" s="199">
        <f aca="true" t="shared" si="324" ref="DR101:DR132">AM101*DR$2*DR$3*WW_density/1000000</f>
        <v>1.291293362743132</v>
      </c>
      <c r="DS101" s="199">
        <f aca="true" t="shared" si="325" ref="DS101:DS132">AN101*DS$2*DS$3*WW_density/1000000</f>
        <v>0</v>
      </c>
      <c r="DT101" s="199">
        <f aca="true" t="shared" si="326" ref="DT101:DT132">AO101*DT$2*DT$3*WW_density/1000000</f>
        <v>17.217244836575095</v>
      </c>
      <c r="DU101" s="199">
        <f aca="true" t="shared" si="327" ref="DU101:DU132">AP101*DU$2*DU$3*WW_density/1000000</f>
        <v>0</v>
      </c>
      <c r="DV101" s="199">
        <f aca="true" t="shared" si="328" ref="DV101:DV132">AQ101*DV$2*DV$3*WW_density/1000000</f>
        <v>0.002785289753358733</v>
      </c>
      <c r="DW101" s="199">
        <f aca="true" t="shared" si="329" ref="DW101:DW132">AR101*DW$2*DW$3*WW_density/1000000</f>
        <v>0</v>
      </c>
      <c r="DX101" s="199">
        <f aca="true" t="shared" si="330" ref="DX101:DX132">AS101*DX$2*DX$3*WW_density/1000000</f>
        <v>0</v>
      </c>
      <c r="DY101" s="199">
        <f aca="true" t="shared" si="331" ref="DY101:DY132">AT101*DY$2*DY$3*WW_density/1000000</f>
        <v>0</v>
      </c>
      <c r="DZ101" s="199">
        <f aca="true" t="shared" si="332" ref="DZ101:DZ132">AU101*DZ$2*DZ$3*WW_density/1000000</f>
        <v>0.008415095247643875</v>
      </c>
      <c r="EA101" s="199">
        <f aca="true" t="shared" si="333" ref="EA101:EA132">$AY101*EA$2*EA$3*WW_density/1000000</f>
        <v>35.29324454106993</v>
      </c>
      <c r="EB101" s="199">
        <f aca="true" t="shared" si="334" ref="EB101:EB132">($AY101+O101)*EB$2*EB$3*WW_density/1000000</f>
        <v>4.2590026701001555</v>
      </c>
      <c r="EC101" s="202">
        <f t="shared" si="184"/>
        <v>141.1567036619421</v>
      </c>
      <c r="ED101" s="202">
        <f>SUM(CV101:DI101,DS101:DT101,DW101,DY101,EA101:EB101)</f>
        <v>132.88573026711555</v>
      </c>
      <c r="EE101" s="203">
        <f t="shared" si="235"/>
        <v>21.99695761791255</v>
      </c>
      <c r="EF101" s="199"/>
      <c r="EI101" s="1">
        <f aca="true" t="shared" si="335" ref="EI101:EI132">IF(Q101=0,0,IF(Q101&gt;EI$2,EI$4,EI$3))</f>
        <v>0.5699766927982697</v>
      </c>
      <c r="EJ101" s="1">
        <f aca="true" t="shared" si="336" ref="EJ101:EJ132">IF(R101=0,0,IF(R101&gt;EJ$2,EJ$4,EJ$3))</f>
        <v>0.002442336444552</v>
      </c>
      <c r="EK101" s="1">
        <f aca="true" t="shared" si="337" ref="EK101:EK132">IF(S101=0,0,IF(S101&gt;EK$2,EK$4,EK$3))</f>
        <v>0</v>
      </c>
      <c r="EL101" s="1">
        <f aca="true" t="shared" si="338" ref="EL101:EL132">IF(T101=0,0,IF(T101&gt;EL$2,EL$4,EL$3))</f>
        <v>0</v>
      </c>
      <c r="EM101" s="1">
        <f aca="true" t="shared" si="339" ref="EM101:EM132">IF(U101=0,0,IF(U101&gt;EM$2,EM$4,EM$3))</f>
        <v>0</v>
      </c>
      <c r="EN101" s="1">
        <f aca="true" t="shared" si="340" ref="EN101:EN132">IF(V101=0,0,IF(V101&gt;EN$2,EN$4,EN$3))</f>
        <v>0</v>
      </c>
      <c r="EO101" s="1">
        <f aca="true" t="shared" si="341" ref="EO101:EO132">IF(W101=0,0,IF(W101&gt;EO$2,EO$4,EO$3))</f>
        <v>0.2644897670328</v>
      </c>
      <c r="EP101" s="1">
        <f aca="true" t="shared" si="342" ref="EP101:EP132">IF(X101=0,0,IF(X101&gt;EP$2,EP$4,EP$3))</f>
        <v>0</v>
      </c>
      <c r="EQ101" s="1">
        <f aca="true" t="shared" si="343" ref="EQ101:EQ132">IF(SUM(Y101:AA101)=0,0,IF(SUM(Y101:AA101)&gt;EQ$2,EQ$4,EQ$3))</f>
        <v>0</v>
      </c>
      <c r="ER101" s="1">
        <f aca="true" t="shared" si="344" ref="ER101:ER132">IF(Z101=0,0,IF(Z101&gt;ER$2,ER$4,ER$3))</f>
        <v>0</v>
      </c>
      <c r="ES101" s="1">
        <f aca="true" t="shared" si="345" ref="ES101:ES132">IF(AA101=0,0,IF(AA101&gt;ES$2,ES$4,ES$3))</f>
        <v>0</v>
      </c>
      <c r="ET101" s="1">
        <f aca="true" t="shared" si="346" ref="ET101:ET132">IF(AB101=0,0,IF(AB101&gt;ET$2,ET$4,ET$3))</f>
        <v>0.14589546715944002</v>
      </c>
      <c r="EU101" s="1">
        <f aca="true" t="shared" si="347" ref="EU101:EU132">IF(AC101=0,0,IF(AC101&gt;EU$2,EU$4,EU$3))</f>
        <v>0</v>
      </c>
      <c r="EV101" s="1">
        <f aca="true" t="shared" si="348" ref="EV101:EV132">IF(AD101=0,0,IF(AD101&gt;EV$2,EV$4,EV$3))</f>
        <v>0</v>
      </c>
      <c r="EW101" s="1">
        <f aca="true" t="shared" si="349" ref="EW101:EW132">IF(AE101=0,0,IF(AE101&gt;EW$2,EW$4,EW$3))</f>
        <v>0.059350736407200004</v>
      </c>
      <c r="EX101" s="1">
        <f aca="true" t="shared" si="350" ref="EX101:EX132">IF(AF101=0,0,IF(AF101&gt;EX$2,EX$4,EX$3))</f>
        <v>0</v>
      </c>
      <c r="EY101" s="1">
        <f aca="true" t="shared" si="351" ref="EY101:EY132">IF(AG101=0,0,IF(AG101&gt;EY$2,EY$4,EY$3))</f>
        <v>0.059350736407200004</v>
      </c>
      <c r="EZ101" s="1">
        <f aca="true" t="shared" si="352" ref="EZ101:EZ132">IF(AH101=0,0,IF(AH101&gt;EZ$2,EZ$4,EZ$3))</f>
        <v>0.059350736407200004</v>
      </c>
      <c r="FA101" s="1">
        <f aca="true" t="shared" si="353" ref="FA101:FA132">IF(AI101=0,0,IF(AI101&gt;FA$2,FA$4,FA$3))</f>
        <v>0</v>
      </c>
      <c r="FB101" s="1">
        <f aca="true" t="shared" si="354" ref="FB101:FB132">IF(AJ101=0,0,IF(AJ101&gt;FB$2,FB$4,FB$3))</f>
        <v>0</v>
      </c>
      <c r="FC101" s="1">
        <f aca="true" t="shared" si="355" ref="FC101:FC132">IF(AK101=0,0,IF(AK101&gt;FC$2,FC$4,FC$3))</f>
        <v>0</v>
      </c>
      <c r="FD101" s="1">
        <f aca="true" t="shared" si="356" ref="FD101:FD132">IF(AL101=0,0,IF(AL101&gt;FD$2,FD$4,FD$3))</f>
        <v>0</v>
      </c>
      <c r="FE101" s="1">
        <f aca="true" t="shared" si="357" ref="FE101:FE132">IF(AM101=0,0,IF(AM101&gt;FE$2,FE$4,FE$3))</f>
        <v>0.059350736407200004</v>
      </c>
      <c r="FF101" s="1">
        <f aca="true" t="shared" si="358" ref="FF101:FF132">IF(AN101=0,0,IF(AN101&gt;FF$2,FF$4,FF$3))</f>
        <v>0</v>
      </c>
      <c r="FG101" s="1">
        <f aca="true" t="shared" si="359" ref="FG101:FG132">IF(AO101=0,0,IF(AO101&gt;FG$2,FG$4,FG$3))</f>
        <v>0.059350736407200004</v>
      </c>
      <c r="FH101" s="1">
        <f aca="true" t="shared" si="360" ref="FH101:FH132">IF(AP101=0,0,IF(AP101&gt;FH$2,FH$4,FH$3))</f>
        <v>0</v>
      </c>
      <c r="FI101" s="1">
        <f aca="true" t="shared" si="361" ref="FI101:FI132">IF(AQ101=0,0,IF(AQ101&gt;FI$2,FI$4,FI$3))</f>
        <v>0</v>
      </c>
      <c r="FJ101" s="1">
        <f aca="true" t="shared" si="362" ref="FJ101:FJ132">IF(AR101=0,0,IF(AR101&gt;FJ$2,FJ$4,FJ$3))</f>
        <v>0</v>
      </c>
      <c r="FK101" s="1">
        <f aca="true" t="shared" si="363" ref="FK101:FK132">IF(AS101=0,0,IF(AS101&gt;FK$2,FK$4,FK$3))</f>
        <v>0</v>
      </c>
      <c r="FL101" s="1">
        <f aca="true" t="shared" si="364" ref="FL101:FL132">IF(AT101=0,0,IF(AT101&gt;FL$2,FL$4,FL$3))</f>
        <v>0</v>
      </c>
      <c r="FM101" s="1">
        <f aca="true" t="shared" si="365" ref="FM101:FM132">IF(AU101=0,0,IF(AU101&gt;FM$2,FM$4,FM$3))</f>
        <v>0.0057571153094400015</v>
      </c>
      <c r="FN101" s="1">
        <f aca="true" t="shared" si="366" ref="FN101:FN132">IF(O101=0,0,IF(O101&gt;FN$2,FN$4,FN$3))</f>
        <v>7.46760736344</v>
      </c>
      <c r="FO101" s="1">
        <f>IF(O101=0,0,SUM(EI101:FN101))</f>
        <v>8.7529224242205</v>
      </c>
    </row>
    <row r="102" spans="1:171" s="45" customFormat="1" ht="12.75">
      <c r="A102" s="24">
        <v>35</v>
      </c>
      <c r="B102" s="25" t="s">
        <v>267</v>
      </c>
      <c r="C102" s="25" t="s">
        <v>268</v>
      </c>
      <c r="D102" s="26" t="s">
        <v>269</v>
      </c>
      <c r="E102" s="26">
        <v>4</v>
      </c>
      <c r="F102" s="26" t="s">
        <v>270</v>
      </c>
      <c r="G102" s="26" t="s">
        <v>74</v>
      </c>
      <c r="H102" s="26" t="s">
        <v>75</v>
      </c>
      <c r="I102" s="26">
        <v>2</v>
      </c>
      <c r="J102" s="26"/>
      <c r="K102" s="26">
        <f t="shared" si="268"/>
        <v>1</v>
      </c>
      <c r="L102" s="26">
        <f t="shared" si="269"/>
        <v>1</v>
      </c>
      <c r="M102" s="24">
        <v>394812</v>
      </c>
      <c r="N102" s="24">
        <v>1045603</v>
      </c>
      <c r="O102" s="27">
        <f t="shared" si="270"/>
        <v>62000</v>
      </c>
      <c r="P102" s="28">
        <v>62000</v>
      </c>
      <c r="Q102" s="28">
        <v>68000</v>
      </c>
      <c r="R102" s="28">
        <v>25000</v>
      </c>
      <c r="S102" s="29">
        <v>0</v>
      </c>
      <c r="T102" s="29">
        <v>0</v>
      </c>
      <c r="U102" s="29">
        <v>0</v>
      </c>
      <c r="V102" s="29">
        <v>0</v>
      </c>
      <c r="W102" s="28">
        <v>20000</v>
      </c>
      <c r="X102" s="29">
        <v>0</v>
      </c>
      <c r="Y102" s="29">
        <v>0</v>
      </c>
      <c r="Z102" s="28">
        <v>0</v>
      </c>
      <c r="AA102" s="29">
        <v>0</v>
      </c>
      <c r="AB102" s="28">
        <v>10500</v>
      </c>
      <c r="AC102" s="28">
        <v>0</v>
      </c>
      <c r="AD102" s="28">
        <v>0</v>
      </c>
      <c r="AE102" s="28">
        <v>10500</v>
      </c>
      <c r="AF102" s="28">
        <v>0</v>
      </c>
      <c r="AG102" s="28">
        <v>0</v>
      </c>
      <c r="AH102" s="28">
        <v>13000</v>
      </c>
      <c r="AI102" s="28">
        <v>0</v>
      </c>
      <c r="AJ102" s="28">
        <v>0</v>
      </c>
      <c r="AK102" s="28">
        <v>14500</v>
      </c>
      <c r="AL102" s="28">
        <v>0</v>
      </c>
      <c r="AM102" s="30">
        <v>0</v>
      </c>
      <c r="AN102" s="31">
        <v>0</v>
      </c>
      <c r="AO102" s="30">
        <v>12250</v>
      </c>
      <c r="AP102" s="31">
        <v>0</v>
      </c>
      <c r="AQ102" s="31">
        <v>0</v>
      </c>
      <c r="AR102" s="31">
        <v>0</v>
      </c>
      <c r="AS102" s="31">
        <v>0</v>
      </c>
      <c r="AT102" s="31">
        <v>0</v>
      </c>
      <c r="AU102" s="30">
        <v>106</v>
      </c>
      <c r="AW102" s="1"/>
      <c r="AX102" s="2">
        <f t="shared" si="271"/>
        <v>49060</v>
      </c>
      <c r="AY102" s="32">
        <f t="shared" si="289"/>
        <v>44731.17647058824</v>
      </c>
      <c r="AZ102" s="186">
        <f t="shared" si="290"/>
        <v>0.4601527392382683</v>
      </c>
      <c r="BA102" s="186">
        <f t="shared" si="291"/>
        <v>0.028831372934214082</v>
      </c>
      <c r="BB102" s="186">
        <f t="shared" si="292"/>
        <v>0.3346290793900253</v>
      </c>
      <c r="BC102" s="53">
        <f t="shared" si="272"/>
        <v>62000</v>
      </c>
      <c r="BD102" s="53">
        <f t="shared" si="189"/>
        <v>24991.31096145077</v>
      </c>
      <c r="BE102" s="53">
        <f t="shared" si="190"/>
        <v>1565.8579097828758</v>
      </c>
      <c r="BF102" s="53">
        <f t="shared" si="191"/>
        <v>18174.00759935459</v>
      </c>
      <c r="BG102" s="53"/>
      <c r="BH102" s="53">
        <f t="shared" si="273"/>
        <v>4</v>
      </c>
      <c r="BI102" s="53">
        <f t="shared" si="274"/>
        <v>4</v>
      </c>
      <c r="BJ102" s="53">
        <f t="shared" si="275"/>
        <v>3</v>
      </c>
      <c r="BK102" s="53">
        <f t="shared" si="276"/>
        <v>3</v>
      </c>
      <c r="BL102" s="53"/>
      <c r="BM102" s="53">
        <f t="shared" si="277"/>
        <v>2</v>
      </c>
      <c r="BN102" s="53">
        <f t="shared" si="278"/>
        <v>2</v>
      </c>
      <c r="BO102" s="53">
        <f t="shared" si="279"/>
        <v>2</v>
      </c>
      <c r="BP102" s="53">
        <f t="shared" si="280"/>
        <v>0</v>
      </c>
      <c r="BQ102" s="53"/>
      <c r="BR102" s="53">
        <f t="shared" si="281"/>
        <v>6.5</v>
      </c>
      <c r="BS102" s="53">
        <f t="shared" si="282"/>
        <v>34.2</v>
      </c>
      <c r="BT102" s="53">
        <f t="shared" si="283"/>
        <v>11</v>
      </c>
      <c r="BU102" s="53">
        <f t="shared" si="293"/>
        <v>24816</v>
      </c>
      <c r="BV102" s="53"/>
      <c r="BW102" s="53">
        <f aca="true" t="shared" si="367" ref="BW102:BW133">SUM($BM102:$BO102)*BW$3</f>
        <v>15600</v>
      </c>
      <c r="BX102" s="53">
        <f t="shared" si="285"/>
        <v>-21036</v>
      </c>
      <c r="BY102" s="53">
        <f t="shared" si="294"/>
        <v>-18814.91095745311</v>
      </c>
      <c r="BZ102" s="240">
        <f t="shared" si="286"/>
        <v>5.791300000000001</v>
      </c>
      <c r="CC102" s="1">
        <f t="shared" si="295"/>
        <v>0</v>
      </c>
      <c r="CD102" s="195">
        <f t="shared" si="296"/>
        <v>2873.2</v>
      </c>
      <c r="CE102" s="195">
        <f t="shared" si="297"/>
        <v>2873.2</v>
      </c>
      <c r="CF102" s="239">
        <f t="shared" si="298"/>
        <v>1.45</v>
      </c>
      <c r="CG102" s="239">
        <f t="shared" si="298"/>
        <v>9.96</v>
      </c>
      <c r="CH102" s="1">
        <f t="shared" si="287"/>
        <v>4780.8</v>
      </c>
      <c r="CI102" s="1"/>
      <c r="CJ102" s="1"/>
      <c r="CK102" s="211">
        <f t="shared" si="299"/>
        <v>0</v>
      </c>
      <c r="CL102" s="211">
        <f t="shared" si="300"/>
        <v>0</v>
      </c>
      <c r="CM102" s="211">
        <f t="shared" si="301"/>
        <v>0</v>
      </c>
      <c r="CN102" s="1"/>
      <c r="CO102" s="1"/>
      <c r="CP102" s="1"/>
      <c r="CQ102" s="1">
        <f t="shared" si="288"/>
        <v>1</v>
      </c>
      <c r="CR102" s="195">
        <f t="shared" si="201"/>
        <v>10000</v>
      </c>
      <c r="CS102" s="195"/>
      <c r="CT102" s="195"/>
      <c r="CU102" s="1"/>
      <c r="CV102" s="199">
        <f t="shared" si="302"/>
        <v>34.54459995989572</v>
      </c>
      <c r="CW102" s="199">
        <f t="shared" si="303"/>
        <v>7.507519550832162</v>
      </c>
      <c r="CX102" s="199">
        <f t="shared" si="304"/>
        <v>0</v>
      </c>
      <c r="CY102" s="199">
        <f t="shared" si="305"/>
        <v>0</v>
      </c>
      <c r="CZ102" s="199">
        <f t="shared" si="306"/>
        <v>0</v>
      </c>
      <c r="DA102" s="199">
        <f t="shared" si="307"/>
        <v>0</v>
      </c>
      <c r="DB102" s="199">
        <f t="shared" si="308"/>
        <v>5.205213555243633</v>
      </c>
      <c r="DC102" s="199">
        <f t="shared" si="309"/>
        <v>0</v>
      </c>
      <c r="DD102" s="199">
        <f t="shared" si="310"/>
        <v>0</v>
      </c>
      <c r="DE102" s="199">
        <f t="shared" si="311"/>
        <v>0</v>
      </c>
      <c r="DF102" s="199">
        <f t="shared" si="312"/>
        <v>0</v>
      </c>
      <c r="DG102" s="199">
        <f t="shared" si="313"/>
        <v>13.926448766793662</v>
      </c>
      <c r="DH102" s="199">
        <f t="shared" si="314"/>
        <v>0</v>
      </c>
      <c r="DI102" s="199">
        <f t="shared" si="315"/>
        <v>0</v>
      </c>
      <c r="DJ102" s="199">
        <f t="shared" si="316"/>
        <v>1.4346869861640263</v>
      </c>
      <c r="DK102" s="199">
        <f t="shared" si="317"/>
        <v>0</v>
      </c>
      <c r="DL102" s="199">
        <f t="shared" si="318"/>
        <v>0</v>
      </c>
      <c r="DM102" s="199">
        <f t="shared" si="319"/>
        <v>1.7762791257268897</v>
      </c>
      <c r="DN102" s="199">
        <f t="shared" si="320"/>
        <v>0</v>
      </c>
      <c r="DO102" s="199">
        <f t="shared" si="321"/>
        <v>0</v>
      </c>
      <c r="DP102" s="199">
        <f t="shared" si="322"/>
        <v>1.9812344094646077</v>
      </c>
      <c r="DQ102" s="199">
        <f t="shared" si="323"/>
        <v>0</v>
      </c>
      <c r="DR102" s="199">
        <f t="shared" si="324"/>
        <v>0</v>
      </c>
      <c r="DS102" s="199">
        <f t="shared" si="325"/>
        <v>0</v>
      </c>
      <c r="DT102" s="199">
        <f t="shared" si="326"/>
        <v>35.15187487467415</v>
      </c>
      <c r="DU102" s="199">
        <f t="shared" si="327"/>
        <v>0</v>
      </c>
      <c r="DV102" s="199">
        <f t="shared" si="328"/>
        <v>0</v>
      </c>
      <c r="DW102" s="199">
        <f t="shared" si="329"/>
        <v>0</v>
      </c>
      <c r="DX102" s="199">
        <f t="shared" si="330"/>
        <v>0</v>
      </c>
      <c r="DY102" s="199">
        <f t="shared" si="331"/>
        <v>0</v>
      </c>
      <c r="DZ102" s="199">
        <f t="shared" si="332"/>
        <v>0.006861539201925004</v>
      </c>
      <c r="EA102" s="199">
        <f t="shared" si="333"/>
        <v>25.97009406574741</v>
      </c>
      <c r="EB102" s="199">
        <f t="shared" si="334"/>
        <v>3.347596490640371</v>
      </c>
      <c r="EC102" s="202">
        <f t="shared" si="184"/>
        <v>130.85240932438455</v>
      </c>
      <c r="ED102" s="202">
        <f>SUM(CV102:DI102,DS102:DT102,DW102,DY102,EA102:EB102)</f>
        <v>125.6533472638271</v>
      </c>
      <c r="EE102" s="203">
        <f t="shared" si="235"/>
        <v>20.799760431427163</v>
      </c>
      <c r="EF102" s="199"/>
      <c r="EI102" s="1">
        <f t="shared" si="335"/>
        <v>0.5699766927982697</v>
      </c>
      <c r="EJ102" s="1">
        <f t="shared" si="336"/>
        <v>0.002442336444552</v>
      </c>
      <c r="EK102" s="1">
        <f t="shared" si="337"/>
        <v>0</v>
      </c>
      <c r="EL102" s="1">
        <f t="shared" si="338"/>
        <v>0</v>
      </c>
      <c r="EM102" s="1">
        <f t="shared" si="339"/>
        <v>0</v>
      </c>
      <c r="EN102" s="1">
        <f t="shared" si="340"/>
        <v>0</v>
      </c>
      <c r="EO102" s="1">
        <f t="shared" si="341"/>
        <v>0.2644897670328</v>
      </c>
      <c r="EP102" s="1">
        <f t="shared" si="342"/>
        <v>0</v>
      </c>
      <c r="EQ102" s="1">
        <f t="shared" si="343"/>
        <v>0</v>
      </c>
      <c r="ER102" s="1">
        <f t="shared" si="344"/>
        <v>0</v>
      </c>
      <c r="ES102" s="1">
        <f t="shared" si="345"/>
        <v>0</v>
      </c>
      <c r="ET102" s="1">
        <f t="shared" si="346"/>
        <v>0.14589546715944002</v>
      </c>
      <c r="EU102" s="1">
        <f t="shared" si="347"/>
        <v>0</v>
      </c>
      <c r="EV102" s="1">
        <f t="shared" si="348"/>
        <v>0</v>
      </c>
      <c r="EW102" s="1">
        <f t="shared" si="349"/>
        <v>0.059350736407200004</v>
      </c>
      <c r="EX102" s="1">
        <f t="shared" si="350"/>
        <v>0</v>
      </c>
      <c r="EY102" s="1">
        <f t="shared" si="351"/>
        <v>0</v>
      </c>
      <c r="EZ102" s="1">
        <f t="shared" si="352"/>
        <v>0.059350736407200004</v>
      </c>
      <c r="FA102" s="1">
        <f t="shared" si="353"/>
        <v>0</v>
      </c>
      <c r="FB102" s="1">
        <f t="shared" si="354"/>
        <v>0</v>
      </c>
      <c r="FC102" s="1">
        <f t="shared" si="355"/>
        <v>0.059350736407200004</v>
      </c>
      <c r="FD102" s="1">
        <f t="shared" si="356"/>
        <v>0</v>
      </c>
      <c r="FE102" s="1">
        <f t="shared" si="357"/>
        <v>0</v>
      </c>
      <c r="FF102" s="1">
        <f t="shared" si="358"/>
        <v>0</v>
      </c>
      <c r="FG102" s="1">
        <f t="shared" si="359"/>
        <v>0.059350736407200004</v>
      </c>
      <c r="FH102" s="1">
        <f t="shared" si="360"/>
        <v>0</v>
      </c>
      <c r="FI102" s="1">
        <f t="shared" si="361"/>
        <v>0</v>
      </c>
      <c r="FJ102" s="1">
        <f t="shared" si="362"/>
        <v>0</v>
      </c>
      <c r="FK102" s="1">
        <f t="shared" si="363"/>
        <v>0</v>
      </c>
      <c r="FL102" s="1">
        <f t="shared" si="364"/>
        <v>0</v>
      </c>
      <c r="FM102" s="1">
        <f t="shared" si="365"/>
        <v>0.0057571153094400015</v>
      </c>
      <c r="FN102" s="1">
        <f t="shared" si="366"/>
        <v>7.46760736344</v>
      </c>
      <c r="FO102" s="1">
        <f>IF(O102=0,0,SUM(EI102:FN102))</f>
        <v>8.693571687813302</v>
      </c>
    </row>
    <row r="103" spans="1:171" s="45" customFormat="1" ht="12.75">
      <c r="A103" s="24">
        <v>36</v>
      </c>
      <c r="B103" s="25" t="s">
        <v>271</v>
      </c>
      <c r="C103" s="25" t="s">
        <v>272</v>
      </c>
      <c r="D103" s="26" t="s">
        <v>269</v>
      </c>
      <c r="E103" s="26">
        <v>4</v>
      </c>
      <c r="F103" s="26" t="s">
        <v>270</v>
      </c>
      <c r="G103" s="26" t="s">
        <v>74</v>
      </c>
      <c r="H103" s="26" t="s">
        <v>75</v>
      </c>
      <c r="I103" s="26">
        <v>3</v>
      </c>
      <c r="J103" s="26"/>
      <c r="K103" s="26">
        <f t="shared" si="268"/>
        <v>1</v>
      </c>
      <c r="L103" s="26">
        <f t="shared" si="269"/>
        <v>1</v>
      </c>
      <c r="M103" s="24">
        <v>394812</v>
      </c>
      <c r="N103" s="24">
        <v>1045644</v>
      </c>
      <c r="O103" s="27">
        <f t="shared" si="270"/>
        <v>32000</v>
      </c>
      <c r="P103" s="28">
        <v>32000</v>
      </c>
      <c r="Q103" s="28">
        <v>36000</v>
      </c>
      <c r="R103" s="28">
        <v>8500</v>
      </c>
      <c r="S103" s="29">
        <v>0</v>
      </c>
      <c r="T103" s="29">
        <v>0</v>
      </c>
      <c r="U103" s="29">
        <v>0</v>
      </c>
      <c r="V103" s="29">
        <v>0</v>
      </c>
      <c r="W103" s="28">
        <v>9500</v>
      </c>
      <c r="X103" s="29">
        <v>500</v>
      </c>
      <c r="Y103" s="29">
        <v>0</v>
      </c>
      <c r="Z103" s="28">
        <v>0</v>
      </c>
      <c r="AA103" s="29">
        <v>0</v>
      </c>
      <c r="AB103" s="28">
        <v>10000</v>
      </c>
      <c r="AC103" s="28">
        <v>0</v>
      </c>
      <c r="AD103" s="28">
        <v>0</v>
      </c>
      <c r="AE103" s="28">
        <v>10000</v>
      </c>
      <c r="AF103" s="28">
        <v>0</v>
      </c>
      <c r="AG103" s="28">
        <v>0</v>
      </c>
      <c r="AH103" s="28">
        <v>0</v>
      </c>
      <c r="AI103" s="28">
        <v>0</v>
      </c>
      <c r="AJ103" s="28">
        <v>0</v>
      </c>
      <c r="AK103" s="28">
        <v>0</v>
      </c>
      <c r="AL103" s="28">
        <v>0</v>
      </c>
      <c r="AM103" s="30">
        <v>0</v>
      </c>
      <c r="AN103" s="31">
        <v>0</v>
      </c>
      <c r="AO103" s="30">
        <v>0</v>
      </c>
      <c r="AP103" s="31">
        <v>985</v>
      </c>
      <c r="AQ103" s="31">
        <v>0</v>
      </c>
      <c r="AR103" s="31">
        <v>0</v>
      </c>
      <c r="AS103" s="31">
        <v>0</v>
      </c>
      <c r="AT103" s="31">
        <v>0</v>
      </c>
      <c r="AU103" s="30">
        <v>2</v>
      </c>
      <c r="AW103" s="1"/>
      <c r="AX103" s="2">
        <f t="shared" si="271"/>
        <v>31680</v>
      </c>
      <c r="AY103" s="32">
        <f t="shared" si="289"/>
        <v>28160</v>
      </c>
      <c r="AZ103" s="186">
        <f t="shared" si="290"/>
        <v>0.4601527392382683</v>
      </c>
      <c r="BA103" s="186">
        <f t="shared" si="291"/>
        <v>0.028831372934214082</v>
      </c>
      <c r="BB103" s="186">
        <f t="shared" si="292"/>
        <v>0.3346290793900253</v>
      </c>
      <c r="BC103" s="53">
        <f t="shared" si="272"/>
        <v>32000</v>
      </c>
      <c r="BD103" s="53">
        <f t="shared" si="189"/>
        <v>15732.993679189029</v>
      </c>
      <c r="BE103" s="53">
        <f t="shared" si="190"/>
        <v>985.7679189028026</v>
      </c>
      <c r="BF103" s="53">
        <f t="shared" si="191"/>
        <v>11441.23840190817</v>
      </c>
      <c r="BG103" s="53"/>
      <c r="BH103" s="53">
        <f t="shared" si="273"/>
        <v>3</v>
      </c>
      <c r="BI103" s="53">
        <f t="shared" si="274"/>
        <v>3</v>
      </c>
      <c r="BJ103" s="53">
        <f t="shared" si="275"/>
        <v>3</v>
      </c>
      <c r="BK103" s="53">
        <f t="shared" si="276"/>
        <v>2</v>
      </c>
      <c r="BL103" s="53"/>
      <c r="BM103" s="53">
        <f t="shared" si="277"/>
        <v>2</v>
      </c>
      <c r="BN103" s="53">
        <f t="shared" si="278"/>
        <v>2</v>
      </c>
      <c r="BO103" s="53">
        <f t="shared" si="279"/>
        <v>2</v>
      </c>
      <c r="BP103" s="53">
        <f t="shared" si="280"/>
        <v>0</v>
      </c>
      <c r="BQ103" s="53"/>
      <c r="BR103" s="53">
        <f t="shared" si="281"/>
        <v>6.5</v>
      </c>
      <c r="BS103" s="53">
        <f t="shared" si="282"/>
        <v>34.2</v>
      </c>
      <c r="BT103" s="53">
        <f t="shared" si="283"/>
        <v>11</v>
      </c>
      <c r="BU103" s="53">
        <f t="shared" si="293"/>
        <v>24816</v>
      </c>
      <c r="BV103" s="53"/>
      <c r="BW103" s="53">
        <f t="shared" si="367"/>
        <v>15600</v>
      </c>
      <c r="BX103" s="53">
        <f t="shared" si="285"/>
        <v>-21036</v>
      </c>
      <c r="BY103" s="53">
        <f t="shared" si="294"/>
        <v>-18814.91095745311</v>
      </c>
      <c r="BZ103" s="240">
        <f t="shared" si="286"/>
        <v>5.791300000000001</v>
      </c>
      <c r="CC103" s="1">
        <f t="shared" si="295"/>
        <v>0</v>
      </c>
      <c r="CD103" s="195">
        <f t="shared" si="296"/>
        <v>2873.2</v>
      </c>
      <c r="CE103" s="195">
        <f t="shared" si="297"/>
        <v>2873.2</v>
      </c>
      <c r="CF103" s="239">
        <f t="shared" si="298"/>
        <v>1.45</v>
      </c>
      <c r="CG103" s="239">
        <f t="shared" si="298"/>
        <v>9.96</v>
      </c>
      <c r="CH103" s="1">
        <f t="shared" si="287"/>
        <v>4780.8</v>
      </c>
      <c r="CI103" s="1"/>
      <c r="CJ103" s="1"/>
      <c r="CK103" s="211">
        <f t="shared" si="299"/>
        <v>0</v>
      </c>
      <c r="CL103" s="211">
        <f t="shared" si="300"/>
        <v>0</v>
      </c>
      <c r="CM103" s="211">
        <f t="shared" si="301"/>
        <v>0</v>
      </c>
      <c r="CN103" s="1"/>
      <c r="CO103" s="1"/>
      <c r="CP103" s="1"/>
      <c r="CQ103" s="1">
        <f t="shared" si="288"/>
        <v>0</v>
      </c>
      <c r="CR103" s="195">
        <f t="shared" si="201"/>
        <v>0</v>
      </c>
      <c r="CS103" s="195"/>
      <c r="CT103" s="195"/>
      <c r="CU103" s="1"/>
      <c r="CV103" s="199">
        <f t="shared" si="302"/>
        <v>18.288317625827148</v>
      </c>
      <c r="CW103" s="199">
        <f t="shared" si="303"/>
        <v>2.5525566472829353</v>
      </c>
      <c r="CX103" s="199">
        <f t="shared" si="304"/>
        <v>0</v>
      </c>
      <c r="CY103" s="199">
        <f t="shared" si="305"/>
        <v>0</v>
      </c>
      <c r="CZ103" s="199">
        <f t="shared" si="306"/>
        <v>0</v>
      </c>
      <c r="DA103" s="199">
        <f t="shared" si="307"/>
        <v>0</v>
      </c>
      <c r="DB103" s="199">
        <f t="shared" si="308"/>
        <v>2.4724764387407254</v>
      </c>
      <c r="DC103" s="199">
        <f t="shared" si="309"/>
        <v>0.13013033888109082</v>
      </c>
      <c r="DD103" s="199">
        <f t="shared" si="310"/>
        <v>0</v>
      </c>
      <c r="DE103" s="199">
        <f t="shared" si="311"/>
        <v>0</v>
      </c>
      <c r="DF103" s="199">
        <f t="shared" si="312"/>
        <v>0</v>
      </c>
      <c r="DG103" s="199">
        <f t="shared" si="313"/>
        <v>13.263284539803488</v>
      </c>
      <c r="DH103" s="199">
        <f t="shared" si="314"/>
        <v>0</v>
      </c>
      <c r="DI103" s="199">
        <f t="shared" si="315"/>
        <v>0</v>
      </c>
      <c r="DJ103" s="199">
        <f t="shared" si="316"/>
        <v>1.3663685582514535</v>
      </c>
      <c r="DK103" s="199">
        <f t="shared" si="317"/>
        <v>0</v>
      </c>
      <c r="DL103" s="199">
        <f t="shared" si="318"/>
        <v>0</v>
      </c>
      <c r="DM103" s="199">
        <f t="shared" si="319"/>
        <v>0</v>
      </c>
      <c r="DN103" s="199">
        <f t="shared" si="320"/>
        <v>0</v>
      </c>
      <c r="DO103" s="199">
        <f t="shared" si="321"/>
        <v>0</v>
      </c>
      <c r="DP103" s="199">
        <f t="shared" si="322"/>
        <v>0</v>
      </c>
      <c r="DQ103" s="199">
        <f t="shared" si="323"/>
        <v>0</v>
      </c>
      <c r="DR103" s="199">
        <f t="shared" si="324"/>
        <v>0</v>
      </c>
      <c r="DS103" s="199">
        <f t="shared" si="325"/>
        <v>0</v>
      </c>
      <c r="DT103" s="199">
        <f t="shared" si="326"/>
        <v>0</v>
      </c>
      <c r="DU103" s="199">
        <f t="shared" si="327"/>
        <v>0.0002875797072388209</v>
      </c>
      <c r="DV103" s="199">
        <f t="shared" si="328"/>
        <v>0</v>
      </c>
      <c r="DW103" s="199">
        <f t="shared" si="329"/>
        <v>0</v>
      </c>
      <c r="DX103" s="199">
        <f t="shared" si="330"/>
        <v>0</v>
      </c>
      <c r="DY103" s="199">
        <f t="shared" si="331"/>
        <v>0</v>
      </c>
      <c r="DZ103" s="199">
        <f t="shared" si="332"/>
        <v>0.00012946300380990572</v>
      </c>
      <c r="EA103" s="199">
        <f t="shared" si="333"/>
        <v>16.34917537597754</v>
      </c>
      <c r="EB103" s="199">
        <f t="shared" si="334"/>
        <v>1.8869032604772407</v>
      </c>
      <c r="EC103" s="202">
        <f t="shared" si="184"/>
        <v>56.30962982795266</v>
      </c>
      <c r="ED103" s="202">
        <f>SUM(CV103:DI103,DS103:DT103,DW103,DY103,EA103:EB103)</f>
        <v>54.94284422699016</v>
      </c>
      <c r="EE103" s="203">
        <f t="shared" si="235"/>
        <v>9.0948472303181</v>
      </c>
      <c r="EF103" s="199"/>
      <c r="EI103" s="1">
        <f t="shared" si="335"/>
        <v>0.18495710758393283</v>
      </c>
      <c r="EJ103" s="1">
        <f t="shared" si="336"/>
        <v>0.002442336444552</v>
      </c>
      <c r="EK103" s="1">
        <f t="shared" si="337"/>
        <v>0</v>
      </c>
      <c r="EL103" s="1">
        <f t="shared" si="338"/>
        <v>0</v>
      </c>
      <c r="EM103" s="1">
        <f t="shared" si="339"/>
        <v>0</v>
      </c>
      <c r="EN103" s="1">
        <f t="shared" si="340"/>
        <v>0</v>
      </c>
      <c r="EO103" s="1">
        <f t="shared" si="341"/>
        <v>0.20522871634656004</v>
      </c>
      <c r="EP103" s="1">
        <f t="shared" si="342"/>
        <v>0</v>
      </c>
      <c r="EQ103" s="1">
        <f t="shared" si="343"/>
        <v>0</v>
      </c>
      <c r="ER103" s="1">
        <f t="shared" si="344"/>
        <v>0</v>
      </c>
      <c r="ES103" s="1">
        <f t="shared" si="345"/>
        <v>0</v>
      </c>
      <c r="ET103" s="1">
        <f t="shared" si="346"/>
        <v>0.07346601658824001</v>
      </c>
      <c r="EU103" s="1">
        <f t="shared" si="347"/>
        <v>0</v>
      </c>
      <c r="EV103" s="1">
        <f t="shared" si="348"/>
        <v>0</v>
      </c>
      <c r="EW103" s="1">
        <f t="shared" si="349"/>
        <v>0.059350736407200004</v>
      </c>
      <c r="EX103" s="1">
        <f t="shared" si="350"/>
        <v>0</v>
      </c>
      <c r="EY103" s="1">
        <f t="shared" si="351"/>
        <v>0</v>
      </c>
      <c r="EZ103" s="1">
        <f t="shared" si="352"/>
        <v>0</v>
      </c>
      <c r="FA103" s="1">
        <f t="shared" si="353"/>
        <v>0</v>
      </c>
      <c r="FB103" s="1">
        <f t="shared" si="354"/>
        <v>0</v>
      </c>
      <c r="FC103" s="1">
        <f t="shared" si="355"/>
        <v>0</v>
      </c>
      <c r="FD103" s="1">
        <f t="shared" si="356"/>
        <v>0</v>
      </c>
      <c r="FE103" s="1">
        <f t="shared" si="357"/>
        <v>0</v>
      </c>
      <c r="FF103" s="1">
        <f t="shared" si="358"/>
        <v>0</v>
      </c>
      <c r="FG103" s="1">
        <f t="shared" si="359"/>
        <v>0</v>
      </c>
      <c r="FH103" s="1">
        <f t="shared" si="360"/>
        <v>0</v>
      </c>
      <c r="FI103" s="1">
        <f t="shared" si="361"/>
        <v>0</v>
      </c>
      <c r="FJ103" s="1">
        <f t="shared" si="362"/>
        <v>0</v>
      </c>
      <c r="FK103" s="1">
        <f t="shared" si="363"/>
        <v>0</v>
      </c>
      <c r="FL103" s="1">
        <f t="shared" si="364"/>
        <v>0</v>
      </c>
      <c r="FM103" s="1">
        <f t="shared" si="365"/>
        <v>0.0034234991863440005</v>
      </c>
      <c r="FN103" s="1">
        <f t="shared" si="366"/>
        <v>4.472293968912</v>
      </c>
      <c r="FO103" s="1">
        <f>IF(O103=0,0,SUM(EI103:FN103))</f>
        <v>5.001162381468829</v>
      </c>
    </row>
    <row r="104" spans="1:171" ht="12.75">
      <c r="A104" s="33">
        <v>82</v>
      </c>
      <c r="B104" s="34" t="s">
        <v>273</v>
      </c>
      <c r="C104" s="34" t="s">
        <v>274</v>
      </c>
      <c r="D104" s="35" t="s">
        <v>275</v>
      </c>
      <c r="E104" s="35">
        <v>4</v>
      </c>
      <c r="F104" s="35" t="s">
        <v>270</v>
      </c>
      <c r="G104" s="35" t="s">
        <v>74</v>
      </c>
      <c r="H104" s="35" t="s">
        <v>75</v>
      </c>
      <c r="I104" s="35">
        <v>3</v>
      </c>
      <c r="J104" s="35"/>
      <c r="K104" s="26">
        <f t="shared" si="268"/>
        <v>1</v>
      </c>
      <c r="L104" s="26">
        <f t="shared" si="269"/>
        <v>1</v>
      </c>
      <c r="M104" s="33">
        <v>453920</v>
      </c>
      <c r="N104" s="33">
        <v>1084519</v>
      </c>
      <c r="O104" s="27">
        <f t="shared" si="270"/>
        <v>55000</v>
      </c>
      <c r="P104" s="30">
        <v>55000</v>
      </c>
      <c r="Q104" s="30">
        <v>59000</v>
      </c>
      <c r="R104" s="30">
        <v>27850</v>
      </c>
      <c r="S104" s="31">
        <v>0</v>
      </c>
      <c r="T104" s="31">
        <v>0</v>
      </c>
      <c r="U104" s="31">
        <v>0</v>
      </c>
      <c r="V104" s="31">
        <v>0</v>
      </c>
      <c r="W104" s="30">
        <v>13500</v>
      </c>
      <c r="X104" s="31">
        <v>0</v>
      </c>
      <c r="Y104" s="31">
        <v>0</v>
      </c>
      <c r="Z104" s="30">
        <v>0</v>
      </c>
      <c r="AA104" s="31">
        <v>0</v>
      </c>
      <c r="AB104" s="30">
        <v>12000</v>
      </c>
      <c r="AC104" s="30">
        <v>0</v>
      </c>
      <c r="AD104" s="30">
        <v>4000</v>
      </c>
      <c r="AE104" s="30">
        <v>16000</v>
      </c>
      <c r="AF104" s="31">
        <v>0</v>
      </c>
      <c r="AG104" s="31">
        <v>0</v>
      </c>
      <c r="AH104" s="31">
        <v>0</v>
      </c>
      <c r="AI104" s="31">
        <v>16000</v>
      </c>
      <c r="AJ104" s="31">
        <v>0</v>
      </c>
      <c r="AK104" s="31">
        <v>16000</v>
      </c>
      <c r="AL104" s="30">
        <v>0</v>
      </c>
      <c r="AM104" s="30">
        <v>4000</v>
      </c>
      <c r="AN104" s="31">
        <v>0</v>
      </c>
      <c r="AO104" s="30">
        <v>18500</v>
      </c>
      <c r="AP104" s="31">
        <v>1250</v>
      </c>
      <c r="AQ104" s="31">
        <v>0</v>
      </c>
      <c r="AR104" s="31">
        <v>0</v>
      </c>
      <c r="AS104" s="31">
        <v>0</v>
      </c>
      <c r="AT104" s="31">
        <v>30</v>
      </c>
      <c r="AU104" s="30">
        <v>130</v>
      </c>
      <c r="AX104" s="2">
        <f t="shared" si="271"/>
        <v>35640</v>
      </c>
      <c r="AY104" s="32">
        <f t="shared" si="289"/>
        <v>33223.72881355932</v>
      </c>
      <c r="AZ104" s="186">
        <f t="shared" si="290"/>
        <v>0.4601527392382683</v>
      </c>
      <c r="BA104" s="186">
        <f t="shared" si="291"/>
        <v>0.028831372934214082</v>
      </c>
      <c r="BB104" s="186">
        <f t="shared" si="292"/>
        <v>0.3346290793900253</v>
      </c>
      <c r="BC104" s="53">
        <f t="shared" si="272"/>
        <v>55000</v>
      </c>
      <c r="BD104" s="53">
        <f t="shared" si="189"/>
        <v>18562.09926927625</v>
      </c>
      <c r="BE104" s="53">
        <f t="shared" si="190"/>
        <v>1163.0286225402504</v>
      </c>
      <c r="BF104" s="53">
        <f t="shared" si="191"/>
        <v>13498.600921742822</v>
      </c>
      <c r="BG104" s="53"/>
      <c r="BH104" s="53">
        <f t="shared" si="273"/>
        <v>3</v>
      </c>
      <c r="BI104" s="53">
        <f t="shared" si="274"/>
        <v>3</v>
      </c>
      <c r="BJ104" s="53">
        <f t="shared" si="275"/>
        <v>3</v>
      </c>
      <c r="BK104" s="53">
        <f t="shared" si="276"/>
        <v>2</v>
      </c>
      <c r="BL104" s="53"/>
      <c r="BM104" s="53">
        <f t="shared" si="277"/>
        <v>2</v>
      </c>
      <c r="BN104" s="53">
        <f t="shared" si="278"/>
        <v>2</v>
      </c>
      <c r="BO104" s="53">
        <f t="shared" si="279"/>
        <v>2</v>
      </c>
      <c r="BP104" s="53">
        <f t="shared" si="280"/>
        <v>0</v>
      </c>
      <c r="BQ104" s="53"/>
      <c r="BR104" s="53">
        <f t="shared" si="281"/>
        <v>6.5</v>
      </c>
      <c r="BS104" s="53">
        <f t="shared" si="282"/>
        <v>34.2</v>
      </c>
      <c r="BT104" s="53">
        <f t="shared" si="283"/>
        <v>11</v>
      </c>
      <c r="BU104" s="53">
        <f t="shared" si="293"/>
        <v>24816</v>
      </c>
      <c r="BV104" s="53"/>
      <c r="BW104" s="53">
        <f t="shared" si="367"/>
        <v>15600</v>
      </c>
      <c r="BX104" s="53">
        <f t="shared" si="285"/>
        <v>-21036</v>
      </c>
      <c r="BY104" s="53">
        <f t="shared" si="294"/>
        <v>-18814.91095745311</v>
      </c>
      <c r="BZ104" s="240">
        <f t="shared" si="286"/>
        <v>5.791300000000001</v>
      </c>
      <c r="CC104" s="1">
        <f t="shared" si="295"/>
        <v>0</v>
      </c>
      <c r="CD104" s="195">
        <f t="shared" si="296"/>
        <v>2873.2</v>
      </c>
      <c r="CE104" s="195">
        <f t="shared" si="297"/>
        <v>2873.2</v>
      </c>
      <c r="CF104" s="239">
        <f t="shared" si="298"/>
        <v>1.45</v>
      </c>
      <c r="CG104" s="239">
        <f t="shared" si="298"/>
        <v>9.96</v>
      </c>
      <c r="CH104" s="1">
        <f t="shared" si="287"/>
        <v>4780.8</v>
      </c>
      <c r="CK104" s="211">
        <f t="shared" si="299"/>
        <v>0</v>
      </c>
      <c r="CL104" s="211">
        <f t="shared" si="300"/>
        <v>0</v>
      </c>
      <c r="CM104" s="211">
        <f t="shared" si="301"/>
        <v>0</v>
      </c>
      <c r="CQ104" s="1">
        <f t="shared" si="288"/>
        <v>1</v>
      </c>
      <c r="CR104" s="195">
        <f t="shared" si="201"/>
        <v>10000</v>
      </c>
      <c r="CS104" s="195"/>
      <c r="CT104" s="195"/>
      <c r="CV104" s="199">
        <f t="shared" si="302"/>
        <v>29.97252055343894</v>
      </c>
      <c r="CW104" s="199">
        <f t="shared" si="303"/>
        <v>8.36337677962703</v>
      </c>
      <c r="CX104" s="199">
        <f t="shared" si="304"/>
        <v>0</v>
      </c>
      <c r="CY104" s="199">
        <f t="shared" si="305"/>
        <v>0</v>
      </c>
      <c r="CZ104" s="199">
        <f t="shared" si="306"/>
        <v>0</v>
      </c>
      <c r="DA104" s="199">
        <f t="shared" si="307"/>
        <v>0</v>
      </c>
      <c r="DB104" s="199">
        <f t="shared" si="308"/>
        <v>3.513519149789452</v>
      </c>
      <c r="DC104" s="199">
        <f t="shared" si="309"/>
        <v>0</v>
      </c>
      <c r="DD104" s="199">
        <f t="shared" si="310"/>
        <v>0</v>
      </c>
      <c r="DE104" s="199">
        <f t="shared" si="311"/>
        <v>0</v>
      </c>
      <c r="DF104" s="199">
        <f t="shared" si="312"/>
        <v>0</v>
      </c>
      <c r="DG104" s="199">
        <f t="shared" si="313"/>
        <v>15.915941447764187</v>
      </c>
      <c r="DH104" s="199">
        <f t="shared" si="314"/>
        <v>0</v>
      </c>
      <c r="DI104" s="199">
        <f t="shared" si="315"/>
        <v>11.478163224383396</v>
      </c>
      <c r="DJ104" s="199">
        <f t="shared" si="316"/>
        <v>2.1861896932023255</v>
      </c>
      <c r="DK104" s="199">
        <f t="shared" si="317"/>
        <v>0</v>
      </c>
      <c r="DL104" s="199">
        <f t="shared" si="318"/>
        <v>0</v>
      </c>
      <c r="DM104" s="199">
        <f t="shared" si="319"/>
        <v>0</v>
      </c>
      <c r="DN104" s="199">
        <f t="shared" si="320"/>
        <v>2.1861896932023255</v>
      </c>
      <c r="DO104" s="199">
        <f t="shared" si="321"/>
        <v>0</v>
      </c>
      <c r="DP104" s="199">
        <f t="shared" si="322"/>
        <v>2.1861896932023255</v>
      </c>
      <c r="DQ104" s="199">
        <f t="shared" si="323"/>
        <v>0</v>
      </c>
      <c r="DR104" s="199">
        <f t="shared" si="324"/>
        <v>0.6006015640665731</v>
      </c>
      <c r="DS104" s="199">
        <f t="shared" si="325"/>
        <v>0</v>
      </c>
      <c r="DT104" s="199">
        <f t="shared" si="326"/>
        <v>53.08650491277321</v>
      </c>
      <c r="DU104" s="199">
        <f t="shared" si="327"/>
        <v>0.0003649488670543412</v>
      </c>
      <c r="DV104" s="199">
        <f t="shared" si="328"/>
        <v>0</v>
      </c>
      <c r="DW104" s="199">
        <f t="shared" si="329"/>
        <v>0</v>
      </c>
      <c r="DX104" s="199">
        <f t="shared" si="330"/>
        <v>0</v>
      </c>
      <c r="DY104" s="199">
        <f t="shared" si="331"/>
        <v>1.2412432324042508</v>
      </c>
      <c r="DZ104" s="199">
        <f t="shared" si="332"/>
        <v>0.008415095247643875</v>
      </c>
      <c r="EA104" s="199">
        <f t="shared" si="333"/>
        <v>19.289082706562482</v>
      </c>
      <c r="EB104" s="199">
        <f t="shared" si="334"/>
        <v>2.767115052356466</v>
      </c>
      <c r="EC104" s="202">
        <f t="shared" si="184"/>
        <v>152.7954177468877</v>
      </c>
      <c r="ED104" s="202">
        <f>SUM(CV104:DI104,DS104:DT104,DW104,DY104,EA104:EB104)</f>
        <v>145.62746705909942</v>
      </c>
      <c r="EE104" s="203">
        <f t="shared" si="235"/>
        <v>24.106134002980177</v>
      </c>
      <c r="EF104" s="199"/>
      <c r="EI104" s="1">
        <f t="shared" si="335"/>
        <v>0.5699766927982697</v>
      </c>
      <c r="EJ104" s="1">
        <f t="shared" si="336"/>
        <v>0.010606863429336002</v>
      </c>
      <c r="EK104" s="1">
        <f t="shared" si="337"/>
        <v>0</v>
      </c>
      <c r="EL104" s="1">
        <f t="shared" si="338"/>
        <v>0</v>
      </c>
      <c r="EM104" s="1">
        <f t="shared" si="339"/>
        <v>0</v>
      </c>
      <c r="EN104" s="1">
        <f t="shared" si="340"/>
        <v>0</v>
      </c>
      <c r="EO104" s="1">
        <f t="shared" si="341"/>
        <v>0.20522871634656004</v>
      </c>
      <c r="EP104" s="1">
        <f t="shared" si="342"/>
        <v>0</v>
      </c>
      <c r="EQ104" s="1">
        <f t="shared" si="343"/>
        <v>0</v>
      </c>
      <c r="ER104" s="1">
        <f t="shared" si="344"/>
        <v>0</v>
      </c>
      <c r="ES104" s="1">
        <f t="shared" si="345"/>
        <v>0</v>
      </c>
      <c r="ET104" s="1">
        <f t="shared" si="346"/>
        <v>0.14589546715944002</v>
      </c>
      <c r="EU104" s="1">
        <f t="shared" si="347"/>
        <v>0</v>
      </c>
      <c r="EV104" s="1">
        <f t="shared" si="348"/>
        <v>0</v>
      </c>
      <c r="EW104" s="1">
        <f t="shared" si="349"/>
        <v>0.059350736407200004</v>
      </c>
      <c r="EX104" s="1">
        <f t="shared" si="350"/>
        <v>0</v>
      </c>
      <c r="EY104" s="1">
        <f t="shared" si="351"/>
        <v>0</v>
      </c>
      <c r="EZ104" s="1">
        <f t="shared" si="352"/>
        <v>0</v>
      </c>
      <c r="FA104" s="1">
        <f t="shared" si="353"/>
        <v>0.059350736407200004</v>
      </c>
      <c r="FB104" s="1">
        <f t="shared" si="354"/>
        <v>0</v>
      </c>
      <c r="FC104" s="1">
        <f t="shared" si="355"/>
        <v>0.059350736407200004</v>
      </c>
      <c r="FD104" s="1">
        <f t="shared" si="356"/>
        <v>0</v>
      </c>
      <c r="FE104" s="1">
        <f t="shared" si="357"/>
        <v>0.059350736407200004</v>
      </c>
      <c r="FF104" s="1">
        <f t="shared" si="358"/>
        <v>0</v>
      </c>
      <c r="FG104" s="1">
        <f t="shared" si="359"/>
        <v>0.059350736407200004</v>
      </c>
      <c r="FH104" s="1">
        <f t="shared" si="360"/>
        <v>0</v>
      </c>
      <c r="FI104" s="1">
        <f t="shared" si="361"/>
        <v>0</v>
      </c>
      <c r="FJ104" s="1">
        <f t="shared" si="362"/>
        <v>0</v>
      </c>
      <c r="FK104" s="1">
        <f t="shared" si="363"/>
        <v>0</v>
      </c>
      <c r="FL104" s="1">
        <f t="shared" si="364"/>
        <v>4.263919336981805</v>
      </c>
      <c r="FM104" s="1">
        <f t="shared" si="365"/>
        <v>0.0057571153094400015</v>
      </c>
      <c r="FN104" s="1">
        <f t="shared" si="366"/>
        <v>7.46760736344</v>
      </c>
      <c r="FO104" s="1">
        <f>IF(O104=0,0,SUM(EI104:FN104))</f>
        <v>12.965745237500851</v>
      </c>
    </row>
    <row r="105" spans="1:171" s="45" customFormat="1" ht="12.75">
      <c r="A105" s="33">
        <v>83</v>
      </c>
      <c r="B105" s="34" t="s">
        <v>160</v>
      </c>
      <c r="C105" s="34" t="s">
        <v>276</v>
      </c>
      <c r="D105" s="35" t="s">
        <v>275</v>
      </c>
      <c r="E105" s="35">
        <v>4</v>
      </c>
      <c r="F105" s="35" t="s">
        <v>270</v>
      </c>
      <c r="G105" s="35" t="s">
        <v>74</v>
      </c>
      <c r="H105" s="35" t="s">
        <v>75</v>
      </c>
      <c r="I105" s="35">
        <v>3</v>
      </c>
      <c r="J105" s="35"/>
      <c r="K105" s="26">
        <f t="shared" si="268"/>
        <v>1</v>
      </c>
      <c r="L105" s="26">
        <f t="shared" si="269"/>
        <v>1</v>
      </c>
      <c r="M105" s="33">
        <v>454912</v>
      </c>
      <c r="N105" s="33">
        <v>1085644</v>
      </c>
      <c r="O105" s="27">
        <f t="shared" si="270"/>
        <v>58000</v>
      </c>
      <c r="P105" s="30">
        <v>58000</v>
      </c>
      <c r="Q105" s="30">
        <v>61000</v>
      </c>
      <c r="R105" s="30">
        <v>34400</v>
      </c>
      <c r="S105" s="31">
        <v>19950</v>
      </c>
      <c r="T105" s="31">
        <v>0</v>
      </c>
      <c r="U105" s="31">
        <v>0</v>
      </c>
      <c r="V105" s="31">
        <v>0</v>
      </c>
      <c r="W105" s="30">
        <v>20500</v>
      </c>
      <c r="X105" s="31">
        <v>990</v>
      </c>
      <c r="Y105" s="31">
        <v>0</v>
      </c>
      <c r="Z105" s="30">
        <v>0</v>
      </c>
      <c r="AA105" s="31">
        <v>0</v>
      </c>
      <c r="AB105" s="43">
        <v>0</v>
      </c>
      <c r="AC105" s="30">
        <v>13550</v>
      </c>
      <c r="AD105" s="30">
        <v>0</v>
      </c>
      <c r="AE105" s="30">
        <v>13550</v>
      </c>
      <c r="AF105" s="31">
        <v>6000</v>
      </c>
      <c r="AG105" s="31">
        <v>4350</v>
      </c>
      <c r="AH105" s="31">
        <v>15900</v>
      </c>
      <c r="AI105" s="31">
        <v>0</v>
      </c>
      <c r="AJ105" s="31">
        <v>0</v>
      </c>
      <c r="AK105" s="31">
        <v>25400</v>
      </c>
      <c r="AL105" s="30">
        <v>0</v>
      </c>
      <c r="AM105" s="30">
        <v>7250</v>
      </c>
      <c r="AN105" s="31">
        <v>0</v>
      </c>
      <c r="AO105" s="30">
        <v>0</v>
      </c>
      <c r="AP105" s="31">
        <v>4000</v>
      </c>
      <c r="AQ105" s="31">
        <v>0</v>
      </c>
      <c r="AR105" s="31">
        <v>0</v>
      </c>
      <c r="AS105" s="31">
        <v>4625</v>
      </c>
      <c r="AT105" s="31">
        <v>20</v>
      </c>
      <c r="AU105" s="30">
        <v>246</v>
      </c>
      <c r="AW105" s="1"/>
      <c r="AX105" s="2">
        <f t="shared" si="271"/>
        <v>49610</v>
      </c>
      <c r="AY105" s="32">
        <f t="shared" si="289"/>
        <v>47170.16393442623</v>
      </c>
      <c r="AZ105" s="186">
        <f t="shared" si="290"/>
        <v>0.4601527392382683</v>
      </c>
      <c r="BA105" s="186">
        <f t="shared" si="291"/>
        <v>0.028831372934214082</v>
      </c>
      <c r="BB105" s="186">
        <f t="shared" si="292"/>
        <v>0.3346290793900253</v>
      </c>
      <c r="BC105" s="53">
        <f t="shared" si="272"/>
        <v>58000</v>
      </c>
      <c r="BD105" s="53">
        <f t="shared" si="189"/>
        <v>26353.973402934593</v>
      </c>
      <c r="BE105" s="53">
        <f t="shared" si="190"/>
        <v>1651.2370147707168</v>
      </c>
      <c r="BF105" s="53">
        <f t="shared" si="191"/>
        <v>19164.953516720918</v>
      </c>
      <c r="BG105" s="53"/>
      <c r="BH105" s="53">
        <f t="shared" si="273"/>
        <v>3</v>
      </c>
      <c r="BI105" s="53">
        <f t="shared" si="274"/>
        <v>4</v>
      </c>
      <c r="BJ105" s="53">
        <f t="shared" si="275"/>
        <v>3</v>
      </c>
      <c r="BK105" s="53">
        <f t="shared" si="276"/>
        <v>3</v>
      </c>
      <c r="BL105" s="53"/>
      <c r="BM105" s="53">
        <f t="shared" si="277"/>
        <v>2</v>
      </c>
      <c r="BN105" s="53">
        <f t="shared" si="278"/>
        <v>2</v>
      </c>
      <c r="BO105" s="53">
        <f t="shared" si="279"/>
        <v>2</v>
      </c>
      <c r="BP105" s="53">
        <f t="shared" si="280"/>
        <v>0</v>
      </c>
      <c r="BQ105" s="53"/>
      <c r="BR105" s="53">
        <f t="shared" si="281"/>
        <v>6.5</v>
      </c>
      <c r="BS105" s="53">
        <f t="shared" si="282"/>
        <v>34.2</v>
      </c>
      <c r="BT105" s="53">
        <f t="shared" si="283"/>
        <v>11</v>
      </c>
      <c r="BU105" s="53">
        <f t="shared" si="293"/>
        <v>24816</v>
      </c>
      <c r="BV105" s="53"/>
      <c r="BW105" s="53">
        <f t="shared" si="367"/>
        <v>15600</v>
      </c>
      <c r="BX105" s="53">
        <f t="shared" si="285"/>
        <v>-21036</v>
      </c>
      <c r="BY105" s="53">
        <f t="shared" si="294"/>
        <v>-18814.91095745311</v>
      </c>
      <c r="BZ105" s="240">
        <f t="shared" si="286"/>
        <v>5.791300000000001</v>
      </c>
      <c r="CC105" s="1">
        <f t="shared" si="295"/>
        <v>0</v>
      </c>
      <c r="CD105" s="195">
        <f t="shared" si="296"/>
        <v>2873.2</v>
      </c>
      <c r="CE105" s="195">
        <f t="shared" si="297"/>
        <v>2873.2</v>
      </c>
      <c r="CF105" s="239">
        <f t="shared" si="298"/>
        <v>1.45</v>
      </c>
      <c r="CG105" s="239">
        <f t="shared" si="298"/>
        <v>9.96</v>
      </c>
      <c r="CH105" s="1">
        <f t="shared" si="287"/>
        <v>4780.8</v>
      </c>
      <c r="CI105" s="1"/>
      <c r="CJ105" s="1"/>
      <c r="CK105" s="211">
        <f t="shared" si="299"/>
        <v>0</v>
      </c>
      <c r="CL105" s="211">
        <f t="shared" si="300"/>
        <v>0</v>
      </c>
      <c r="CM105" s="211">
        <f t="shared" si="301"/>
        <v>0</v>
      </c>
      <c r="CN105" s="1"/>
      <c r="CO105" s="1"/>
      <c r="CP105" s="1"/>
      <c r="CQ105" s="1">
        <f t="shared" si="288"/>
        <v>1</v>
      </c>
      <c r="CR105" s="195">
        <f t="shared" si="201"/>
        <v>10000</v>
      </c>
      <c r="CS105" s="195"/>
      <c r="CT105" s="195"/>
      <c r="CU105" s="1"/>
      <c r="CV105" s="199">
        <f t="shared" si="302"/>
        <v>30.988538199318224</v>
      </c>
      <c r="CW105" s="199">
        <f t="shared" si="303"/>
        <v>10.330346901945056</v>
      </c>
      <c r="CX105" s="199">
        <f t="shared" si="304"/>
        <v>39.274337276919994</v>
      </c>
      <c r="CY105" s="199">
        <f t="shared" si="305"/>
        <v>0</v>
      </c>
      <c r="CZ105" s="199">
        <f t="shared" si="306"/>
        <v>0</v>
      </c>
      <c r="DA105" s="199">
        <f t="shared" si="307"/>
        <v>0</v>
      </c>
      <c r="DB105" s="199">
        <f t="shared" si="308"/>
        <v>5.3353438941247235</v>
      </c>
      <c r="DC105" s="199">
        <f t="shared" si="309"/>
        <v>0.25765807098455984</v>
      </c>
      <c r="DD105" s="199">
        <f t="shared" si="310"/>
        <v>0</v>
      </c>
      <c r="DE105" s="199">
        <f t="shared" si="311"/>
        <v>0</v>
      </c>
      <c r="DF105" s="199">
        <f t="shared" si="312"/>
        <v>0</v>
      </c>
      <c r="DG105" s="199">
        <f t="shared" si="313"/>
        <v>0</v>
      </c>
      <c r="DH105" s="199">
        <f t="shared" si="314"/>
        <v>17.971750551433725</v>
      </c>
      <c r="DI105" s="199">
        <f t="shared" si="315"/>
        <v>0</v>
      </c>
      <c r="DJ105" s="199">
        <f t="shared" si="316"/>
        <v>1.8514293964307196</v>
      </c>
      <c r="DK105" s="199">
        <f t="shared" si="317"/>
        <v>0.8198211349508722</v>
      </c>
      <c r="DL105" s="199">
        <f t="shared" si="318"/>
        <v>0.5943703228393823</v>
      </c>
      <c r="DM105" s="199">
        <f t="shared" si="319"/>
        <v>2.1725260076198114</v>
      </c>
      <c r="DN105" s="199">
        <f t="shared" si="320"/>
        <v>0</v>
      </c>
      <c r="DO105" s="199">
        <f t="shared" si="321"/>
        <v>0</v>
      </c>
      <c r="DP105" s="199">
        <f t="shared" si="322"/>
        <v>3.4705761379586924</v>
      </c>
      <c r="DQ105" s="199">
        <f t="shared" si="323"/>
        <v>0</v>
      </c>
      <c r="DR105" s="199">
        <f t="shared" si="324"/>
        <v>1.0885903348706638</v>
      </c>
      <c r="DS105" s="199">
        <f t="shared" si="325"/>
        <v>0</v>
      </c>
      <c r="DT105" s="199">
        <f t="shared" si="326"/>
        <v>0</v>
      </c>
      <c r="DU105" s="199">
        <f t="shared" si="327"/>
        <v>0.001167836374573892</v>
      </c>
      <c r="DV105" s="199">
        <f t="shared" si="328"/>
        <v>0</v>
      </c>
      <c r="DW105" s="199">
        <f t="shared" si="329"/>
        <v>0</v>
      </c>
      <c r="DX105" s="199">
        <f t="shared" si="330"/>
        <v>0.299383196310407</v>
      </c>
      <c r="DY105" s="199">
        <f t="shared" si="331"/>
        <v>0.8274954882695007</v>
      </c>
      <c r="DZ105" s="199">
        <f t="shared" si="332"/>
        <v>0.015923949468618408</v>
      </c>
      <c r="EA105" s="199">
        <f t="shared" si="333"/>
        <v>27.38612509508328</v>
      </c>
      <c r="EB105" s="199">
        <f t="shared" si="334"/>
        <v>3.2986357252791683</v>
      </c>
      <c r="EC105" s="202">
        <f t="shared" si="184"/>
        <v>145.98401952018193</v>
      </c>
      <c r="ED105" s="202">
        <f>SUM(CV105:DI105,DS105:DT105,DW105,DY105,EA105:EB105)</f>
        <v>135.6702312033582</v>
      </c>
      <c r="EE105" s="203">
        <f t="shared" si="235"/>
        <v>22.45788407674637</v>
      </c>
      <c r="EF105" s="199"/>
      <c r="EI105" s="1">
        <f t="shared" si="335"/>
        <v>0.5699766927982697</v>
      </c>
      <c r="EJ105" s="1">
        <f t="shared" si="336"/>
        <v>0.010606863429336002</v>
      </c>
      <c r="EK105" s="1">
        <f t="shared" si="337"/>
        <v>0.24682268761392</v>
      </c>
      <c r="EL105" s="1">
        <f t="shared" si="338"/>
        <v>0</v>
      </c>
      <c r="EM105" s="1">
        <f t="shared" si="339"/>
        <v>0</v>
      </c>
      <c r="EN105" s="1">
        <f t="shared" si="340"/>
        <v>0</v>
      </c>
      <c r="EO105" s="1">
        <f t="shared" si="341"/>
        <v>0.2644897670328</v>
      </c>
      <c r="EP105" s="1">
        <f t="shared" si="342"/>
        <v>0</v>
      </c>
      <c r="EQ105" s="1">
        <f t="shared" si="343"/>
        <v>0</v>
      </c>
      <c r="ER105" s="1">
        <f t="shared" si="344"/>
        <v>0</v>
      </c>
      <c r="ES105" s="1">
        <f t="shared" si="345"/>
        <v>0</v>
      </c>
      <c r="ET105" s="1">
        <f t="shared" si="346"/>
        <v>0</v>
      </c>
      <c r="EU105" s="1">
        <f t="shared" si="347"/>
        <v>0.14589546715944002</v>
      </c>
      <c r="EV105" s="1">
        <f t="shared" si="348"/>
        <v>0</v>
      </c>
      <c r="EW105" s="1">
        <f t="shared" si="349"/>
        <v>0.059350736407200004</v>
      </c>
      <c r="EX105" s="1">
        <f t="shared" si="350"/>
        <v>0.059350736407200004</v>
      </c>
      <c r="EY105" s="1">
        <f t="shared" si="351"/>
        <v>0.059350736407200004</v>
      </c>
      <c r="EZ105" s="1">
        <f t="shared" si="352"/>
        <v>0.059350736407200004</v>
      </c>
      <c r="FA105" s="1">
        <f t="shared" si="353"/>
        <v>0</v>
      </c>
      <c r="FB105" s="1">
        <f t="shared" si="354"/>
        <v>0</v>
      </c>
      <c r="FC105" s="1">
        <f t="shared" si="355"/>
        <v>0.059350736407200004</v>
      </c>
      <c r="FD105" s="1">
        <f t="shared" si="356"/>
        <v>0</v>
      </c>
      <c r="FE105" s="1">
        <f t="shared" si="357"/>
        <v>0.059350736407200004</v>
      </c>
      <c r="FF105" s="1">
        <f t="shared" si="358"/>
        <v>0</v>
      </c>
      <c r="FG105" s="1">
        <f t="shared" si="359"/>
        <v>0</v>
      </c>
      <c r="FH105" s="1">
        <f t="shared" si="360"/>
        <v>0</v>
      </c>
      <c r="FI105" s="1">
        <f t="shared" si="361"/>
        <v>0</v>
      </c>
      <c r="FJ105" s="1">
        <f t="shared" si="362"/>
        <v>0</v>
      </c>
      <c r="FK105" s="1">
        <f t="shared" si="363"/>
        <v>0</v>
      </c>
      <c r="FL105" s="1">
        <f t="shared" si="364"/>
        <v>4.263919336981805</v>
      </c>
      <c r="FM105" s="1">
        <f t="shared" si="365"/>
        <v>0.0057571153094400015</v>
      </c>
      <c r="FN105" s="1">
        <f t="shared" si="366"/>
        <v>7.46760736344</v>
      </c>
      <c r="FO105" s="1">
        <f>IF(O105=0,0,SUM(EI105:FN105))</f>
        <v>13.33117971220821</v>
      </c>
    </row>
    <row r="106" spans="1:171" s="45" customFormat="1" ht="12.75">
      <c r="A106" s="33">
        <v>84</v>
      </c>
      <c r="B106" s="34" t="s">
        <v>221</v>
      </c>
      <c r="C106" s="34" t="s">
        <v>276</v>
      </c>
      <c r="D106" s="35" t="s">
        <v>275</v>
      </c>
      <c r="E106" s="35">
        <v>4</v>
      </c>
      <c r="F106" s="35" t="s">
        <v>270</v>
      </c>
      <c r="G106" s="35" t="s">
        <v>74</v>
      </c>
      <c r="H106" s="35" t="s">
        <v>75</v>
      </c>
      <c r="I106" s="35">
        <v>3</v>
      </c>
      <c r="J106" s="35"/>
      <c r="K106" s="26">
        <f t="shared" si="268"/>
        <v>1</v>
      </c>
      <c r="L106" s="26">
        <f t="shared" si="269"/>
        <v>1</v>
      </c>
      <c r="M106" s="33">
        <v>454850</v>
      </c>
      <c r="N106" s="33">
        <v>1082602</v>
      </c>
      <c r="O106" s="27">
        <f t="shared" si="270"/>
        <v>60000</v>
      </c>
      <c r="P106" s="30">
        <v>60000</v>
      </c>
      <c r="Q106" s="30">
        <v>62200</v>
      </c>
      <c r="R106" s="30">
        <v>28900</v>
      </c>
      <c r="S106" s="31">
        <v>0</v>
      </c>
      <c r="T106" s="31">
        <v>10400</v>
      </c>
      <c r="U106" s="31">
        <v>0</v>
      </c>
      <c r="V106" s="31">
        <v>0</v>
      </c>
      <c r="W106" s="30">
        <v>23500</v>
      </c>
      <c r="X106" s="31">
        <v>0</v>
      </c>
      <c r="Y106" s="31">
        <v>6100</v>
      </c>
      <c r="Z106" s="30">
        <v>0</v>
      </c>
      <c r="AA106" s="31">
        <v>0</v>
      </c>
      <c r="AB106" s="30">
        <v>0</v>
      </c>
      <c r="AC106" s="30">
        <v>12500</v>
      </c>
      <c r="AD106" s="30">
        <v>0</v>
      </c>
      <c r="AE106" s="30">
        <v>13900</v>
      </c>
      <c r="AF106" s="31">
        <v>12900</v>
      </c>
      <c r="AG106" s="31">
        <v>13900</v>
      </c>
      <c r="AH106" s="31">
        <v>10500</v>
      </c>
      <c r="AI106" s="31">
        <v>0</v>
      </c>
      <c r="AJ106" s="31">
        <v>0</v>
      </c>
      <c r="AK106" s="31">
        <v>0</v>
      </c>
      <c r="AL106" s="30">
        <v>7900</v>
      </c>
      <c r="AM106" s="30">
        <v>4700</v>
      </c>
      <c r="AN106" s="31">
        <v>0</v>
      </c>
      <c r="AO106" s="30">
        <v>14500</v>
      </c>
      <c r="AP106" s="31">
        <v>0</v>
      </c>
      <c r="AQ106" s="31">
        <v>0</v>
      </c>
      <c r="AR106" s="31">
        <v>0</v>
      </c>
      <c r="AS106" s="31">
        <v>2500</v>
      </c>
      <c r="AT106" s="31">
        <v>24</v>
      </c>
      <c r="AU106" s="30">
        <v>0</v>
      </c>
      <c r="AW106" s="1"/>
      <c r="AX106" s="2">
        <f t="shared" si="271"/>
        <v>39776</v>
      </c>
      <c r="AY106" s="32">
        <f t="shared" si="289"/>
        <v>38369.13183279743</v>
      </c>
      <c r="AZ106" s="186">
        <f t="shared" si="290"/>
        <v>0.4601527392382683</v>
      </c>
      <c r="BA106" s="186">
        <f t="shared" si="291"/>
        <v>0.028831372934214082</v>
      </c>
      <c r="BB106" s="186">
        <f t="shared" si="292"/>
        <v>0.3346290793900253</v>
      </c>
      <c r="BC106" s="53">
        <f t="shared" si="272"/>
        <v>60000</v>
      </c>
      <c r="BD106" s="53">
        <f t="shared" si="189"/>
        <v>21436.83624294647</v>
      </c>
      <c r="BE106" s="53">
        <f t="shared" si="190"/>
        <v>1343.1484104021306</v>
      </c>
      <c r="BF106" s="53">
        <f t="shared" si="191"/>
        <v>15589.147179448832</v>
      </c>
      <c r="BG106" s="53"/>
      <c r="BH106" s="53">
        <f t="shared" si="273"/>
        <v>3</v>
      </c>
      <c r="BI106" s="53">
        <f t="shared" si="274"/>
        <v>4</v>
      </c>
      <c r="BJ106" s="53">
        <f t="shared" si="275"/>
        <v>3</v>
      </c>
      <c r="BK106" s="53">
        <f t="shared" si="276"/>
        <v>3</v>
      </c>
      <c r="BL106" s="53"/>
      <c r="BM106" s="53">
        <f t="shared" si="277"/>
        <v>2</v>
      </c>
      <c r="BN106" s="53">
        <f t="shared" si="278"/>
        <v>2</v>
      </c>
      <c r="BO106" s="53">
        <f t="shared" si="279"/>
        <v>2</v>
      </c>
      <c r="BP106" s="53">
        <f t="shared" si="280"/>
        <v>0</v>
      </c>
      <c r="BQ106" s="53"/>
      <c r="BR106" s="53">
        <f t="shared" si="281"/>
        <v>6.5</v>
      </c>
      <c r="BS106" s="53">
        <f t="shared" si="282"/>
        <v>34.2</v>
      </c>
      <c r="BT106" s="53">
        <f t="shared" si="283"/>
        <v>11</v>
      </c>
      <c r="BU106" s="53">
        <f t="shared" si="293"/>
        <v>24816</v>
      </c>
      <c r="BV106" s="53"/>
      <c r="BW106" s="53">
        <f t="shared" si="367"/>
        <v>15600</v>
      </c>
      <c r="BX106" s="53">
        <f t="shared" si="285"/>
        <v>-21036</v>
      </c>
      <c r="BY106" s="53">
        <f t="shared" si="294"/>
        <v>-18814.91095745311</v>
      </c>
      <c r="BZ106" s="240">
        <f t="shared" si="286"/>
        <v>5.791300000000001</v>
      </c>
      <c r="CC106" s="1">
        <f t="shared" si="295"/>
        <v>0</v>
      </c>
      <c r="CD106" s="195">
        <f t="shared" si="296"/>
        <v>2873.2</v>
      </c>
      <c r="CE106" s="195">
        <f t="shared" si="297"/>
        <v>2873.2</v>
      </c>
      <c r="CF106" s="239">
        <f t="shared" si="298"/>
        <v>1.45</v>
      </c>
      <c r="CG106" s="239">
        <f t="shared" si="298"/>
        <v>9.96</v>
      </c>
      <c r="CH106" s="1">
        <f t="shared" si="287"/>
        <v>4780.8</v>
      </c>
      <c r="CI106" s="1"/>
      <c r="CJ106" s="1"/>
      <c r="CK106" s="211">
        <f t="shared" si="299"/>
        <v>0</v>
      </c>
      <c r="CL106" s="211">
        <f t="shared" si="300"/>
        <v>0</v>
      </c>
      <c r="CM106" s="211">
        <f t="shared" si="301"/>
        <v>0</v>
      </c>
      <c r="CN106" s="1"/>
      <c r="CO106" s="1"/>
      <c r="CP106" s="1"/>
      <c r="CQ106" s="1">
        <f t="shared" si="288"/>
        <v>1</v>
      </c>
      <c r="CR106" s="195">
        <f t="shared" si="201"/>
        <v>10000</v>
      </c>
      <c r="CS106" s="195"/>
      <c r="CT106" s="195"/>
      <c r="CU106" s="1"/>
      <c r="CV106" s="199">
        <f t="shared" si="302"/>
        <v>31.598148786845798</v>
      </c>
      <c r="CW106" s="199">
        <f t="shared" si="303"/>
        <v>8.67869260076198</v>
      </c>
      <c r="CX106" s="199">
        <f t="shared" si="304"/>
        <v>0</v>
      </c>
      <c r="CY106" s="199">
        <f t="shared" si="305"/>
        <v>20.473839983958293</v>
      </c>
      <c r="CZ106" s="199">
        <f t="shared" si="306"/>
        <v>0</v>
      </c>
      <c r="DA106" s="199">
        <f t="shared" si="307"/>
        <v>0</v>
      </c>
      <c r="DB106" s="199">
        <f t="shared" si="308"/>
        <v>6.116125927411268</v>
      </c>
      <c r="DC106" s="199">
        <f t="shared" si="309"/>
        <v>0</v>
      </c>
      <c r="DD106" s="199">
        <f t="shared" si="310"/>
        <v>1.8521884900741927</v>
      </c>
      <c r="DE106" s="199">
        <f t="shared" si="311"/>
        <v>0</v>
      </c>
      <c r="DF106" s="199">
        <f t="shared" si="312"/>
        <v>0</v>
      </c>
      <c r="DG106" s="199">
        <f t="shared" si="313"/>
        <v>0</v>
      </c>
      <c r="DH106" s="199">
        <f t="shared" si="314"/>
        <v>16.57910567475436</v>
      </c>
      <c r="DI106" s="199">
        <f t="shared" si="315"/>
        <v>0</v>
      </c>
      <c r="DJ106" s="199">
        <f t="shared" si="316"/>
        <v>1.8992522959695204</v>
      </c>
      <c r="DK106" s="199">
        <f t="shared" si="317"/>
        <v>1.7626154401443752</v>
      </c>
      <c r="DL106" s="199">
        <f t="shared" si="318"/>
        <v>1.8992522959695204</v>
      </c>
      <c r="DM106" s="199">
        <f t="shared" si="319"/>
        <v>1.4346869861640263</v>
      </c>
      <c r="DN106" s="199">
        <f t="shared" si="320"/>
        <v>0</v>
      </c>
      <c r="DO106" s="199">
        <f t="shared" si="321"/>
        <v>0</v>
      </c>
      <c r="DP106" s="199">
        <f t="shared" si="322"/>
        <v>0</v>
      </c>
      <c r="DQ106" s="199">
        <f t="shared" si="323"/>
        <v>1.0794311610186484</v>
      </c>
      <c r="DR106" s="199">
        <f t="shared" si="324"/>
        <v>0.7057068377782233</v>
      </c>
      <c r="DS106" s="199">
        <f t="shared" si="325"/>
        <v>0</v>
      </c>
      <c r="DT106" s="199">
        <f t="shared" si="326"/>
        <v>41.60834168838981</v>
      </c>
      <c r="DU106" s="199">
        <f t="shared" si="327"/>
        <v>0</v>
      </c>
      <c r="DV106" s="199">
        <f t="shared" si="328"/>
        <v>0</v>
      </c>
      <c r="DW106" s="199">
        <f t="shared" si="329"/>
        <v>0</v>
      </c>
      <c r="DX106" s="199">
        <f t="shared" si="330"/>
        <v>0.16182875476238218</v>
      </c>
      <c r="DY106" s="199">
        <f t="shared" si="331"/>
        <v>0.9929945859234007</v>
      </c>
      <c r="DZ106" s="199">
        <f t="shared" si="332"/>
        <v>0</v>
      </c>
      <c r="EA106" s="199">
        <f t="shared" si="333"/>
        <v>22.276408570966183</v>
      </c>
      <c r="EB106" s="199">
        <f t="shared" si="334"/>
        <v>3.085323064920561</v>
      </c>
      <c r="EC106" s="202">
        <f t="shared" si="184"/>
        <v>162.20394314581253</v>
      </c>
      <c r="ED106" s="202">
        <f>SUM(CV106:DI106,DS106:DT106,DW106,DY106,EA106:EB106)</f>
        <v>153.26116937400585</v>
      </c>
      <c r="EE106" s="203">
        <f t="shared" si="235"/>
        <v>25.369762730844506</v>
      </c>
      <c r="EF106" s="199"/>
      <c r="EI106" s="1">
        <f t="shared" si="335"/>
        <v>0.5699766927982697</v>
      </c>
      <c r="EJ106" s="1">
        <f t="shared" si="336"/>
        <v>0.010606863429336002</v>
      </c>
      <c r="EK106" s="1">
        <f t="shared" si="337"/>
        <v>0</v>
      </c>
      <c r="EL106" s="1">
        <f t="shared" si="338"/>
        <v>0.24682268761392</v>
      </c>
      <c r="EM106" s="1">
        <f t="shared" si="339"/>
        <v>0</v>
      </c>
      <c r="EN106" s="1">
        <f t="shared" si="340"/>
        <v>0</v>
      </c>
      <c r="EO106" s="1">
        <f t="shared" si="341"/>
        <v>0.2644897670328</v>
      </c>
      <c r="EP106" s="1">
        <f t="shared" si="342"/>
        <v>0</v>
      </c>
      <c r="EQ106" s="1">
        <f t="shared" si="343"/>
        <v>0.21621849683808003</v>
      </c>
      <c r="ER106" s="1">
        <f t="shared" si="344"/>
        <v>0</v>
      </c>
      <c r="ES106" s="1">
        <f t="shared" si="345"/>
        <v>0</v>
      </c>
      <c r="ET106" s="1">
        <f t="shared" si="346"/>
        <v>0</v>
      </c>
      <c r="EU106" s="1">
        <f t="shared" si="347"/>
        <v>0.14589546715944002</v>
      </c>
      <c r="EV106" s="1">
        <f t="shared" si="348"/>
        <v>0</v>
      </c>
      <c r="EW106" s="1">
        <f t="shared" si="349"/>
        <v>0.059350736407200004</v>
      </c>
      <c r="EX106" s="1">
        <f t="shared" si="350"/>
        <v>0.059350736407200004</v>
      </c>
      <c r="EY106" s="1">
        <f t="shared" si="351"/>
        <v>0.059350736407200004</v>
      </c>
      <c r="EZ106" s="1">
        <f t="shared" si="352"/>
        <v>0.059350736407200004</v>
      </c>
      <c r="FA106" s="1">
        <f t="shared" si="353"/>
        <v>0</v>
      </c>
      <c r="FB106" s="1">
        <f t="shared" si="354"/>
        <v>0</v>
      </c>
      <c r="FC106" s="1">
        <f t="shared" si="355"/>
        <v>0</v>
      </c>
      <c r="FD106" s="1">
        <f t="shared" si="356"/>
        <v>0.059350736407200004</v>
      </c>
      <c r="FE106" s="1">
        <f t="shared" si="357"/>
        <v>0.059350736407200004</v>
      </c>
      <c r="FF106" s="1">
        <f t="shared" si="358"/>
        <v>0</v>
      </c>
      <c r="FG106" s="1">
        <f t="shared" si="359"/>
        <v>0.059350736407200004</v>
      </c>
      <c r="FH106" s="1">
        <f t="shared" si="360"/>
        <v>0</v>
      </c>
      <c r="FI106" s="1">
        <f t="shared" si="361"/>
        <v>0</v>
      </c>
      <c r="FJ106" s="1">
        <f t="shared" si="362"/>
        <v>0</v>
      </c>
      <c r="FK106" s="1">
        <f t="shared" si="363"/>
        <v>0</v>
      </c>
      <c r="FL106" s="1">
        <f t="shared" si="364"/>
        <v>4.263919336981805</v>
      </c>
      <c r="FM106" s="1">
        <f t="shared" si="365"/>
        <v>0</v>
      </c>
      <c r="FN106" s="1">
        <f t="shared" si="366"/>
        <v>7.46760736344</v>
      </c>
      <c r="FO106" s="1">
        <f>IF(O106=0,0,SUM(EI106:FN106))</f>
        <v>13.60099183014405</v>
      </c>
    </row>
    <row r="107" spans="1:171" s="45" customFormat="1" ht="12.75">
      <c r="A107" s="33">
        <v>85</v>
      </c>
      <c r="B107" s="34" t="s">
        <v>277</v>
      </c>
      <c r="C107" s="34" t="s">
        <v>278</v>
      </c>
      <c r="D107" s="35" t="s">
        <v>275</v>
      </c>
      <c r="E107" s="35">
        <v>4</v>
      </c>
      <c r="F107" s="35" t="s">
        <v>270</v>
      </c>
      <c r="G107" s="35" t="s">
        <v>74</v>
      </c>
      <c r="H107" s="35" t="s">
        <v>75</v>
      </c>
      <c r="I107" s="35">
        <v>3</v>
      </c>
      <c r="J107" s="35"/>
      <c r="K107" s="26">
        <f t="shared" si="268"/>
        <v>1</v>
      </c>
      <c r="L107" s="26">
        <f t="shared" si="269"/>
        <v>1</v>
      </c>
      <c r="M107" s="33">
        <v>473127</v>
      </c>
      <c r="N107" s="33">
        <v>1111737</v>
      </c>
      <c r="O107" s="27">
        <f t="shared" si="270"/>
        <v>8200</v>
      </c>
      <c r="P107" s="30">
        <v>8200</v>
      </c>
      <c r="Q107" s="30">
        <v>8500</v>
      </c>
      <c r="R107" s="30">
        <v>5000</v>
      </c>
      <c r="S107" s="31">
        <v>0</v>
      </c>
      <c r="T107" s="31">
        <v>0</v>
      </c>
      <c r="U107" s="31">
        <v>0</v>
      </c>
      <c r="V107" s="31">
        <v>0</v>
      </c>
      <c r="W107" s="30">
        <v>2500</v>
      </c>
      <c r="X107" s="31">
        <v>0</v>
      </c>
      <c r="Y107" s="31">
        <v>0</v>
      </c>
      <c r="Z107" s="30">
        <v>0</v>
      </c>
      <c r="AA107" s="31">
        <v>0</v>
      </c>
      <c r="AB107" s="30">
        <v>0</v>
      </c>
      <c r="AC107" s="30">
        <v>1030</v>
      </c>
      <c r="AD107" s="30">
        <v>0</v>
      </c>
      <c r="AE107" s="30">
        <v>1100</v>
      </c>
      <c r="AF107" s="31">
        <v>0</v>
      </c>
      <c r="AG107" s="31">
        <v>1000</v>
      </c>
      <c r="AH107" s="31">
        <v>2000</v>
      </c>
      <c r="AI107" s="31">
        <v>0</v>
      </c>
      <c r="AJ107" s="31">
        <v>0</v>
      </c>
      <c r="AK107" s="31">
        <v>3000</v>
      </c>
      <c r="AL107" s="30">
        <v>0</v>
      </c>
      <c r="AM107" s="30">
        <v>800</v>
      </c>
      <c r="AN107" s="31">
        <v>0</v>
      </c>
      <c r="AO107" s="30">
        <v>3800</v>
      </c>
      <c r="AP107" s="31">
        <v>0</v>
      </c>
      <c r="AQ107" s="31">
        <v>700</v>
      </c>
      <c r="AR107" s="31">
        <v>0</v>
      </c>
      <c r="AS107" s="31">
        <v>0</v>
      </c>
      <c r="AT107" s="31">
        <v>2.1</v>
      </c>
      <c r="AU107" s="30">
        <v>0</v>
      </c>
      <c r="AW107" s="1"/>
      <c r="AX107" s="2">
        <f t="shared" si="271"/>
        <v>4136</v>
      </c>
      <c r="AY107" s="32">
        <f t="shared" si="289"/>
        <v>3990.0235294117647</v>
      </c>
      <c r="AZ107" s="186">
        <f t="shared" si="290"/>
        <v>0.4601527392382683</v>
      </c>
      <c r="BA107" s="186">
        <f t="shared" si="291"/>
        <v>0.028831372934214082</v>
      </c>
      <c r="BB107" s="186">
        <f t="shared" si="292"/>
        <v>0.3346290793900253</v>
      </c>
      <c r="BC107" s="53">
        <f t="shared" si="272"/>
        <v>8200</v>
      </c>
      <c r="BD107" s="53">
        <f t="shared" si="189"/>
        <v>2229.226383808622</v>
      </c>
      <c r="BE107" s="53">
        <f t="shared" si="190"/>
        <v>139.6746161563015</v>
      </c>
      <c r="BF107" s="53">
        <f t="shared" si="191"/>
        <v>1621.1225294468413</v>
      </c>
      <c r="BG107" s="53"/>
      <c r="BH107" s="53">
        <f t="shared" si="273"/>
        <v>2</v>
      </c>
      <c r="BI107" s="53">
        <f t="shared" si="274"/>
        <v>3</v>
      </c>
      <c r="BJ107" s="53">
        <f t="shared" si="275"/>
        <v>3</v>
      </c>
      <c r="BK107" s="53">
        <f t="shared" si="276"/>
        <v>2</v>
      </c>
      <c r="BL107" s="53"/>
      <c r="BM107" s="53">
        <f t="shared" si="277"/>
        <v>1</v>
      </c>
      <c r="BN107" s="53">
        <f t="shared" si="278"/>
        <v>2</v>
      </c>
      <c r="BO107" s="53">
        <f t="shared" si="279"/>
        <v>2</v>
      </c>
      <c r="BP107" s="53">
        <f t="shared" si="280"/>
        <v>0</v>
      </c>
      <c r="BQ107" s="53"/>
      <c r="BR107" s="53">
        <f t="shared" si="281"/>
        <v>3.25</v>
      </c>
      <c r="BS107" s="53">
        <f t="shared" si="282"/>
        <v>34.2</v>
      </c>
      <c r="BT107" s="53">
        <f t="shared" si="283"/>
        <v>11</v>
      </c>
      <c r="BU107" s="53">
        <f t="shared" si="293"/>
        <v>23256</v>
      </c>
      <c r="BV107" s="53"/>
      <c r="BW107" s="53">
        <f t="shared" si="367"/>
        <v>13000</v>
      </c>
      <c r="BX107" s="53">
        <f t="shared" si="285"/>
        <v>-20106</v>
      </c>
      <c r="BY107" s="53">
        <f t="shared" si="294"/>
        <v>-18255.092464544257</v>
      </c>
      <c r="BZ107" s="240">
        <f t="shared" si="286"/>
        <v>5.5020500000000006</v>
      </c>
      <c r="CC107" s="1">
        <f t="shared" si="295"/>
        <v>0</v>
      </c>
      <c r="CD107" s="195">
        <f t="shared" si="296"/>
        <v>2873.2</v>
      </c>
      <c r="CE107" s="195">
        <f t="shared" si="297"/>
        <v>2873.2</v>
      </c>
      <c r="CF107" s="239">
        <f t="shared" si="298"/>
        <v>1.45</v>
      </c>
      <c r="CG107" s="239">
        <f t="shared" si="298"/>
        <v>9.96</v>
      </c>
      <c r="CH107" s="1">
        <f t="shared" si="287"/>
        <v>4780.8</v>
      </c>
      <c r="CI107" s="1"/>
      <c r="CJ107" s="1"/>
      <c r="CK107" s="211">
        <f t="shared" si="299"/>
        <v>0</v>
      </c>
      <c r="CL107" s="211">
        <f t="shared" si="300"/>
        <v>0</v>
      </c>
      <c r="CM107" s="211">
        <f t="shared" si="301"/>
        <v>0</v>
      </c>
      <c r="CN107" s="1"/>
      <c r="CO107" s="1"/>
      <c r="CP107" s="1"/>
      <c r="CQ107" s="1">
        <f t="shared" si="288"/>
        <v>0</v>
      </c>
      <c r="CR107" s="195">
        <f t="shared" si="201"/>
        <v>0</v>
      </c>
      <c r="CS107" s="195"/>
      <c r="CT107" s="195"/>
      <c r="CU107" s="1"/>
      <c r="CV107" s="199">
        <f t="shared" si="302"/>
        <v>4.318074994986965</v>
      </c>
      <c r="CW107" s="199">
        <f t="shared" si="303"/>
        <v>1.5015039101664327</v>
      </c>
      <c r="CX107" s="199">
        <f t="shared" si="304"/>
        <v>0</v>
      </c>
      <c r="CY107" s="199">
        <f t="shared" si="305"/>
        <v>0</v>
      </c>
      <c r="CZ107" s="199">
        <f t="shared" si="306"/>
        <v>0</v>
      </c>
      <c r="DA107" s="199">
        <f t="shared" si="307"/>
        <v>0</v>
      </c>
      <c r="DB107" s="199">
        <f t="shared" si="308"/>
        <v>0.6506516944054541</v>
      </c>
      <c r="DC107" s="199">
        <f t="shared" si="309"/>
        <v>0</v>
      </c>
      <c r="DD107" s="199">
        <f t="shared" si="310"/>
        <v>0</v>
      </c>
      <c r="DE107" s="199">
        <f t="shared" si="311"/>
        <v>0</v>
      </c>
      <c r="DF107" s="199">
        <f t="shared" si="312"/>
        <v>0</v>
      </c>
      <c r="DG107" s="199">
        <f t="shared" si="313"/>
        <v>0</v>
      </c>
      <c r="DH107" s="199">
        <f t="shared" si="314"/>
        <v>1.3661183075997592</v>
      </c>
      <c r="DI107" s="199">
        <f t="shared" si="315"/>
        <v>0</v>
      </c>
      <c r="DJ107" s="199">
        <f t="shared" si="316"/>
        <v>0.15030054140765992</v>
      </c>
      <c r="DK107" s="199">
        <f t="shared" si="317"/>
        <v>0</v>
      </c>
      <c r="DL107" s="199">
        <f t="shared" si="318"/>
        <v>0.13663685582514534</v>
      </c>
      <c r="DM107" s="199">
        <f t="shared" si="319"/>
        <v>0.2732737116502907</v>
      </c>
      <c r="DN107" s="199">
        <f t="shared" si="320"/>
        <v>0</v>
      </c>
      <c r="DO107" s="199">
        <f t="shared" si="321"/>
        <v>0</v>
      </c>
      <c r="DP107" s="199">
        <f t="shared" si="322"/>
        <v>0.4099105674754361</v>
      </c>
      <c r="DQ107" s="199">
        <f t="shared" si="323"/>
        <v>0</v>
      </c>
      <c r="DR107" s="199">
        <f t="shared" si="324"/>
        <v>0.1201203128133146</v>
      </c>
      <c r="DS107" s="199">
        <f t="shared" si="325"/>
        <v>0</v>
      </c>
      <c r="DT107" s="199">
        <f t="shared" si="326"/>
        <v>10.904255063164227</v>
      </c>
      <c r="DU107" s="199">
        <f t="shared" si="327"/>
        <v>0</v>
      </c>
      <c r="DV107" s="199">
        <f t="shared" si="328"/>
        <v>0.0002043713655504311</v>
      </c>
      <c r="DW107" s="199">
        <f t="shared" si="329"/>
        <v>0</v>
      </c>
      <c r="DX107" s="199">
        <f t="shared" si="330"/>
        <v>0</v>
      </c>
      <c r="DY107" s="199">
        <f t="shared" si="331"/>
        <v>0.08688702626829756</v>
      </c>
      <c r="DZ107" s="199">
        <f t="shared" si="332"/>
        <v>0</v>
      </c>
      <c r="EA107" s="199">
        <f t="shared" si="333"/>
        <v>2.316533893346229</v>
      </c>
      <c r="EB107" s="199">
        <f t="shared" si="334"/>
        <v>0.38233702032814726</v>
      </c>
      <c r="EC107" s="202">
        <f t="shared" si="184"/>
        <v>22.616808270802906</v>
      </c>
      <c r="ED107" s="202">
        <f>SUM(CV107:DI107,DS107:DT107,DW107,DY107,EA107:EB107)</f>
        <v>21.52636191026551</v>
      </c>
      <c r="EE107" s="203">
        <f t="shared" si="235"/>
        <v>3.5633206790235423</v>
      </c>
      <c r="EF107" s="199"/>
      <c r="EI107" s="1">
        <f t="shared" si="335"/>
        <v>0.18495710758393283</v>
      </c>
      <c r="EJ107" s="1">
        <f t="shared" si="336"/>
        <v>0.002442336444552</v>
      </c>
      <c r="EK107" s="1">
        <f t="shared" si="337"/>
        <v>0</v>
      </c>
      <c r="EL107" s="1">
        <f t="shared" si="338"/>
        <v>0</v>
      </c>
      <c r="EM107" s="1">
        <f t="shared" si="339"/>
        <v>0</v>
      </c>
      <c r="EN107" s="1">
        <f t="shared" si="340"/>
        <v>0</v>
      </c>
      <c r="EO107" s="1">
        <f t="shared" si="341"/>
        <v>0.20522871634656004</v>
      </c>
      <c r="EP107" s="1">
        <f t="shared" si="342"/>
        <v>0</v>
      </c>
      <c r="EQ107" s="1">
        <f t="shared" si="343"/>
        <v>0</v>
      </c>
      <c r="ER107" s="1">
        <f t="shared" si="344"/>
        <v>0</v>
      </c>
      <c r="ES107" s="1">
        <f t="shared" si="345"/>
        <v>0</v>
      </c>
      <c r="ET107" s="1">
        <f t="shared" si="346"/>
        <v>0</v>
      </c>
      <c r="EU107" s="1">
        <f t="shared" si="347"/>
        <v>0.07346601658824001</v>
      </c>
      <c r="EV107" s="1">
        <f t="shared" si="348"/>
        <v>0</v>
      </c>
      <c r="EW107" s="1">
        <f t="shared" si="349"/>
        <v>0.059350736407200004</v>
      </c>
      <c r="EX107" s="1">
        <f t="shared" si="350"/>
        <v>0</v>
      </c>
      <c r="EY107" s="1">
        <f t="shared" si="351"/>
        <v>0.059350736407200004</v>
      </c>
      <c r="EZ107" s="1">
        <f t="shared" si="352"/>
        <v>0.059350736407200004</v>
      </c>
      <c r="FA107" s="1">
        <f t="shared" si="353"/>
        <v>0</v>
      </c>
      <c r="FB107" s="1">
        <f t="shared" si="354"/>
        <v>0</v>
      </c>
      <c r="FC107" s="1">
        <f t="shared" si="355"/>
        <v>0.059350736407200004</v>
      </c>
      <c r="FD107" s="1">
        <f t="shared" si="356"/>
        <v>0</v>
      </c>
      <c r="FE107" s="1">
        <f t="shared" si="357"/>
        <v>0.059350736407200004</v>
      </c>
      <c r="FF107" s="1">
        <f t="shared" si="358"/>
        <v>0</v>
      </c>
      <c r="FG107" s="1">
        <f t="shared" si="359"/>
        <v>0.059350736407200004</v>
      </c>
      <c r="FH107" s="1">
        <f t="shared" si="360"/>
        <v>0</v>
      </c>
      <c r="FI107" s="1">
        <f t="shared" si="361"/>
        <v>0</v>
      </c>
      <c r="FJ107" s="1">
        <f t="shared" si="362"/>
        <v>0</v>
      </c>
      <c r="FK107" s="1">
        <f t="shared" si="363"/>
        <v>0</v>
      </c>
      <c r="FL107" s="1">
        <f t="shared" si="364"/>
        <v>4.300268812675172</v>
      </c>
      <c r="FM107" s="1">
        <f t="shared" si="365"/>
        <v>0</v>
      </c>
      <c r="FN107" s="1">
        <f t="shared" si="366"/>
        <v>4.472293968912</v>
      </c>
      <c r="FO107" s="1">
        <f>IF(O107=0,0,SUM(EI107:FN107))</f>
        <v>9.594761376993656</v>
      </c>
    </row>
    <row r="108" spans="1:171" s="45" customFormat="1" ht="12.75">
      <c r="A108" s="24">
        <v>135</v>
      </c>
      <c r="B108" s="25" t="s">
        <v>279</v>
      </c>
      <c r="C108" s="25" t="s">
        <v>280</v>
      </c>
      <c r="D108" s="26" t="s">
        <v>281</v>
      </c>
      <c r="E108" s="26">
        <v>4</v>
      </c>
      <c r="F108" s="35" t="s">
        <v>270</v>
      </c>
      <c r="G108" s="35" t="s">
        <v>74</v>
      </c>
      <c r="H108" s="26" t="s">
        <v>75</v>
      </c>
      <c r="I108" s="26">
        <v>3</v>
      </c>
      <c r="J108" s="26"/>
      <c r="K108" s="26">
        <f t="shared" si="268"/>
        <v>1</v>
      </c>
      <c r="L108" s="26">
        <f t="shared" si="269"/>
        <v>1</v>
      </c>
      <c r="M108" s="24">
        <v>404730</v>
      </c>
      <c r="N108" s="24">
        <v>1115410</v>
      </c>
      <c r="O108" s="27">
        <f t="shared" si="270"/>
        <v>58000</v>
      </c>
      <c r="P108" s="28">
        <v>58000</v>
      </c>
      <c r="Q108" s="28">
        <v>60000</v>
      </c>
      <c r="R108" s="28">
        <v>0</v>
      </c>
      <c r="S108" s="29">
        <v>0</v>
      </c>
      <c r="T108" s="29">
        <v>0</v>
      </c>
      <c r="U108" s="29">
        <v>0</v>
      </c>
      <c r="V108" s="29">
        <v>0</v>
      </c>
      <c r="W108" s="28">
        <v>23000</v>
      </c>
      <c r="X108" s="29">
        <v>2200</v>
      </c>
      <c r="Y108" s="29">
        <v>0</v>
      </c>
      <c r="Z108" s="28">
        <v>0</v>
      </c>
      <c r="AA108" s="29">
        <v>0</v>
      </c>
      <c r="AB108" s="28">
        <v>0</v>
      </c>
      <c r="AC108" s="28">
        <v>12600</v>
      </c>
      <c r="AD108" s="28">
        <v>0</v>
      </c>
      <c r="AE108" s="28">
        <v>12600</v>
      </c>
      <c r="AF108" s="28">
        <v>0</v>
      </c>
      <c r="AG108" s="28">
        <v>0</v>
      </c>
      <c r="AH108" s="28">
        <v>11000</v>
      </c>
      <c r="AI108" s="28">
        <v>0</v>
      </c>
      <c r="AJ108" s="28">
        <v>0</v>
      </c>
      <c r="AK108" s="28">
        <v>0</v>
      </c>
      <c r="AL108" s="28">
        <v>0</v>
      </c>
      <c r="AM108" s="30">
        <v>6000</v>
      </c>
      <c r="AN108" s="31">
        <v>0</v>
      </c>
      <c r="AO108" s="30">
        <v>0</v>
      </c>
      <c r="AP108" s="31">
        <v>0</v>
      </c>
      <c r="AQ108" s="31">
        <v>0</v>
      </c>
      <c r="AR108" s="31">
        <v>0</v>
      </c>
      <c r="AS108" s="31">
        <v>0</v>
      </c>
      <c r="AT108" s="31">
        <v>0</v>
      </c>
      <c r="AU108" s="30">
        <v>18</v>
      </c>
      <c r="AW108" s="1"/>
      <c r="AX108" s="2">
        <f t="shared" si="271"/>
        <v>52800</v>
      </c>
      <c r="AY108" s="32">
        <f t="shared" si="289"/>
        <v>51040</v>
      </c>
      <c r="AZ108" s="186">
        <f t="shared" si="290"/>
        <v>0.4601527392382683</v>
      </c>
      <c r="BA108" s="186">
        <f t="shared" si="291"/>
        <v>0.028831372934214082</v>
      </c>
      <c r="BB108" s="186">
        <f t="shared" si="292"/>
        <v>0.3346290793900253</v>
      </c>
      <c r="BC108" s="53">
        <f t="shared" si="272"/>
        <v>58000</v>
      </c>
      <c r="BD108" s="53">
        <f t="shared" si="189"/>
        <v>28516.051043530115</v>
      </c>
      <c r="BE108" s="53">
        <f t="shared" si="190"/>
        <v>1786.7043530113299</v>
      </c>
      <c r="BF108" s="53">
        <f t="shared" si="191"/>
        <v>20737.24460345856</v>
      </c>
      <c r="BG108" s="53"/>
      <c r="BH108" s="53">
        <f t="shared" si="273"/>
        <v>3</v>
      </c>
      <c r="BI108" s="53">
        <f t="shared" si="274"/>
        <v>4</v>
      </c>
      <c r="BJ108" s="53">
        <f t="shared" si="275"/>
        <v>3</v>
      </c>
      <c r="BK108" s="53">
        <f t="shared" si="276"/>
        <v>3</v>
      </c>
      <c r="BL108" s="53"/>
      <c r="BM108" s="53">
        <f t="shared" si="277"/>
        <v>2</v>
      </c>
      <c r="BN108" s="53">
        <f t="shared" si="278"/>
        <v>2</v>
      </c>
      <c r="BO108" s="53">
        <f t="shared" si="279"/>
        <v>2</v>
      </c>
      <c r="BP108" s="53">
        <f t="shared" si="280"/>
        <v>0</v>
      </c>
      <c r="BQ108" s="53"/>
      <c r="BR108" s="53">
        <f t="shared" si="281"/>
        <v>6.5</v>
      </c>
      <c r="BS108" s="53">
        <f t="shared" si="282"/>
        <v>34.2</v>
      </c>
      <c r="BT108" s="53">
        <f t="shared" si="283"/>
        <v>11</v>
      </c>
      <c r="BU108" s="53">
        <f t="shared" si="293"/>
        <v>24816</v>
      </c>
      <c r="BV108" s="53"/>
      <c r="BW108" s="53">
        <f t="shared" si="367"/>
        <v>15600</v>
      </c>
      <c r="BX108" s="53">
        <f t="shared" si="285"/>
        <v>-21036</v>
      </c>
      <c r="BY108" s="53">
        <f t="shared" si="294"/>
        <v>-18814.91095745311</v>
      </c>
      <c r="BZ108" s="240">
        <f t="shared" si="286"/>
        <v>5.791300000000001</v>
      </c>
      <c r="CC108" s="1">
        <f t="shared" si="295"/>
        <v>0</v>
      </c>
      <c r="CD108" s="195">
        <f t="shared" si="296"/>
        <v>2873.2</v>
      </c>
      <c r="CE108" s="195">
        <f t="shared" si="297"/>
        <v>2873.2</v>
      </c>
      <c r="CF108" s="239">
        <f t="shared" si="298"/>
        <v>1.45</v>
      </c>
      <c r="CG108" s="239">
        <f t="shared" si="298"/>
        <v>9.96</v>
      </c>
      <c r="CH108" s="1">
        <f t="shared" si="287"/>
        <v>4780.8</v>
      </c>
      <c r="CI108" s="1"/>
      <c r="CJ108" s="1"/>
      <c r="CK108" s="211">
        <f t="shared" si="299"/>
        <v>0</v>
      </c>
      <c r="CL108" s="211">
        <f t="shared" si="300"/>
        <v>0</v>
      </c>
      <c r="CM108" s="211">
        <f t="shared" si="301"/>
        <v>0</v>
      </c>
      <c r="CN108" s="1"/>
      <c r="CO108" s="1"/>
      <c r="CP108" s="1"/>
      <c r="CQ108" s="1">
        <f t="shared" si="288"/>
        <v>1</v>
      </c>
      <c r="CR108" s="195">
        <f t="shared" si="201"/>
        <v>10000</v>
      </c>
      <c r="CS108" s="195"/>
      <c r="CT108" s="195"/>
      <c r="CU108" s="1"/>
      <c r="CV108" s="199">
        <f t="shared" si="302"/>
        <v>30.48052937637858</v>
      </c>
      <c r="CW108" s="199">
        <f t="shared" si="303"/>
        <v>0</v>
      </c>
      <c r="CX108" s="199">
        <f t="shared" si="304"/>
        <v>0</v>
      </c>
      <c r="CY108" s="199">
        <f t="shared" si="305"/>
        <v>0</v>
      </c>
      <c r="CZ108" s="199">
        <f t="shared" si="306"/>
        <v>0</v>
      </c>
      <c r="DA108" s="199">
        <f t="shared" si="307"/>
        <v>0</v>
      </c>
      <c r="DB108" s="199">
        <f t="shared" si="308"/>
        <v>5.985995588530178</v>
      </c>
      <c r="DC108" s="199">
        <f t="shared" si="309"/>
        <v>0.5725734910767996</v>
      </c>
      <c r="DD108" s="199">
        <f t="shared" si="310"/>
        <v>0</v>
      </c>
      <c r="DE108" s="199">
        <f t="shared" si="311"/>
        <v>0</v>
      </c>
      <c r="DF108" s="199">
        <f t="shared" si="312"/>
        <v>0</v>
      </c>
      <c r="DG108" s="199">
        <f t="shared" si="313"/>
        <v>0</v>
      </c>
      <c r="DH108" s="199">
        <f t="shared" si="314"/>
        <v>16.711738520152394</v>
      </c>
      <c r="DI108" s="199">
        <f t="shared" si="315"/>
        <v>0</v>
      </c>
      <c r="DJ108" s="199">
        <f t="shared" si="316"/>
        <v>1.7216243833968317</v>
      </c>
      <c r="DK108" s="199">
        <f t="shared" si="317"/>
        <v>0</v>
      </c>
      <c r="DL108" s="199">
        <f t="shared" si="318"/>
        <v>0</v>
      </c>
      <c r="DM108" s="199">
        <f t="shared" si="319"/>
        <v>1.5030054140765992</v>
      </c>
      <c r="DN108" s="199">
        <f t="shared" si="320"/>
        <v>0</v>
      </c>
      <c r="DO108" s="199">
        <f t="shared" si="321"/>
        <v>0</v>
      </c>
      <c r="DP108" s="199">
        <f t="shared" si="322"/>
        <v>0</v>
      </c>
      <c r="DQ108" s="199">
        <f t="shared" si="323"/>
        <v>0</v>
      </c>
      <c r="DR108" s="199">
        <f t="shared" si="324"/>
        <v>0.9009023460998595</v>
      </c>
      <c r="DS108" s="199">
        <f t="shared" si="325"/>
        <v>0</v>
      </c>
      <c r="DT108" s="199">
        <f t="shared" si="326"/>
        <v>0</v>
      </c>
      <c r="DU108" s="199">
        <f t="shared" si="327"/>
        <v>0</v>
      </c>
      <c r="DV108" s="199">
        <f t="shared" si="328"/>
        <v>0</v>
      </c>
      <c r="DW108" s="199">
        <f t="shared" si="329"/>
        <v>0</v>
      </c>
      <c r="DX108" s="199">
        <f t="shared" si="330"/>
        <v>0</v>
      </c>
      <c r="DY108" s="199">
        <f t="shared" si="331"/>
        <v>0</v>
      </c>
      <c r="DZ108" s="199">
        <f t="shared" si="332"/>
        <v>0.0011651670342891518</v>
      </c>
      <c r="EA108" s="199">
        <f t="shared" si="333"/>
        <v>29.63288036895929</v>
      </c>
      <c r="EB108" s="199">
        <f t="shared" si="334"/>
        <v>3.420012159614999</v>
      </c>
      <c r="EC108" s="202">
        <f t="shared" si="184"/>
        <v>90.93042681531982</v>
      </c>
      <c r="ED108" s="202">
        <f>SUM(CV108:DI108,DS108:DT108,DW108,DY108,EA108:EB108)</f>
        <v>86.80372950471224</v>
      </c>
      <c r="EE108" s="203">
        <f t="shared" si="235"/>
        <v>14.368871323909282</v>
      </c>
      <c r="EF108" s="199"/>
      <c r="EI108" s="1">
        <f t="shared" si="335"/>
        <v>0.5699766927982697</v>
      </c>
      <c r="EJ108" s="1">
        <f t="shared" si="336"/>
        <v>0</v>
      </c>
      <c r="EK108" s="1">
        <f t="shared" si="337"/>
        <v>0</v>
      </c>
      <c r="EL108" s="1">
        <f t="shared" si="338"/>
        <v>0</v>
      </c>
      <c r="EM108" s="1">
        <f t="shared" si="339"/>
        <v>0</v>
      </c>
      <c r="EN108" s="1">
        <f t="shared" si="340"/>
        <v>0</v>
      </c>
      <c r="EO108" s="1">
        <f t="shared" si="341"/>
        <v>0.2644897670328</v>
      </c>
      <c r="EP108" s="1">
        <f t="shared" si="342"/>
        <v>0</v>
      </c>
      <c r="EQ108" s="1">
        <f t="shared" si="343"/>
        <v>0</v>
      </c>
      <c r="ER108" s="1">
        <f t="shared" si="344"/>
        <v>0</v>
      </c>
      <c r="ES108" s="1">
        <f t="shared" si="345"/>
        <v>0</v>
      </c>
      <c r="ET108" s="1">
        <f t="shared" si="346"/>
        <v>0</v>
      </c>
      <c r="EU108" s="1">
        <f t="shared" si="347"/>
        <v>0.14589546715944002</v>
      </c>
      <c r="EV108" s="1">
        <f t="shared" si="348"/>
        <v>0</v>
      </c>
      <c r="EW108" s="1">
        <f t="shared" si="349"/>
        <v>0.059350736407200004</v>
      </c>
      <c r="EX108" s="1">
        <f t="shared" si="350"/>
        <v>0</v>
      </c>
      <c r="EY108" s="1">
        <f t="shared" si="351"/>
        <v>0</v>
      </c>
      <c r="EZ108" s="1">
        <f t="shared" si="352"/>
        <v>0.059350736407200004</v>
      </c>
      <c r="FA108" s="1">
        <f t="shared" si="353"/>
        <v>0</v>
      </c>
      <c r="FB108" s="1">
        <f t="shared" si="354"/>
        <v>0</v>
      </c>
      <c r="FC108" s="1">
        <f t="shared" si="355"/>
        <v>0</v>
      </c>
      <c r="FD108" s="1">
        <f t="shared" si="356"/>
        <v>0</v>
      </c>
      <c r="FE108" s="1">
        <f t="shared" si="357"/>
        <v>0.059350736407200004</v>
      </c>
      <c r="FF108" s="1">
        <f t="shared" si="358"/>
        <v>0</v>
      </c>
      <c r="FG108" s="1">
        <f t="shared" si="359"/>
        <v>0</v>
      </c>
      <c r="FH108" s="1">
        <f t="shared" si="360"/>
        <v>0</v>
      </c>
      <c r="FI108" s="1">
        <f t="shared" si="361"/>
        <v>0</v>
      </c>
      <c r="FJ108" s="1">
        <f t="shared" si="362"/>
        <v>0</v>
      </c>
      <c r="FK108" s="1">
        <f t="shared" si="363"/>
        <v>0</v>
      </c>
      <c r="FL108" s="1">
        <f t="shared" si="364"/>
        <v>0</v>
      </c>
      <c r="FM108" s="1">
        <f t="shared" si="365"/>
        <v>0.0034234991863440005</v>
      </c>
      <c r="FN108" s="1">
        <f t="shared" si="366"/>
        <v>7.46760736344</v>
      </c>
      <c r="FO108" s="1">
        <f>IF(O108=0,0,SUM(EI108:FN108))</f>
        <v>8.629444998838453</v>
      </c>
    </row>
    <row r="109" spans="1:171" s="45" customFormat="1" ht="12.75">
      <c r="A109" s="33">
        <v>136</v>
      </c>
      <c r="B109" s="34" t="s">
        <v>84</v>
      </c>
      <c r="C109" s="34" t="s">
        <v>280</v>
      </c>
      <c r="D109" s="35" t="s">
        <v>281</v>
      </c>
      <c r="E109" s="35">
        <v>4</v>
      </c>
      <c r="F109" s="35" t="s">
        <v>270</v>
      </c>
      <c r="G109" s="35" t="s">
        <v>74</v>
      </c>
      <c r="H109" s="35" t="s">
        <v>75</v>
      </c>
      <c r="I109" s="35">
        <v>3</v>
      </c>
      <c r="J109" s="35"/>
      <c r="K109" s="26">
        <f t="shared" si="268"/>
        <v>1</v>
      </c>
      <c r="L109" s="26">
        <f t="shared" si="269"/>
        <v>1</v>
      </c>
      <c r="M109" s="33">
        <v>404930</v>
      </c>
      <c r="N109" s="33">
        <v>1115530</v>
      </c>
      <c r="O109" s="27">
        <f t="shared" si="270"/>
        <v>45000</v>
      </c>
      <c r="P109" s="30">
        <v>45000</v>
      </c>
      <c r="Q109" s="30">
        <v>49000</v>
      </c>
      <c r="R109" s="30">
        <v>27500</v>
      </c>
      <c r="S109" s="31">
        <v>8500</v>
      </c>
      <c r="T109" s="31">
        <v>0</v>
      </c>
      <c r="U109" s="31">
        <v>0</v>
      </c>
      <c r="V109" s="31">
        <v>0</v>
      </c>
      <c r="W109" s="30">
        <v>14000</v>
      </c>
      <c r="X109" s="31">
        <v>0</v>
      </c>
      <c r="Y109" s="31">
        <v>0</v>
      </c>
      <c r="Z109" s="30">
        <v>0</v>
      </c>
      <c r="AA109" s="31">
        <v>0</v>
      </c>
      <c r="AB109" s="30">
        <v>0</v>
      </c>
      <c r="AC109" s="30">
        <v>8000</v>
      </c>
      <c r="AD109" s="30">
        <v>0</v>
      </c>
      <c r="AE109" s="30">
        <v>8300</v>
      </c>
      <c r="AF109" s="30">
        <v>0</v>
      </c>
      <c r="AG109" s="30">
        <v>0</v>
      </c>
      <c r="AH109" s="30">
        <v>13300</v>
      </c>
      <c r="AI109" s="30">
        <v>0</v>
      </c>
      <c r="AJ109" s="30">
        <v>0</v>
      </c>
      <c r="AK109" s="30">
        <v>0</v>
      </c>
      <c r="AL109" s="30">
        <v>7200</v>
      </c>
      <c r="AM109" s="30">
        <v>5600</v>
      </c>
      <c r="AN109" s="31">
        <v>0</v>
      </c>
      <c r="AO109" s="30">
        <v>0</v>
      </c>
      <c r="AP109" s="31">
        <v>1300</v>
      </c>
      <c r="AQ109" s="31">
        <v>0</v>
      </c>
      <c r="AR109" s="31">
        <v>0</v>
      </c>
      <c r="AS109" s="31">
        <v>1900</v>
      </c>
      <c r="AT109" s="31">
        <v>0</v>
      </c>
      <c r="AU109" s="30">
        <v>21</v>
      </c>
      <c r="AW109" s="1"/>
      <c r="AX109" s="2">
        <f t="shared" si="271"/>
        <v>41448</v>
      </c>
      <c r="AY109" s="32">
        <f t="shared" si="289"/>
        <v>38064.489795918365</v>
      </c>
      <c r="AZ109" s="186">
        <f t="shared" si="290"/>
        <v>0.4601527392382683</v>
      </c>
      <c r="BA109" s="186">
        <f t="shared" si="291"/>
        <v>0.028831372934214082</v>
      </c>
      <c r="BB109" s="186">
        <f t="shared" si="292"/>
        <v>0.3346290793900253</v>
      </c>
      <c r="BC109" s="53">
        <f t="shared" si="272"/>
        <v>45000</v>
      </c>
      <c r="BD109" s="53">
        <f t="shared" si="189"/>
        <v>21266.632718776244</v>
      </c>
      <c r="BE109" s="53">
        <f t="shared" si="190"/>
        <v>1332.4841225219964</v>
      </c>
      <c r="BF109" s="53">
        <f t="shared" si="191"/>
        <v>15465.37295462013</v>
      </c>
      <c r="BG109" s="53"/>
      <c r="BH109" s="53">
        <f t="shared" si="273"/>
        <v>3</v>
      </c>
      <c r="BI109" s="53">
        <f t="shared" si="274"/>
        <v>4</v>
      </c>
      <c r="BJ109" s="53">
        <f t="shared" si="275"/>
        <v>3</v>
      </c>
      <c r="BK109" s="53">
        <f t="shared" si="276"/>
        <v>3</v>
      </c>
      <c r="BL109" s="53"/>
      <c r="BM109" s="53">
        <f t="shared" si="277"/>
        <v>2</v>
      </c>
      <c r="BN109" s="53">
        <f t="shared" si="278"/>
        <v>2</v>
      </c>
      <c r="BO109" s="53">
        <f t="shared" si="279"/>
        <v>2</v>
      </c>
      <c r="BP109" s="53">
        <f t="shared" si="280"/>
        <v>0</v>
      </c>
      <c r="BQ109" s="53"/>
      <c r="BR109" s="53">
        <f t="shared" si="281"/>
        <v>6.5</v>
      </c>
      <c r="BS109" s="53">
        <f t="shared" si="282"/>
        <v>34.2</v>
      </c>
      <c r="BT109" s="53">
        <f t="shared" si="283"/>
        <v>11</v>
      </c>
      <c r="BU109" s="53">
        <f t="shared" si="293"/>
        <v>24816</v>
      </c>
      <c r="BV109" s="53"/>
      <c r="BW109" s="53">
        <f t="shared" si="367"/>
        <v>15600</v>
      </c>
      <c r="BX109" s="53">
        <f t="shared" si="285"/>
        <v>-21036</v>
      </c>
      <c r="BY109" s="53">
        <f t="shared" si="294"/>
        <v>-18814.91095745311</v>
      </c>
      <c r="BZ109" s="240">
        <f t="shared" si="286"/>
        <v>5.791300000000001</v>
      </c>
      <c r="CC109" s="1">
        <f t="shared" si="295"/>
        <v>0</v>
      </c>
      <c r="CD109" s="195">
        <f t="shared" si="296"/>
        <v>2873.2</v>
      </c>
      <c r="CE109" s="195">
        <f t="shared" si="297"/>
        <v>2873.2</v>
      </c>
      <c r="CF109" s="239">
        <f t="shared" si="298"/>
        <v>1.45</v>
      </c>
      <c r="CG109" s="239">
        <f t="shared" si="298"/>
        <v>9.96</v>
      </c>
      <c r="CH109" s="1">
        <f t="shared" si="287"/>
        <v>4780.8</v>
      </c>
      <c r="CI109" s="1"/>
      <c r="CJ109" s="1"/>
      <c r="CK109" s="211">
        <f t="shared" si="299"/>
        <v>0</v>
      </c>
      <c r="CL109" s="211">
        <f t="shared" si="300"/>
        <v>0</v>
      </c>
      <c r="CM109" s="211">
        <f t="shared" si="301"/>
        <v>0</v>
      </c>
      <c r="CN109" s="1"/>
      <c r="CO109" s="1"/>
      <c r="CP109" s="1"/>
      <c r="CQ109" s="1">
        <f t="shared" si="288"/>
        <v>1</v>
      </c>
      <c r="CR109" s="195">
        <f t="shared" si="201"/>
        <v>10000</v>
      </c>
      <c r="CS109" s="195"/>
      <c r="CT109" s="195"/>
      <c r="CU109" s="1"/>
      <c r="CV109" s="199">
        <f t="shared" si="302"/>
        <v>24.892432324042506</v>
      </c>
      <c r="CW109" s="199">
        <f t="shared" si="303"/>
        <v>8.25827150591538</v>
      </c>
      <c r="CX109" s="199">
        <f t="shared" si="304"/>
        <v>16.73342690996591</v>
      </c>
      <c r="CY109" s="199">
        <f t="shared" si="305"/>
        <v>0</v>
      </c>
      <c r="CZ109" s="199">
        <f t="shared" si="306"/>
        <v>0</v>
      </c>
      <c r="DA109" s="199">
        <f t="shared" si="307"/>
        <v>0</v>
      </c>
      <c r="DB109" s="199">
        <f t="shared" si="308"/>
        <v>3.643649488670543</v>
      </c>
      <c r="DC109" s="199">
        <f t="shared" si="309"/>
        <v>0</v>
      </c>
      <c r="DD109" s="199">
        <f t="shared" si="310"/>
        <v>0</v>
      </c>
      <c r="DE109" s="199">
        <f t="shared" si="311"/>
        <v>0</v>
      </c>
      <c r="DF109" s="199">
        <f t="shared" si="312"/>
        <v>0</v>
      </c>
      <c r="DG109" s="199">
        <f t="shared" si="313"/>
        <v>0</v>
      </c>
      <c r="DH109" s="199">
        <f t="shared" si="314"/>
        <v>10.61062763184279</v>
      </c>
      <c r="DI109" s="199">
        <f t="shared" si="315"/>
        <v>0</v>
      </c>
      <c r="DJ109" s="199">
        <f t="shared" si="316"/>
        <v>1.1340859033487065</v>
      </c>
      <c r="DK109" s="199">
        <f t="shared" si="317"/>
        <v>0</v>
      </c>
      <c r="DL109" s="199">
        <f t="shared" si="318"/>
        <v>0</v>
      </c>
      <c r="DM109" s="199">
        <f t="shared" si="319"/>
        <v>1.8172701824744335</v>
      </c>
      <c r="DN109" s="199">
        <f t="shared" si="320"/>
        <v>0</v>
      </c>
      <c r="DO109" s="199">
        <f t="shared" si="321"/>
        <v>0</v>
      </c>
      <c r="DP109" s="199">
        <f t="shared" si="322"/>
        <v>0</v>
      </c>
      <c r="DQ109" s="199">
        <f t="shared" si="323"/>
        <v>0.9837853619410467</v>
      </c>
      <c r="DR109" s="199">
        <f t="shared" si="324"/>
        <v>0.8408421896932022</v>
      </c>
      <c r="DS109" s="199">
        <f t="shared" si="325"/>
        <v>0</v>
      </c>
      <c r="DT109" s="199">
        <f t="shared" si="326"/>
        <v>0</v>
      </c>
      <c r="DU109" s="199">
        <f t="shared" si="327"/>
        <v>0.0003795468217365149</v>
      </c>
      <c r="DV109" s="199">
        <f t="shared" si="328"/>
        <v>0</v>
      </c>
      <c r="DW109" s="199">
        <f t="shared" si="329"/>
        <v>0</v>
      </c>
      <c r="DX109" s="199">
        <f t="shared" si="330"/>
        <v>0.12298985361941045</v>
      </c>
      <c r="DY109" s="199">
        <f t="shared" si="331"/>
        <v>0</v>
      </c>
      <c r="DZ109" s="199">
        <f t="shared" si="332"/>
        <v>0.0013593615400040104</v>
      </c>
      <c r="EA109" s="199">
        <f t="shared" si="333"/>
        <v>22.09953903659719</v>
      </c>
      <c r="EB109" s="199">
        <f t="shared" si="334"/>
        <v>2.605296818912847</v>
      </c>
      <c r="EC109" s="202">
        <f t="shared" si="184"/>
        <v>93.7439561153857</v>
      </c>
      <c r="ED109" s="202">
        <f>SUM(CV109:DI109,DS109:DT109,DW109,DY109,EA109:EB109)</f>
        <v>88.84324371594717</v>
      </c>
      <c r="EE109" s="203">
        <f t="shared" si="235"/>
        <v>14.706477984725948</v>
      </c>
      <c r="EF109" s="199"/>
      <c r="EI109" s="1">
        <f t="shared" si="335"/>
        <v>0.18495710758393283</v>
      </c>
      <c r="EJ109" s="1">
        <f t="shared" si="336"/>
        <v>0.010606863429336002</v>
      </c>
      <c r="EK109" s="1">
        <f t="shared" si="337"/>
        <v>0.12505080147648</v>
      </c>
      <c r="EL109" s="1">
        <f t="shared" si="338"/>
        <v>0</v>
      </c>
      <c r="EM109" s="1">
        <f t="shared" si="339"/>
        <v>0</v>
      </c>
      <c r="EN109" s="1">
        <f t="shared" si="340"/>
        <v>0</v>
      </c>
      <c r="EO109" s="1">
        <f t="shared" si="341"/>
        <v>0.20522871634656004</v>
      </c>
      <c r="EP109" s="1">
        <f t="shared" si="342"/>
        <v>0</v>
      </c>
      <c r="EQ109" s="1">
        <f t="shared" si="343"/>
        <v>0</v>
      </c>
      <c r="ER109" s="1">
        <f t="shared" si="344"/>
        <v>0</v>
      </c>
      <c r="ES109" s="1">
        <f t="shared" si="345"/>
        <v>0</v>
      </c>
      <c r="ET109" s="1">
        <f t="shared" si="346"/>
        <v>0</v>
      </c>
      <c r="EU109" s="1">
        <f t="shared" si="347"/>
        <v>0.07346601658824001</v>
      </c>
      <c r="EV109" s="1">
        <f t="shared" si="348"/>
        <v>0</v>
      </c>
      <c r="EW109" s="1">
        <f t="shared" si="349"/>
        <v>0.059350736407200004</v>
      </c>
      <c r="EX109" s="1">
        <f t="shared" si="350"/>
        <v>0</v>
      </c>
      <c r="EY109" s="1">
        <f t="shared" si="351"/>
        <v>0</v>
      </c>
      <c r="EZ109" s="1">
        <f t="shared" si="352"/>
        <v>0.059350736407200004</v>
      </c>
      <c r="FA109" s="1">
        <f t="shared" si="353"/>
        <v>0</v>
      </c>
      <c r="FB109" s="1">
        <f t="shared" si="354"/>
        <v>0</v>
      </c>
      <c r="FC109" s="1">
        <f t="shared" si="355"/>
        <v>0</v>
      </c>
      <c r="FD109" s="1">
        <f t="shared" si="356"/>
        <v>0.059350736407200004</v>
      </c>
      <c r="FE109" s="1">
        <f t="shared" si="357"/>
        <v>0.059350736407200004</v>
      </c>
      <c r="FF109" s="1">
        <f t="shared" si="358"/>
        <v>0</v>
      </c>
      <c r="FG109" s="1">
        <f t="shared" si="359"/>
        <v>0</v>
      </c>
      <c r="FH109" s="1">
        <f t="shared" si="360"/>
        <v>0</v>
      </c>
      <c r="FI109" s="1">
        <f t="shared" si="361"/>
        <v>0</v>
      </c>
      <c r="FJ109" s="1">
        <f t="shared" si="362"/>
        <v>0</v>
      </c>
      <c r="FK109" s="1">
        <f t="shared" si="363"/>
        <v>0</v>
      </c>
      <c r="FL109" s="1">
        <f t="shared" si="364"/>
        <v>0</v>
      </c>
      <c r="FM109" s="1">
        <f t="shared" si="365"/>
        <v>0.0034234991863440005</v>
      </c>
      <c r="FN109" s="1">
        <f t="shared" si="366"/>
        <v>4.472293968912</v>
      </c>
      <c r="FO109" s="1">
        <f>IF(O109=0,0,SUM(EI109:FN109))</f>
        <v>5.312429919151693</v>
      </c>
    </row>
    <row r="110" spans="1:171" ht="12.75">
      <c r="A110" s="33">
        <v>137</v>
      </c>
      <c r="B110" s="34" t="s">
        <v>282</v>
      </c>
      <c r="C110" s="34" t="s">
        <v>283</v>
      </c>
      <c r="D110" s="35" t="s">
        <v>281</v>
      </c>
      <c r="E110" s="35">
        <v>4</v>
      </c>
      <c r="F110" s="35" t="s">
        <v>270</v>
      </c>
      <c r="G110" s="35" t="s">
        <v>74</v>
      </c>
      <c r="H110" s="35" t="s">
        <v>75</v>
      </c>
      <c r="I110" s="35">
        <v>3</v>
      </c>
      <c r="J110" s="35"/>
      <c r="K110" s="26">
        <f t="shared" si="268"/>
        <v>0</v>
      </c>
      <c r="L110" s="26">
        <f t="shared" si="269"/>
        <v>1</v>
      </c>
      <c r="M110" s="33">
        <v>405203</v>
      </c>
      <c r="N110" s="33">
        <v>1115440</v>
      </c>
      <c r="O110" s="27">
        <f t="shared" si="270"/>
        <v>10250</v>
      </c>
      <c r="P110" s="30">
        <v>10250</v>
      </c>
      <c r="Q110" s="30">
        <v>11000</v>
      </c>
      <c r="R110" s="30">
        <v>5000</v>
      </c>
      <c r="S110" s="31">
        <v>0</v>
      </c>
      <c r="T110" s="31">
        <v>0</v>
      </c>
      <c r="U110" s="31">
        <v>0</v>
      </c>
      <c r="V110" s="31">
        <v>0</v>
      </c>
      <c r="W110" s="30">
        <v>0</v>
      </c>
      <c r="X110" s="31">
        <v>0</v>
      </c>
      <c r="Y110" s="31">
        <v>0</v>
      </c>
      <c r="Z110" s="30">
        <v>0</v>
      </c>
      <c r="AA110" s="31">
        <v>0</v>
      </c>
      <c r="AB110" s="30">
        <v>0</v>
      </c>
      <c r="AC110" s="30">
        <v>2200</v>
      </c>
      <c r="AD110" s="30">
        <v>0</v>
      </c>
      <c r="AE110" s="30">
        <v>2200</v>
      </c>
      <c r="AF110" s="30">
        <v>0</v>
      </c>
      <c r="AG110" s="30">
        <v>0</v>
      </c>
      <c r="AH110" s="30">
        <v>4000</v>
      </c>
      <c r="AI110" s="30">
        <v>0</v>
      </c>
      <c r="AJ110" s="30">
        <v>0</v>
      </c>
      <c r="AK110" s="30">
        <v>0</v>
      </c>
      <c r="AL110" s="30">
        <v>0</v>
      </c>
      <c r="AM110" s="30">
        <v>0</v>
      </c>
      <c r="AN110" s="31">
        <v>0</v>
      </c>
      <c r="AO110" s="30">
        <v>1500</v>
      </c>
      <c r="AP110" s="31">
        <v>0</v>
      </c>
      <c r="AQ110" s="31">
        <v>0</v>
      </c>
      <c r="AR110" s="31">
        <v>0</v>
      </c>
      <c r="AS110" s="31">
        <v>0</v>
      </c>
      <c r="AT110" s="31">
        <v>1</v>
      </c>
      <c r="AU110" s="30">
        <v>0</v>
      </c>
      <c r="AX110" s="2">
        <f t="shared" si="271"/>
        <v>8360</v>
      </c>
      <c r="AY110" s="32">
        <f t="shared" si="289"/>
        <v>7790</v>
      </c>
      <c r="AZ110" s="186">
        <f t="shared" si="290"/>
        <v>0.4601527392382683</v>
      </c>
      <c r="BA110" s="186">
        <f t="shared" si="291"/>
        <v>0.028831372934214082</v>
      </c>
      <c r="BB110" s="186">
        <f t="shared" si="292"/>
        <v>0.3346290793900253</v>
      </c>
      <c r="BC110" s="53">
        <f t="shared" si="272"/>
        <v>10250</v>
      </c>
      <c r="BD110" s="53">
        <f t="shared" si="189"/>
        <v>4352.273464519976</v>
      </c>
      <c r="BE110" s="53">
        <f t="shared" si="190"/>
        <v>272.6964519976148</v>
      </c>
      <c r="BF110" s="53">
        <f t="shared" si="191"/>
        <v>3165.030083482409</v>
      </c>
      <c r="BG110" s="53"/>
      <c r="BH110" s="53">
        <f t="shared" si="273"/>
        <v>2</v>
      </c>
      <c r="BI110" s="53">
        <f t="shared" si="274"/>
        <v>3</v>
      </c>
      <c r="BJ110" s="53">
        <f t="shared" si="275"/>
        <v>3</v>
      </c>
      <c r="BK110" s="53">
        <f t="shared" si="276"/>
        <v>2</v>
      </c>
      <c r="BL110" s="53"/>
      <c r="BM110" s="53">
        <f t="shared" si="277"/>
        <v>1</v>
      </c>
      <c r="BN110" s="53">
        <f t="shared" si="278"/>
        <v>2</v>
      </c>
      <c r="BO110" s="53">
        <f t="shared" si="279"/>
        <v>2</v>
      </c>
      <c r="BP110" s="53">
        <f t="shared" si="280"/>
        <v>0</v>
      </c>
      <c r="BQ110" s="53"/>
      <c r="BR110" s="53">
        <f t="shared" si="281"/>
        <v>3.25</v>
      </c>
      <c r="BS110" s="53">
        <f t="shared" si="282"/>
        <v>34.2</v>
      </c>
      <c r="BT110" s="53">
        <f t="shared" si="283"/>
        <v>11</v>
      </c>
      <c r="BU110" s="53">
        <f t="shared" si="293"/>
        <v>23256</v>
      </c>
      <c r="BV110" s="53"/>
      <c r="BW110" s="53">
        <f t="shared" si="367"/>
        <v>13000</v>
      </c>
      <c r="BX110" s="53">
        <f t="shared" si="285"/>
        <v>-20106</v>
      </c>
      <c r="BY110" s="53">
        <f t="shared" si="294"/>
        <v>-18255.092464544257</v>
      </c>
      <c r="BZ110" s="240">
        <f t="shared" si="286"/>
        <v>5.5020500000000006</v>
      </c>
      <c r="CC110" s="1">
        <f t="shared" si="295"/>
        <v>0</v>
      </c>
      <c r="CD110" s="195">
        <f t="shared" si="296"/>
        <v>2873.2</v>
      </c>
      <c r="CE110" s="195">
        <f t="shared" si="297"/>
        <v>2873.2</v>
      </c>
      <c r="CF110" s="239">
        <f t="shared" si="298"/>
        <v>1.45</v>
      </c>
      <c r="CG110" s="239">
        <f t="shared" si="298"/>
        <v>9.96</v>
      </c>
      <c r="CH110" s="1">
        <f t="shared" si="287"/>
        <v>4780.8</v>
      </c>
      <c r="CK110" s="211">
        <f t="shared" si="299"/>
        <v>0</v>
      </c>
      <c r="CL110" s="211">
        <f t="shared" si="300"/>
        <v>0</v>
      </c>
      <c r="CM110" s="211">
        <f t="shared" si="301"/>
        <v>0</v>
      </c>
      <c r="CQ110" s="1">
        <f t="shared" si="288"/>
        <v>0</v>
      </c>
      <c r="CR110" s="195">
        <f t="shared" si="201"/>
        <v>0</v>
      </c>
      <c r="CS110" s="195"/>
      <c r="CT110" s="195"/>
      <c r="CV110" s="199">
        <f t="shared" si="302"/>
        <v>5.588097052336074</v>
      </c>
      <c r="CW110" s="199">
        <f t="shared" si="303"/>
        <v>1.5015039101664327</v>
      </c>
      <c r="CX110" s="199">
        <f t="shared" si="304"/>
        <v>0</v>
      </c>
      <c r="CY110" s="199">
        <f t="shared" si="305"/>
        <v>0</v>
      </c>
      <c r="CZ110" s="199">
        <f t="shared" si="306"/>
        <v>0</v>
      </c>
      <c r="DA110" s="199">
        <f t="shared" si="307"/>
        <v>0</v>
      </c>
      <c r="DB110" s="199">
        <f t="shared" si="308"/>
        <v>0</v>
      </c>
      <c r="DC110" s="199">
        <f t="shared" si="309"/>
        <v>0</v>
      </c>
      <c r="DD110" s="199">
        <f t="shared" si="310"/>
        <v>0</v>
      </c>
      <c r="DE110" s="199">
        <f t="shared" si="311"/>
        <v>0</v>
      </c>
      <c r="DF110" s="199">
        <f t="shared" si="312"/>
        <v>0</v>
      </c>
      <c r="DG110" s="199">
        <f t="shared" si="313"/>
        <v>0</v>
      </c>
      <c r="DH110" s="199">
        <f t="shared" si="314"/>
        <v>2.917922598756767</v>
      </c>
      <c r="DI110" s="199">
        <f t="shared" si="315"/>
        <v>0</v>
      </c>
      <c r="DJ110" s="199">
        <f t="shared" si="316"/>
        <v>0.30060108281531983</v>
      </c>
      <c r="DK110" s="199">
        <f t="shared" si="317"/>
        <v>0</v>
      </c>
      <c r="DL110" s="199">
        <f t="shared" si="318"/>
        <v>0</v>
      </c>
      <c r="DM110" s="199">
        <f t="shared" si="319"/>
        <v>0.5465474233005814</v>
      </c>
      <c r="DN110" s="199">
        <f t="shared" si="320"/>
        <v>0</v>
      </c>
      <c r="DO110" s="199">
        <f t="shared" si="321"/>
        <v>0</v>
      </c>
      <c r="DP110" s="199">
        <f t="shared" si="322"/>
        <v>0</v>
      </c>
      <c r="DQ110" s="199">
        <f t="shared" si="323"/>
        <v>0</v>
      </c>
      <c r="DR110" s="199">
        <f t="shared" si="324"/>
        <v>0</v>
      </c>
      <c r="DS110" s="199">
        <f t="shared" si="325"/>
        <v>0</v>
      </c>
      <c r="DT110" s="199">
        <f t="shared" si="326"/>
        <v>4.304311209143774</v>
      </c>
      <c r="DU110" s="199">
        <f t="shared" si="327"/>
        <v>0</v>
      </c>
      <c r="DV110" s="199">
        <f t="shared" si="328"/>
        <v>0</v>
      </c>
      <c r="DW110" s="199">
        <f t="shared" si="329"/>
        <v>0</v>
      </c>
      <c r="DX110" s="199">
        <f t="shared" si="330"/>
        <v>0</v>
      </c>
      <c r="DY110" s="199">
        <f t="shared" si="331"/>
        <v>0.041374774413475035</v>
      </c>
      <c r="DZ110" s="199">
        <f t="shared" si="332"/>
        <v>0</v>
      </c>
      <c r="EA110" s="199">
        <f t="shared" si="333"/>
        <v>4.52272997794265</v>
      </c>
      <c r="EB110" s="199">
        <f t="shared" si="334"/>
        <v>0.5658200601564067</v>
      </c>
      <c r="EC110" s="202">
        <f t="shared" si="184"/>
        <v>20.28890808903148</v>
      </c>
      <c r="ED110" s="202">
        <f>SUM(CV110:DI110,DS110:DT110,DW110,DY110,EA110:EB110)</f>
        <v>19.44175958291558</v>
      </c>
      <c r="EE110" s="203">
        <f t="shared" si="235"/>
        <v>3.218250452500765</v>
      </c>
      <c r="EF110" s="199"/>
      <c r="EI110" s="1">
        <f t="shared" si="335"/>
        <v>0.18495710758393283</v>
      </c>
      <c r="EJ110" s="1">
        <f t="shared" si="336"/>
        <v>0.002442336444552</v>
      </c>
      <c r="EK110" s="1">
        <f t="shared" si="337"/>
        <v>0</v>
      </c>
      <c r="EL110" s="1">
        <f t="shared" si="338"/>
        <v>0</v>
      </c>
      <c r="EM110" s="1">
        <f t="shared" si="339"/>
        <v>0</v>
      </c>
      <c r="EN110" s="1">
        <f t="shared" si="340"/>
        <v>0</v>
      </c>
      <c r="EO110" s="1">
        <f t="shared" si="341"/>
        <v>0</v>
      </c>
      <c r="EP110" s="1">
        <f t="shared" si="342"/>
        <v>0</v>
      </c>
      <c r="EQ110" s="1">
        <f t="shared" si="343"/>
        <v>0</v>
      </c>
      <c r="ER110" s="1">
        <f t="shared" si="344"/>
        <v>0</v>
      </c>
      <c r="ES110" s="1">
        <f t="shared" si="345"/>
        <v>0</v>
      </c>
      <c r="ET110" s="1">
        <f t="shared" si="346"/>
        <v>0</v>
      </c>
      <c r="EU110" s="1">
        <f t="shared" si="347"/>
        <v>0.07346601658824001</v>
      </c>
      <c r="EV110" s="1">
        <f t="shared" si="348"/>
        <v>0</v>
      </c>
      <c r="EW110" s="1">
        <f t="shared" si="349"/>
        <v>0.059350736407200004</v>
      </c>
      <c r="EX110" s="1">
        <f t="shared" si="350"/>
        <v>0</v>
      </c>
      <c r="EY110" s="1">
        <f t="shared" si="351"/>
        <v>0</v>
      </c>
      <c r="EZ110" s="1">
        <f t="shared" si="352"/>
        <v>0.059350736407200004</v>
      </c>
      <c r="FA110" s="1">
        <f t="shared" si="353"/>
        <v>0</v>
      </c>
      <c r="FB110" s="1">
        <f t="shared" si="354"/>
        <v>0</v>
      </c>
      <c r="FC110" s="1">
        <f t="shared" si="355"/>
        <v>0</v>
      </c>
      <c r="FD110" s="1">
        <f t="shared" si="356"/>
        <v>0</v>
      </c>
      <c r="FE110" s="1">
        <f t="shared" si="357"/>
        <v>0</v>
      </c>
      <c r="FF110" s="1">
        <f t="shared" si="358"/>
        <v>0</v>
      </c>
      <c r="FG110" s="1">
        <f t="shared" si="359"/>
        <v>0.059350736407200004</v>
      </c>
      <c r="FH110" s="1">
        <f t="shared" si="360"/>
        <v>0</v>
      </c>
      <c r="FI110" s="1">
        <f t="shared" si="361"/>
        <v>0</v>
      </c>
      <c r="FJ110" s="1">
        <f t="shared" si="362"/>
        <v>0</v>
      </c>
      <c r="FK110" s="1">
        <f t="shared" si="363"/>
        <v>0</v>
      </c>
      <c r="FL110" s="1">
        <f t="shared" si="364"/>
        <v>4.300268812675172</v>
      </c>
      <c r="FM110" s="1">
        <f t="shared" si="365"/>
        <v>0</v>
      </c>
      <c r="FN110" s="1">
        <f t="shared" si="366"/>
        <v>4.472293968912</v>
      </c>
      <c r="FO110" s="1">
        <f>IF(O110=0,0,SUM(EI110:FN110))</f>
        <v>9.211480451425498</v>
      </c>
    </row>
    <row r="111" spans="1:171" s="45" customFormat="1" ht="12.75">
      <c r="A111" s="33">
        <v>138</v>
      </c>
      <c r="B111" s="34" t="s">
        <v>284</v>
      </c>
      <c r="C111" s="34" t="s">
        <v>280</v>
      </c>
      <c r="D111" s="35" t="s">
        <v>281</v>
      </c>
      <c r="E111" s="35">
        <v>4</v>
      </c>
      <c r="F111" s="35" t="s">
        <v>270</v>
      </c>
      <c r="G111" s="35" t="s">
        <v>74</v>
      </c>
      <c r="H111" s="35" t="s">
        <v>75</v>
      </c>
      <c r="I111" s="35">
        <v>3</v>
      </c>
      <c r="J111" s="35"/>
      <c r="K111" s="26">
        <f t="shared" si="268"/>
        <v>1</v>
      </c>
      <c r="L111" s="26">
        <f t="shared" si="269"/>
        <v>1</v>
      </c>
      <c r="M111" s="33">
        <v>405200</v>
      </c>
      <c r="N111" s="33">
        <v>1115420</v>
      </c>
      <c r="O111" s="27">
        <f t="shared" si="270"/>
        <v>29400</v>
      </c>
      <c r="P111" s="30">
        <v>29400</v>
      </c>
      <c r="Q111" s="30">
        <v>30000</v>
      </c>
      <c r="R111" s="30">
        <v>5000</v>
      </c>
      <c r="S111" s="31">
        <v>0</v>
      </c>
      <c r="T111" s="31">
        <v>0</v>
      </c>
      <c r="U111" s="31">
        <v>0</v>
      </c>
      <c r="V111" s="31">
        <v>0</v>
      </c>
      <c r="W111" s="30">
        <v>11000</v>
      </c>
      <c r="X111" s="31">
        <v>0</v>
      </c>
      <c r="Y111" s="31">
        <v>0</v>
      </c>
      <c r="Z111" s="30">
        <v>0</v>
      </c>
      <c r="AA111" s="31">
        <v>0</v>
      </c>
      <c r="AB111" s="30">
        <v>0</v>
      </c>
      <c r="AC111" s="30">
        <v>7300</v>
      </c>
      <c r="AD111" s="30">
        <v>0</v>
      </c>
      <c r="AE111" s="30">
        <v>8900</v>
      </c>
      <c r="AF111" s="30">
        <v>0</v>
      </c>
      <c r="AG111" s="30">
        <v>0</v>
      </c>
      <c r="AH111" s="30">
        <v>9500</v>
      </c>
      <c r="AI111" s="30">
        <v>0</v>
      </c>
      <c r="AJ111" s="30">
        <v>0</v>
      </c>
      <c r="AK111" s="30">
        <v>0</v>
      </c>
      <c r="AL111" s="30">
        <v>0</v>
      </c>
      <c r="AM111" s="30">
        <v>2200</v>
      </c>
      <c r="AN111" s="31">
        <v>0</v>
      </c>
      <c r="AO111" s="30">
        <v>0</v>
      </c>
      <c r="AP111" s="31">
        <v>1900</v>
      </c>
      <c r="AQ111" s="31">
        <v>1700</v>
      </c>
      <c r="AR111" s="31">
        <v>0</v>
      </c>
      <c r="AS111" s="31">
        <v>0</v>
      </c>
      <c r="AT111" s="31">
        <v>0</v>
      </c>
      <c r="AU111" s="30">
        <v>4</v>
      </c>
      <c r="AW111" s="1"/>
      <c r="AX111" s="2">
        <f t="shared" si="271"/>
        <v>26400</v>
      </c>
      <c r="AY111" s="32">
        <f t="shared" si="289"/>
        <v>25872</v>
      </c>
      <c r="AZ111" s="186">
        <f t="shared" si="290"/>
        <v>0.4601527392382683</v>
      </c>
      <c r="BA111" s="186">
        <f t="shared" si="291"/>
        <v>0.028831372934214082</v>
      </c>
      <c r="BB111" s="186">
        <f t="shared" si="292"/>
        <v>0.3346290793900253</v>
      </c>
      <c r="BC111" s="53">
        <f t="shared" si="272"/>
        <v>29400</v>
      </c>
      <c r="BD111" s="53">
        <f t="shared" si="189"/>
        <v>14454.687942754921</v>
      </c>
      <c r="BE111" s="53">
        <f t="shared" si="190"/>
        <v>905.6742754919499</v>
      </c>
      <c r="BF111" s="53">
        <f t="shared" si="191"/>
        <v>10511.637781753132</v>
      </c>
      <c r="BG111" s="53"/>
      <c r="BH111" s="53">
        <f t="shared" si="273"/>
        <v>2</v>
      </c>
      <c r="BI111" s="53">
        <f t="shared" si="274"/>
        <v>3</v>
      </c>
      <c r="BJ111" s="53">
        <f t="shared" si="275"/>
        <v>3</v>
      </c>
      <c r="BK111" s="53">
        <f t="shared" si="276"/>
        <v>2</v>
      </c>
      <c r="BL111" s="53"/>
      <c r="BM111" s="53">
        <f t="shared" si="277"/>
        <v>1</v>
      </c>
      <c r="BN111" s="53">
        <f t="shared" si="278"/>
        <v>2</v>
      </c>
      <c r="BO111" s="53">
        <f t="shared" si="279"/>
        <v>2</v>
      </c>
      <c r="BP111" s="53">
        <f t="shared" si="280"/>
        <v>0</v>
      </c>
      <c r="BQ111" s="53"/>
      <c r="BR111" s="53">
        <f t="shared" si="281"/>
        <v>3.25</v>
      </c>
      <c r="BS111" s="53">
        <f t="shared" si="282"/>
        <v>34.2</v>
      </c>
      <c r="BT111" s="53">
        <f t="shared" si="283"/>
        <v>11</v>
      </c>
      <c r="BU111" s="53">
        <f t="shared" si="293"/>
        <v>23256</v>
      </c>
      <c r="BV111" s="53"/>
      <c r="BW111" s="53">
        <f t="shared" si="367"/>
        <v>13000</v>
      </c>
      <c r="BX111" s="53">
        <f t="shared" si="285"/>
        <v>-20106</v>
      </c>
      <c r="BY111" s="53">
        <f t="shared" si="294"/>
        <v>-18255.092464544257</v>
      </c>
      <c r="BZ111" s="240">
        <f t="shared" si="286"/>
        <v>5.5020500000000006</v>
      </c>
      <c r="CC111" s="1">
        <f t="shared" si="295"/>
        <v>0</v>
      </c>
      <c r="CD111" s="195">
        <f t="shared" si="296"/>
        <v>2873.2</v>
      </c>
      <c r="CE111" s="195">
        <f t="shared" si="297"/>
        <v>2873.2</v>
      </c>
      <c r="CF111" s="239">
        <f t="shared" si="298"/>
        <v>1.45</v>
      </c>
      <c r="CG111" s="239">
        <f t="shared" si="298"/>
        <v>9.96</v>
      </c>
      <c r="CH111" s="1">
        <f t="shared" si="287"/>
        <v>4780.8</v>
      </c>
      <c r="CI111" s="1"/>
      <c r="CJ111" s="1"/>
      <c r="CK111" s="211">
        <f t="shared" si="299"/>
        <v>0</v>
      </c>
      <c r="CL111" s="211">
        <f t="shared" si="300"/>
        <v>0</v>
      </c>
      <c r="CM111" s="211">
        <f t="shared" si="301"/>
        <v>0</v>
      </c>
      <c r="CN111" s="1"/>
      <c r="CO111" s="1"/>
      <c r="CP111" s="1"/>
      <c r="CQ111" s="1">
        <f t="shared" si="288"/>
        <v>0</v>
      </c>
      <c r="CR111" s="195">
        <f t="shared" si="201"/>
        <v>0</v>
      </c>
      <c r="CS111" s="195"/>
      <c r="CT111" s="195"/>
      <c r="CU111" s="1"/>
      <c r="CV111" s="199">
        <f t="shared" si="302"/>
        <v>15.24026468818929</v>
      </c>
      <c r="CW111" s="199">
        <f t="shared" si="303"/>
        <v>1.5015039101664327</v>
      </c>
      <c r="CX111" s="199">
        <f t="shared" si="304"/>
        <v>0</v>
      </c>
      <c r="CY111" s="199">
        <f t="shared" si="305"/>
        <v>0</v>
      </c>
      <c r="CZ111" s="199">
        <f t="shared" si="306"/>
        <v>0</v>
      </c>
      <c r="DA111" s="199">
        <f t="shared" si="307"/>
        <v>0</v>
      </c>
      <c r="DB111" s="199">
        <f t="shared" si="308"/>
        <v>2.8628674553839986</v>
      </c>
      <c r="DC111" s="199">
        <f t="shared" si="309"/>
        <v>0</v>
      </c>
      <c r="DD111" s="199">
        <f t="shared" si="310"/>
        <v>0</v>
      </c>
      <c r="DE111" s="199">
        <f t="shared" si="311"/>
        <v>0</v>
      </c>
      <c r="DF111" s="199">
        <f t="shared" si="312"/>
        <v>0</v>
      </c>
      <c r="DG111" s="199">
        <f t="shared" si="313"/>
        <v>0</v>
      </c>
      <c r="DH111" s="199">
        <f t="shared" si="314"/>
        <v>9.682197714056546</v>
      </c>
      <c r="DI111" s="199">
        <f t="shared" si="315"/>
        <v>0</v>
      </c>
      <c r="DJ111" s="199">
        <f t="shared" si="316"/>
        <v>1.2160680168437936</v>
      </c>
      <c r="DK111" s="199">
        <f t="shared" si="317"/>
        <v>0</v>
      </c>
      <c r="DL111" s="199">
        <f t="shared" si="318"/>
        <v>0</v>
      </c>
      <c r="DM111" s="199">
        <f t="shared" si="319"/>
        <v>1.298050130338881</v>
      </c>
      <c r="DN111" s="199">
        <f t="shared" si="320"/>
        <v>0</v>
      </c>
      <c r="DO111" s="199">
        <f t="shared" si="321"/>
        <v>0</v>
      </c>
      <c r="DP111" s="199">
        <f t="shared" si="322"/>
        <v>0</v>
      </c>
      <c r="DQ111" s="199">
        <f t="shared" si="323"/>
        <v>0</v>
      </c>
      <c r="DR111" s="199">
        <f t="shared" si="324"/>
        <v>0.3303308602366152</v>
      </c>
      <c r="DS111" s="199">
        <f t="shared" si="325"/>
        <v>0</v>
      </c>
      <c r="DT111" s="199">
        <f t="shared" si="326"/>
        <v>0</v>
      </c>
      <c r="DU111" s="199">
        <f t="shared" si="327"/>
        <v>0.0005547222779225987</v>
      </c>
      <c r="DV111" s="199">
        <f t="shared" si="328"/>
        <v>0.0004963304591939042</v>
      </c>
      <c r="DW111" s="199">
        <f t="shared" si="329"/>
        <v>0</v>
      </c>
      <c r="DX111" s="199">
        <f t="shared" si="330"/>
        <v>0</v>
      </c>
      <c r="DY111" s="199">
        <f t="shared" si="331"/>
        <v>0</v>
      </c>
      <c r="DZ111" s="199">
        <f t="shared" si="332"/>
        <v>0.00025892600761981145</v>
      </c>
      <c r="EA111" s="199">
        <f t="shared" si="333"/>
        <v>15.020804876679366</v>
      </c>
      <c r="EB111" s="199">
        <f t="shared" si="334"/>
        <v>1.733592370563465</v>
      </c>
      <c r="EC111" s="202">
        <f t="shared" si="184"/>
        <v>48.88699000120312</v>
      </c>
      <c r="ED111" s="202">
        <f>SUM(CV111:DI111,DS111:DT111,DW111,DY111,EA111:EB111)</f>
        <v>46.041231015039095</v>
      </c>
      <c r="EE111" s="203">
        <f t="shared" si="235"/>
        <v>7.621337560312594</v>
      </c>
      <c r="EF111" s="199"/>
      <c r="EI111" s="1">
        <f t="shared" si="335"/>
        <v>0.18495710758393283</v>
      </c>
      <c r="EJ111" s="1">
        <f t="shared" si="336"/>
        <v>0.002442336444552</v>
      </c>
      <c r="EK111" s="1">
        <f t="shared" si="337"/>
        <v>0</v>
      </c>
      <c r="EL111" s="1">
        <f t="shared" si="338"/>
        <v>0</v>
      </c>
      <c r="EM111" s="1">
        <f t="shared" si="339"/>
        <v>0</v>
      </c>
      <c r="EN111" s="1">
        <f t="shared" si="340"/>
        <v>0</v>
      </c>
      <c r="EO111" s="1">
        <f t="shared" si="341"/>
        <v>0.20522871634656004</v>
      </c>
      <c r="EP111" s="1">
        <f t="shared" si="342"/>
        <v>0</v>
      </c>
      <c r="EQ111" s="1">
        <f t="shared" si="343"/>
        <v>0</v>
      </c>
      <c r="ER111" s="1">
        <f t="shared" si="344"/>
        <v>0</v>
      </c>
      <c r="ES111" s="1">
        <f t="shared" si="345"/>
        <v>0</v>
      </c>
      <c r="ET111" s="1">
        <f t="shared" si="346"/>
        <v>0</v>
      </c>
      <c r="EU111" s="1">
        <f t="shared" si="347"/>
        <v>0.07346601658824001</v>
      </c>
      <c r="EV111" s="1">
        <f t="shared" si="348"/>
        <v>0</v>
      </c>
      <c r="EW111" s="1">
        <f t="shared" si="349"/>
        <v>0.059350736407200004</v>
      </c>
      <c r="EX111" s="1">
        <f t="shared" si="350"/>
        <v>0</v>
      </c>
      <c r="EY111" s="1">
        <f t="shared" si="351"/>
        <v>0</v>
      </c>
      <c r="EZ111" s="1">
        <f t="shared" si="352"/>
        <v>0.059350736407200004</v>
      </c>
      <c r="FA111" s="1">
        <f t="shared" si="353"/>
        <v>0</v>
      </c>
      <c r="FB111" s="1">
        <f t="shared" si="354"/>
        <v>0</v>
      </c>
      <c r="FC111" s="1">
        <f t="shared" si="355"/>
        <v>0</v>
      </c>
      <c r="FD111" s="1">
        <f t="shared" si="356"/>
        <v>0</v>
      </c>
      <c r="FE111" s="1">
        <f t="shared" si="357"/>
        <v>0.059350736407200004</v>
      </c>
      <c r="FF111" s="1">
        <f t="shared" si="358"/>
        <v>0</v>
      </c>
      <c r="FG111" s="1">
        <f t="shared" si="359"/>
        <v>0</v>
      </c>
      <c r="FH111" s="1">
        <f t="shared" si="360"/>
        <v>0</v>
      </c>
      <c r="FI111" s="1">
        <f t="shared" si="361"/>
        <v>0</v>
      </c>
      <c r="FJ111" s="1">
        <f t="shared" si="362"/>
        <v>0</v>
      </c>
      <c r="FK111" s="1">
        <f t="shared" si="363"/>
        <v>0</v>
      </c>
      <c r="FL111" s="1">
        <f t="shared" si="364"/>
        <v>0</v>
      </c>
      <c r="FM111" s="1">
        <f t="shared" si="365"/>
        <v>0.0034234991863440005</v>
      </c>
      <c r="FN111" s="1">
        <f t="shared" si="366"/>
        <v>4.472293968912</v>
      </c>
      <c r="FO111" s="1">
        <f>IF(O111=0,0,SUM(EI111:FN111))</f>
        <v>5.119863854283229</v>
      </c>
    </row>
    <row r="112" spans="1:171" s="45" customFormat="1" ht="12.75">
      <c r="A112" s="33">
        <v>139</v>
      </c>
      <c r="B112" s="34" t="s">
        <v>285</v>
      </c>
      <c r="C112" s="34" t="s">
        <v>283</v>
      </c>
      <c r="D112" s="35" t="s">
        <v>281</v>
      </c>
      <c r="E112" s="35">
        <v>4</v>
      </c>
      <c r="F112" s="35" t="s">
        <v>270</v>
      </c>
      <c r="G112" s="35" t="s">
        <v>74</v>
      </c>
      <c r="H112" s="35" t="s">
        <v>75</v>
      </c>
      <c r="I112" s="35">
        <v>3</v>
      </c>
      <c r="J112" s="35"/>
      <c r="K112" s="26">
        <f t="shared" si="268"/>
        <v>1</v>
      </c>
      <c r="L112" s="26">
        <f t="shared" si="269"/>
        <v>1</v>
      </c>
      <c r="M112" s="33">
        <v>405300</v>
      </c>
      <c r="N112" s="33">
        <v>1115400</v>
      </c>
      <c r="O112" s="27">
        <f t="shared" si="270"/>
        <v>24700</v>
      </c>
      <c r="P112" s="30">
        <v>24700</v>
      </c>
      <c r="Q112" s="30">
        <v>26000</v>
      </c>
      <c r="R112" s="30">
        <v>5500</v>
      </c>
      <c r="S112" s="31">
        <v>0</v>
      </c>
      <c r="T112" s="31">
        <v>0</v>
      </c>
      <c r="U112" s="31">
        <v>0</v>
      </c>
      <c r="V112" s="31">
        <v>0</v>
      </c>
      <c r="W112" s="30">
        <v>8900</v>
      </c>
      <c r="X112" s="31">
        <v>0</v>
      </c>
      <c r="Y112" s="31">
        <v>0</v>
      </c>
      <c r="Z112" s="30">
        <v>0</v>
      </c>
      <c r="AA112" s="31">
        <v>0</v>
      </c>
      <c r="AB112" s="30">
        <v>0</v>
      </c>
      <c r="AC112" s="30">
        <v>7700</v>
      </c>
      <c r="AD112" s="30">
        <v>5040</v>
      </c>
      <c r="AE112" s="30">
        <v>12600</v>
      </c>
      <c r="AF112" s="30">
        <v>0</v>
      </c>
      <c r="AG112" s="30">
        <v>0</v>
      </c>
      <c r="AH112" s="30">
        <v>0</v>
      </c>
      <c r="AI112" s="30">
        <v>1900</v>
      </c>
      <c r="AJ112" s="30">
        <v>0</v>
      </c>
      <c r="AK112" s="30">
        <v>0</v>
      </c>
      <c r="AL112" s="30">
        <v>0</v>
      </c>
      <c r="AM112" s="30">
        <v>2200</v>
      </c>
      <c r="AN112" s="31">
        <v>0</v>
      </c>
      <c r="AO112" s="30">
        <v>1800</v>
      </c>
      <c r="AP112" s="31">
        <v>0</v>
      </c>
      <c r="AQ112" s="31">
        <v>3000</v>
      </c>
      <c r="AR112" s="31">
        <v>0</v>
      </c>
      <c r="AS112" s="31">
        <v>0</v>
      </c>
      <c r="AT112" s="31">
        <v>0</v>
      </c>
      <c r="AU112" s="30">
        <v>10</v>
      </c>
      <c r="AW112" s="1"/>
      <c r="AX112" s="2">
        <f t="shared" si="271"/>
        <v>21296</v>
      </c>
      <c r="AY112" s="32">
        <f t="shared" si="289"/>
        <v>20231.2</v>
      </c>
      <c r="AZ112" s="186">
        <f t="shared" si="290"/>
        <v>0.4601527392382683</v>
      </c>
      <c r="BA112" s="186">
        <f t="shared" si="291"/>
        <v>0.028831372934214082</v>
      </c>
      <c r="BB112" s="186">
        <f t="shared" si="292"/>
        <v>0.3346290793900253</v>
      </c>
      <c r="BC112" s="53">
        <f t="shared" si="272"/>
        <v>24700</v>
      </c>
      <c r="BD112" s="53">
        <f t="shared" si="189"/>
        <v>11303.172646392368</v>
      </c>
      <c r="BE112" s="53">
        <f t="shared" si="190"/>
        <v>708.2126392367322</v>
      </c>
      <c r="BF112" s="53">
        <f t="shared" si="191"/>
        <v>8219.814714370901</v>
      </c>
      <c r="BG112" s="53"/>
      <c r="BH112" s="53">
        <f t="shared" si="273"/>
        <v>2</v>
      </c>
      <c r="BI112" s="53">
        <f t="shared" si="274"/>
        <v>3</v>
      </c>
      <c r="BJ112" s="53">
        <f t="shared" si="275"/>
        <v>3</v>
      </c>
      <c r="BK112" s="53">
        <f t="shared" si="276"/>
        <v>2</v>
      </c>
      <c r="BL112" s="53"/>
      <c r="BM112" s="53">
        <f t="shared" si="277"/>
        <v>1</v>
      </c>
      <c r="BN112" s="53">
        <f t="shared" si="278"/>
        <v>2</v>
      </c>
      <c r="BO112" s="53">
        <f t="shared" si="279"/>
        <v>2</v>
      </c>
      <c r="BP112" s="53">
        <f t="shared" si="280"/>
        <v>0</v>
      </c>
      <c r="BQ112" s="53"/>
      <c r="BR112" s="53">
        <f t="shared" si="281"/>
        <v>3.25</v>
      </c>
      <c r="BS112" s="53">
        <f t="shared" si="282"/>
        <v>34.2</v>
      </c>
      <c r="BT112" s="53">
        <f t="shared" si="283"/>
        <v>11</v>
      </c>
      <c r="BU112" s="53">
        <f t="shared" si="293"/>
        <v>23256</v>
      </c>
      <c r="BV112" s="53"/>
      <c r="BW112" s="53">
        <f t="shared" si="367"/>
        <v>13000</v>
      </c>
      <c r="BX112" s="53">
        <f t="shared" si="285"/>
        <v>-20106</v>
      </c>
      <c r="BY112" s="53">
        <f t="shared" si="294"/>
        <v>-18255.092464544257</v>
      </c>
      <c r="BZ112" s="240">
        <f t="shared" si="286"/>
        <v>5.5020500000000006</v>
      </c>
      <c r="CC112" s="1">
        <f t="shared" si="295"/>
        <v>0</v>
      </c>
      <c r="CD112" s="195">
        <f t="shared" si="296"/>
        <v>2873.2</v>
      </c>
      <c r="CE112" s="195">
        <f t="shared" si="297"/>
        <v>2873.2</v>
      </c>
      <c r="CF112" s="239">
        <f t="shared" si="298"/>
        <v>1.45</v>
      </c>
      <c r="CG112" s="239">
        <f t="shared" si="298"/>
        <v>9.96</v>
      </c>
      <c r="CH112" s="1">
        <f t="shared" si="287"/>
        <v>4780.8</v>
      </c>
      <c r="CI112" s="1"/>
      <c r="CJ112" s="1"/>
      <c r="CK112" s="211">
        <f t="shared" si="299"/>
        <v>0</v>
      </c>
      <c r="CL112" s="211">
        <f t="shared" si="300"/>
        <v>0</v>
      </c>
      <c r="CM112" s="211">
        <f t="shared" si="301"/>
        <v>0</v>
      </c>
      <c r="CN112" s="1"/>
      <c r="CO112" s="1"/>
      <c r="CP112" s="1"/>
      <c r="CQ112" s="1">
        <f t="shared" si="288"/>
        <v>0</v>
      </c>
      <c r="CR112" s="195">
        <f t="shared" si="201"/>
        <v>0</v>
      </c>
      <c r="CS112" s="195"/>
      <c r="CT112" s="195"/>
      <c r="CU112" s="1"/>
      <c r="CV112" s="199">
        <f t="shared" si="302"/>
        <v>13.208229396430717</v>
      </c>
      <c r="CW112" s="199">
        <f t="shared" si="303"/>
        <v>1.6516543011830758</v>
      </c>
      <c r="CX112" s="199">
        <f t="shared" si="304"/>
        <v>0</v>
      </c>
      <c r="CY112" s="199">
        <f t="shared" si="305"/>
        <v>0</v>
      </c>
      <c r="CZ112" s="199">
        <f t="shared" si="306"/>
        <v>0</v>
      </c>
      <c r="DA112" s="199">
        <f t="shared" si="307"/>
        <v>0</v>
      </c>
      <c r="DB112" s="199">
        <f t="shared" si="308"/>
        <v>2.316320032083417</v>
      </c>
      <c r="DC112" s="199">
        <f t="shared" si="309"/>
        <v>0</v>
      </c>
      <c r="DD112" s="199">
        <f t="shared" si="310"/>
        <v>0</v>
      </c>
      <c r="DE112" s="199">
        <f t="shared" si="311"/>
        <v>0</v>
      </c>
      <c r="DF112" s="199">
        <f t="shared" si="312"/>
        <v>0</v>
      </c>
      <c r="DG112" s="199">
        <f t="shared" si="313"/>
        <v>0</v>
      </c>
      <c r="DH112" s="199">
        <f t="shared" si="314"/>
        <v>10.212729095648685</v>
      </c>
      <c r="DI112" s="199">
        <f t="shared" si="315"/>
        <v>14.46248566272308</v>
      </c>
      <c r="DJ112" s="199">
        <f t="shared" si="316"/>
        <v>1.7216243833968317</v>
      </c>
      <c r="DK112" s="199">
        <f t="shared" si="317"/>
        <v>0</v>
      </c>
      <c r="DL112" s="199">
        <f t="shared" si="318"/>
        <v>0</v>
      </c>
      <c r="DM112" s="199">
        <f t="shared" si="319"/>
        <v>0</v>
      </c>
      <c r="DN112" s="199">
        <f t="shared" si="320"/>
        <v>0.2596100260677762</v>
      </c>
      <c r="DO112" s="199">
        <f t="shared" si="321"/>
        <v>0</v>
      </c>
      <c r="DP112" s="199">
        <f t="shared" si="322"/>
        <v>0</v>
      </c>
      <c r="DQ112" s="199">
        <f t="shared" si="323"/>
        <v>0</v>
      </c>
      <c r="DR112" s="199">
        <f t="shared" si="324"/>
        <v>0.3303308602366152</v>
      </c>
      <c r="DS112" s="199">
        <f t="shared" si="325"/>
        <v>0</v>
      </c>
      <c r="DT112" s="199">
        <f t="shared" si="326"/>
        <v>5.165173450972528</v>
      </c>
      <c r="DU112" s="199">
        <f t="shared" si="327"/>
        <v>0</v>
      </c>
      <c r="DV112" s="199">
        <f t="shared" si="328"/>
        <v>0.0008758772809304191</v>
      </c>
      <c r="DW112" s="199">
        <f t="shared" si="329"/>
        <v>0</v>
      </c>
      <c r="DX112" s="199">
        <f t="shared" si="330"/>
        <v>0</v>
      </c>
      <c r="DY112" s="199">
        <f t="shared" si="331"/>
        <v>0</v>
      </c>
      <c r="DZ112" s="199">
        <f t="shared" si="332"/>
        <v>0.0006473150190495289</v>
      </c>
      <c r="EA112" s="199">
        <f t="shared" si="333"/>
        <v>11.745860684178865</v>
      </c>
      <c r="EB112" s="199">
        <f t="shared" si="334"/>
        <v>1.4092557808702624</v>
      </c>
      <c r="EC112" s="202">
        <f t="shared" si="184"/>
        <v>62.484796866091834</v>
      </c>
      <c r="ED112" s="202">
        <f>SUM(CV112:DI112,DS112:DT112,DW112,DY112,EA112:EB112)</f>
        <v>60.17170840409063</v>
      </c>
      <c r="EE112" s="203">
        <f t="shared" si="235"/>
        <v>9.960396175733823</v>
      </c>
      <c r="EF112" s="199"/>
      <c r="EI112" s="1">
        <f t="shared" si="335"/>
        <v>0.18495710758393283</v>
      </c>
      <c r="EJ112" s="1">
        <f t="shared" si="336"/>
        <v>0.002442336444552</v>
      </c>
      <c r="EK112" s="1">
        <f t="shared" si="337"/>
        <v>0</v>
      </c>
      <c r="EL112" s="1">
        <f t="shared" si="338"/>
        <v>0</v>
      </c>
      <c r="EM112" s="1">
        <f t="shared" si="339"/>
        <v>0</v>
      </c>
      <c r="EN112" s="1">
        <f t="shared" si="340"/>
        <v>0</v>
      </c>
      <c r="EO112" s="1">
        <f t="shared" si="341"/>
        <v>0.20522871634656004</v>
      </c>
      <c r="EP112" s="1">
        <f t="shared" si="342"/>
        <v>0</v>
      </c>
      <c r="EQ112" s="1">
        <f t="shared" si="343"/>
        <v>0</v>
      </c>
      <c r="ER112" s="1">
        <f t="shared" si="344"/>
        <v>0</v>
      </c>
      <c r="ES112" s="1">
        <f t="shared" si="345"/>
        <v>0</v>
      </c>
      <c r="ET112" s="1">
        <f t="shared" si="346"/>
        <v>0</v>
      </c>
      <c r="EU112" s="1">
        <f t="shared" si="347"/>
        <v>0.07346601658824001</v>
      </c>
      <c r="EV112" s="1">
        <f t="shared" si="348"/>
        <v>0</v>
      </c>
      <c r="EW112" s="1">
        <f t="shared" si="349"/>
        <v>0.059350736407200004</v>
      </c>
      <c r="EX112" s="1">
        <f t="shared" si="350"/>
        <v>0</v>
      </c>
      <c r="EY112" s="1">
        <f t="shared" si="351"/>
        <v>0</v>
      </c>
      <c r="EZ112" s="1">
        <f t="shared" si="352"/>
        <v>0</v>
      </c>
      <c r="FA112" s="1">
        <f t="shared" si="353"/>
        <v>0.059350736407200004</v>
      </c>
      <c r="FB112" s="1">
        <f t="shared" si="354"/>
        <v>0</v>
      </c>
      <c r="FC112" s="1">
        <f t="shared" si="355"/>
        <v>0</v>
      </c>
      <c r="FD112" s="1">
        <f t="shared" si="356"/>
        <v>0</v>
      </c>
      <c r="FE112" s="1">
        <f t="shared" si="357"/>
        <v>0.059350736407200004</v>
      </c>
      <c r="FF112" s="1">
        <f t="shared" si="358"/>
        <v>0</v>
      </c>
      <c r="FG112" s="1">
        <f t="shared" si="359"/>
        <v>0.059350736407200004</v>
      </c>
      <c r="FH112" s="1">
        <f t="shared" si="360"/>
        <v>0</v>
      </c>
      <c r="FI112" s="1">
        <f t="shared" si="361"/>
        <v>0</v>
      </c>
      <c r="FJ112" s="1">
        <f t="shared" si="362"/>
        <v>0</v>
      </c>
      <c r="FK112" s="1">
        <f t="shared" si="363"/>
        <v>0</v>
      </c>
      <c r="FL112" s="1">
        <f t="shared" si="364"/>
        <v>0</v>
      </c>
      <c r="FM112" s="1">
        <f t="shared" si="365"/>
        <v>0.0034234991863440005</v>
      </c>
      <c r="FN112" s="1">
        <f t="shared" si="366"/>
        <v>4.472293968912</v>
      </c>
      <c r="FO112" s="1">
        <f>IF(O112=0,0,SUM(EI112:FN112))</f>
        <v>5.179214590690429</v>
      </c>
    </row>
    <row r="113" spans="1:171" s="45" customFormat="1" ht="12.75">
      <c r="A113" s="33">
        <v>149</v>
      </c>
      <c r="B113" s="34" t="s">
        <v>286</v>
      </c>
      <c r="C113" s="34" t="s">
        <v>287</v>
      </c>
      <c r="D113" s="35" t="s">
        <v>288</v>
      </c>
      <c r="E113" s="35">
        <v>4</v>
      </c>
      <c r="F113" s="35" t="s">
        <v>270</v>
      </c>
      <c r="G113" s="35" t="s">
        <v>74</v>
      </c>
      <c r="H113" s="35" t="s">
        <v>75</v>
      </c>
      <c r="I113" s="35">
        <v>3</v>
      </c>
      <c r="J113" s="35"/>
      <c r="K113" s="26">
        <f t="shared" si="268"/>
        <v>1</v>
      </c>
      <c r="L113" s="26">
        <f t="shared" si="269"/>
        <v>1</v>
      </c>
      <c r="M113" s="33">
        <v>410749</v>
      </c>
      <c r="N113" s="33">
        <v>1044704</v>
      </c>
      <c r="O113" s="27">
        <f t="shared" si="270"/>
        <v>47000</v>
      </c>
      <c r="P113" s="30">
        <v>47000</v>
      </c>
      <c r="Q113" s="30">
        <v>52000</v>
      </c>
      <c r="R113" s="30">
        <v>25000</v>
      </c>
      <c r="S113" s="31">
        <v>10000</v>
      </c>
      <c r="T113" s="31">
        <v>0</v>
      </c>
      <c r="U113" s="31">
        <v>0</v>
      </c>
      <c r="V113" s="31">
        <v>0</v>
      </c>
      <c r="W113" s="30">
        <v>12000</v>
      </c>
      <c r="X113" s="31">
        <v>0</v>
      </c>
      <c r="Y113" s="31">
        <v>0</v>
      </c>
      <c r="Z113" s="30">
        <v>0</v>
      </c>
      <c r="AA113" s="31">
        <v>0</v>
      </c>
      <c r="AB113" s="30">
        <v>9200</v>
      </c>
      <c r="AC113" s="30">
        <v>0</v>
      </c>
      <c r="AD113" s="30">
        <v>0</v>
      </c>
      <c r="AE113" s="30">
        <v>10000</v>
      </c>
      <c r="AF113" s="30">
        <v>10000</v>
      </c>
      <c r="AG113" s="30">
        <v>0</v>
      </c>
      <c r="AH113" s="30">
        <v>17500</v>
      </c>
      <c r="AI113" s="30">
        <v>0</v>
      </c>
      <c r="AJ113" s="30">
        <v>0</v>
      </c>
      <c r="AK113" s="30">
        <v>0</v>
      </c>
      <c r="AL113" s="30">
        <v>0</v>
      </c>
      <c r="AM113" s="30">
        <v>4200</v>
      </c>
      <c r="AN113" s="31">
        <v>0</v>
      </c>
      <c r="AO113" s="30">
        <v>13000</v>
      </c>
      <c r="AP113" s="31">
        <v>0</v>
      </c>
      <c r="AQ113" s="31">
        <v>0</v>
      </c>
      <c r="AR113" s="31">
        <v>0</v>
      </c>
      <c r="AS113" s="31">
        <v>3600</v>
      </c>
      <c r="AT113" s="31">
        <v>6</v>
      </c>
      <c r="AU113" s="30">
        <v>101</v>
      </c>
      <c r="AW113" s="1"/>
      <c r="AX113" s="2">
        <f t="shared" si="271"/>
        <v>31152</v>
      </c>
      <c r="AY113" s="32">
        <f t="shared" si="289"/>
        <v>28156.615384615387</v>
      </c>
      <c r="AZ113" s="186">
        <f t="shared" si="290"/>
        <v>0.4601527392382683</v>
      </c>
      <c r="BA113" s="186">
        <f t="shared" si="291"/>
        <v>0.028831372934214082</v>
      </c>
      <c r="BB113" s="186">
        <f t="shared" si="292"/>
        <v>0.3346290793900253</v>
      </c>
      <c r="BC113" s="53">
        <f t="shared" si="272"/>
        <v>47000</v>
      </c>
      <c r="BD113" s="53">
        <f t="shared" si="189"/>
        <v>15731.102694371819</v>
      </c>
      <c r="BE113" s="53">
        <f t="shared" si="190"/>
        <v>985.6494371817809</v>
      </c>
      <c r="BF113" s="53">
        <f t="shared" si="191"/>
        <v>11439.863253061787</v>
      </c>
      <c r="BG113" s="53"/>
      <c r="BH113" s="53">
        <f t="shared" si="273"/>
        <v>3</v>
      </c>
      <c r="BI113" s="53">
        <f t="shared" si="274"/>
        <v>3</v>
      </c>
      <c r="BJ113" s="53">
        <f t="shared" si="275"/>
        <v>3</v>
      </c>
      <c r="BK113" s="53">
        <f t="shared" si="276"/>
        <v>2</v>
      </c>
      <c r="BL113" s="53"/>
      <c r="BM113" s="53">
        <f t="shared" si="277"/>
        <v>2</v>
      </c>
      <c r="BN113" s="53">
        <f t="shared" si="278"/>
        <v>2</v>
      </c>
      <c r="BO113" s="53">
        <f t="shared" si="279"/>
        <v>2</v>
      </c>
      <c r="BP113" s="53">
        <f t="shared" si="280"/>
        <v>0</v>
      </c>
      <c r="BQ113" s="53"/>
      <c r="BR113" s="53">
        <f t="shared" si="281"/>
        <v>6.5</v>
      </c>
      <c r="BS113" s="53">
        <f t="shared" si="282"/>
        <v>34.2</v>
      </c>
      <c r="BT113" s="53">
        <f t="shared" si="283"/>
        <v>11</v>
      </c>
      <c r="BU113" s="53">
        <f t="shared" si="293"/>
        <v>24816</v>
      </c>
      <c r="BV113" s="53"/>
      <c r="BW113" s="53">
        <f t="shared" si="367"/>
        <v>15600</v>
      </c>
      <c r="BX113" s="53">
        <f t="shared" si="285"/>
        <v>-21036</v>
      </c>
      <c r="BY113" s="53">
        <f t="shared" si="294"/>
        <v>-18814.91095745311</v>
      </c>
      <c r="BZ113" s="240">
        <f t="shared" si="286"/>
        <v>5.791300000000001</v>
      </c>
      <c r="CC113" s="1">
        <f t="shared" si="295"/>
        <v>0</v>
      </c>
      <c r="CD113" s="195">
        <f t="shared" si="296"/>
        <v>2873.2</v>
      </c>
      <c r="CE113" s="195">
        <f t="shared" si="297"/>
        <v>2873.2</v>
      </c>
      <c r="CF113" s="239">
        <f t="shared" si="298"/>
        <v>1.45</v>
      </c>
      <c r="CG113" s="239">
        <f t="shared" si="298"/>
        <v>9.96</v>
      </c>
      <c r="CH113" s="1">
        <f t="shared" si="287"/>
        <v>4780.8</v>
      </c>
      <c r="CI113" s="1"/>
      <c r="CJ113" s="1"/>
      <c r="CK113" s="211">
        <f t="shared" si="299"/>
        <v>0</v>
      </c>
      <c r="CL113" s="211">
        <f t="shared" si="300"/>
        <v>0</v>
      </c>
      <c r="CM113" s="211">
        <f t="shared" si="301"/>
        <v>0</v>
      </c>
      <c r="CN113" s="1"/>
      <c r="CO113" s="1"/>
      <c r="CP113" s="1"/>
      <c r="CQ113" s="1">
        <f t="shared" si="288"/>
        <v>1</v>
      </c>
      <c r="CR113" s="195">
        <f t="shared" si="201"/>
        <v>10000</v>
      </c>
      <c r="CS113" s="195"/>
      <c r="CT113" s="195"/>
      <c r="CU113" s="1"/>
      <c r="CV113" s="199">
        <f t="shared" si="302"/>
        <v>26.416458792861434</v>
      </c>
      <c r="CW113" s="199">
        <f t="shared" si="303"/>
        <v>7.507519550832162</v>
      </c>
      <c r="CX113" s="199">
        <f t="shared" si="304"/>
        <v>19.686384599959894</v>
      </c>
      <c r="CY113" s="199">
        <f t="shared" si="305"/>
        <v>0</v>
      </c>
      <c r="CZ113" s="199">
        <f t="shared" si="306"/>
        <v>0</v>
      </c>
      <c r="DA113" s="199">
        <f t="shared" si="307"/>
        <v>0</v>
      </c>
      <c r="DB113" s="199">
        <f t="shared" si="308"/>
        <v>3.1231281331461798</v>
      </c>
      <c r="DC113" s="199">
        <f t="shared" si="309"/>
        <v>0</v>
      </c>
      <c r="DD113" s="199">
        <f t="shared" si="310"/>
        <v>0</v>
      </c>
      <c r="DE113" s="199">
        <f t="shared" si="311"/>
        <v>0</v>
      </c>
      <c r="DF113" s="199">
        <f t="shared" si="312"/>
        <v>0</v>
      </c>
      <c r="DG113" s="199">
        <f t="shared" si="313"/>
        <v>12.20222177661921</v>
      </c>
      <c r="DH113" s="199">
        <f t="shared" si="314"/>
        <v>0</v>
      </c>
      <c r="DI113" s="199">
        <f t="shared" si="315"/>
        <v>0</v>
      </c>
      <c r="DJ113" s="199">
        <f t="shared" si="316"/>
        <v>1.3663685582514535</v>
      </c>
      <c r="DK113" s="199">
        <f t="shared" si="317"/>
        <v>1.3663685582514535</v>
      </c>
      <c r="DL113" s="199">
        <f t="shared" si="318"/>
        <v>0</v>
      </c>
      <c r="DM113" s="199">
        <f t="shared" si="319"/>
        <v>2.3911449769400437</v>
      </c>
      <c r="DN113" s="199">
        <f t="shared" si="320"/>
        <v>0</v>
      </c>
      <c r="DO113" s="199">
        <f t="shared" si="321"/>
        <v>0</v>
      </c>
      <c r="DP113" s="199">
        <f t="shared" si="322"/>
        <v>0</v>
      </c>
      <c r="DQ113" s="199">
        <f t="shared" si="323"/>
        <v>0</v>
      </c>
      <c r="DR113" s="199">
        <f t="shared" si="324"/>
        <v>0.6306316422699016</v>
      </c>
      <c r="DS113" s="199">
        <f t="shared" si="325"/>
        <v>0</v>
      </c>
      <c r="DT113" s="199">
        <f t="shared" si="326"/>
        <v>37.30403047924604</v>
      </c>
      <c r="DU113" s="199">
        <f t="shared" si="327"/>
        <v>0</v>
      </c>
      <c r="DV113" s="199">
        <f t="shared" si="328"/>
        <v>0</v>
      </c>
      <c r="DW113" s="199">
        <f t="shared" si="329"/>
        <v>0</v>
      </c>
      <c r="DX113" s="199">
        <f t="shared" si="330"/>
        <v>0.23303340685783033</v>
      </c>
      <c r="DY113" s="199">
        <f t="shared" si="331"/>
        <v>0.24824864648085018</v>
      </c>
      <c r="DZ113" s="199">
        <f t="shared" si="332"/>
        <v>0.00653788169240024</v>
      </c>
      <c r="EA113" s="199">
        <f t="shared" si="333"/>
        <v>16.347210330860236</v>
      </c>
      <c r="EB113" s="199">
        <f t="shared" si="334"/>
        <v>2.357268328052938</v>
      </c>
      <c r="EC113" s="202">
        <f t="shared" si="184"/>
        <v>131.18655566232198</v>
      </c>
      <c r="ED113" s="202">
        <f>SUM(CV113:DI113,DS113:DT113,DW113,DY113,EA113:EB113)</f>
        <v>125.19247063805894</v>
      </c>
      <c r="EE113" s="203">
        <f t="shared" si="235"/>
        <v>20.72347019632268</v>
      </c>
      <c r="EF113" s="199"/>
      <c r="EI113" s="1">
        <f t="shared" si="335"/>
        <v>0.5699766927982697</v>
      </c>
      <c r="EJ113" s="1">
        <f t="shared" si="336"/>
        <v>0.002442336444552</v>
      </c>
      <c r="EK113" s="1">
        <f t="shared" si="337"/>
        <v>0.12505080147648</v>
      </c>
      <c r="EL113" s="1">
        <f t="shared" si="338"/>
        <v>0</v>
      </c>
      <c r="EM113" s="1">
        <f t="shared" si="339"/>
        <v>0</v>
      </c>
      <c r="EN113" s="1">
        <f t="shared" si="340"/>
        <v>0</v>
      </c>
      <c r="EO113" s="1">
        <f t="shared" si="341"/>
        <v>0.20522871634656004</v>
      </c>
      <c r="EP113" s="1">
        <f t="shared" si="342"/>
        <v>0</v>
      </c>
      <c r="EQ113" s="1">
        <f t="shared" si="343"/>
        <v>0</v>
      </c>
      <c r="ER113" s="1">
        <f t="shared" si="344"/>
        <v>0</v>
      </c>
      <c r="ES113" s="1">
        <f t="shared" si="345"/>
        <v>0</v>
      </c>
      <c r="ET113" s="1">
        <f t="shared" si="346"/>
        <v>0.07346601658824001</v>
      </c>
      <c r="EU113" s="1">
        <f t="shared" si="347"/>
        <v>0</v>
      </c>
      <c r="EV113" s="1">
        <f t="shared" si="348"/>
        <v>0</v>
      </c>
      <c r="EW113" s="1">
        <f t="shared" si="349"/>
        <v>0.059350736407200004</v>
      </c>
      <c r="EX113" s="1">
        <f t="shared" si="350"/>
        <v>0.059350736407200004</v>
      </c>
      <c r="EY113" s="1">
        <f t="shared" si="351"/>
        <v>0</v>
      </c>
      <c r="EZ113" s="1">
        <f t="shared" si="352"/>
        <v>0.059350736407200004</v>
      </c>
      <c r="FA113" s="1">
        <f t="shared" si="353"/>
        <v>0</v>
      </c>
      <c r="FB113" s="1">
        <f t="shared" si="354"/>
        <v>0</v>
      </c>
      <c r="FC113" s="1">
        <f t="shared" si="355"/>
        <v>0</v>
      </c>
      <c r="FD113" s="1">
        <f t="shared" si="356"/>
        <v>0</v>
      </c>
      <c r="FE113" s="1">
        <f t="shared" si="357"/>
        <v>0.059350736407200004</v>
      </c>
      <c r="FF113" s="1">
        <f t="shared" si="358"/>
        <v>0</v>
      </c>
      <c r="FG113" s="1">
        <f t="shared" si="359"/>
        <v>0.059350736407200004</v>
      </c>
      <c r="FH113" s="1">
        <f t="shared" si="360"/>
        <v>0</v>
      </c>
      <c r="FI113" s="1">
        <f t="shared" si="361"/>
        <v>0</v>
      </c>
      <c r="FJ113" s="1">
        <f t="shared" si="362"/>
        <v>0</v>
      </c>
      <c r="FK113" s="1">
        <f t="shared" si="363"/>
        <v>0</v>
      </c>
      <c r="FL113" s="1">
        <f t="shared" si="364"/>
        <v>4.300268812675172</v>
      </c>
      <c r="FM113" s="1">
        <f t="shared" si="365"/>
        <v>0.0057571153094400015</v>
      </c>
      <c r="FN113" s="1">
        <f t="shared" si="366"/>
        <v>4.472293968912</v>
      </c>
      <c r="FO113" s="1">
        <f>IF(O113=0,0,SUM(EI113:FN113))</f>
        <v>10.051238142586712</v>
      </c>
    </row>
    <row r="114" spans="1:171" s="45" customFormat="1" ht="12.75">
      <c r="A114" s="33">
        <v>150</v>
      </c>
      <c r="B114" s="34" t="s">
        <v>289</v>
      </c>
      <c r="C114" s="34" t="s">
        <v>290</v>
      </c>
      <c r="D114" s="35" t="s">
        <v>288</v>
      </c>
      <c r="E114" s="35">
        <v>4</v>
      </c>
      <c r="F114" s="35" t="s">
        <v>270</v>
      </c>
      <c r="G114" s="35" t="s">
        <v>74</v>
      </c>
      <c r="H114" s="35" t="s">
        <v>75</v>
      </c>
      <c r="I114" s="35">
        <v>3</v>
      </c>
      <c r="J114" s="35"/>
      <c r="K114" s="26">
        <f t="shared" si="268"/>
        <v>1</v>
      </c>
      <c r="L114" s="26">
        <f t="shared" si="269"/>
        <v>1</v>
      </c>
      <c r="M114" s="33">
        <v>425200</v>
      </c>
      <c r="N114" s="33">
        <v>1061400</v>
      </c>
      <c r="O114" s="27">
        <f t="shared" si="270"/>
        <v>24500</v>
      </c>
      <c r="P114" s="30">
        <v>24500</v>
      </c>
      <c r="Q114" s="30">
        <v>25500</v>
      </c>
      <c r="R114" s="30">
        <v>5600</v>
      </c>
      <c r="S114" s="31">
        <v>0</v>
      </c>
      <c r="T114" s="31">
        <v>0</v>
      </c>
      <c r="U114" s="31">
        <v>0</v>
      </c>
      <c r="V114" s="31">
        <v>0</v>
      </c>
      <c r="W114" s="30">
        <v>10500</v>
      </c>
      <c r="X114" s="31">
        <v>500</v>
      </c>
      <c r="Y114" s="31">
        <v>0</v>
      </c>
      <c r="Z114" s="30">
        <v>0</v>
      </c>
      <c r="AA114" s="31">
        <v>0</v>
      </c>
      <c r="AB114" s="30">
        <v>0</v>
      </c>
      <c r="AC114" s="30">
        <v>6000</v>
      </c>
      <c r="AD114" s="30">
        <v>0</v>
      </c>
      <c r="AE114" s="30">
        <v>7200</v>
      </c>
      <c r="AF114" s="30">
        <v>0</v>
      </c>
      <c r="AG114" s="30">
        <v>0</v>
      </c>
      <c r="AH114" s="30">
        <v>8000</v>
      </c>
      <c r="AI114" s="30">
        <v>0</v>
      </c>
      <c r="AJ114" s="30">
        <v>0</v>
      </c>
      <c r="AK114" s="30">
        <v>0</v>
      </c>
      <c r="AL114" s="30">
        <v>0</v>
      </c>
      <c r="AM114" s="30">
        <v>0</v>
      </c>
      <c r="AN114" s="31">
        <v>0</v>
      </c>
      <c r="AO114" s="30">
        <v>2100</v>
      </c>
      <c r="AP114" s="31">
        <v>0</v>
      </c>
      <c r="AQ114" s="31">
        <v>0</v>
      </c>
      <c r="AR114" s="31">
        <v>0</v>
      </c>
      <c r="AS114" s="31">
        <v>0</v>
      </c>
      <c r="AT114" s="31">
        <v>0</v>
      </c>
      <c r="AU114" s="30">
        <v>0</v>
      </c>
      <c r="AW114" s="1"/>
      <c r="AX114" s="2">
        <f t="shared" si="271"/>
        <v>20592</v>
      </c>
      <c r="AY114" s="32">
        <f t="shared" si="289"/>
        <v>19784.470588235294</v>
      </c>
      <c r="AZ114" s="186">
        <f t="shared" si="290"/>
        <v>0.4601527392382683</v>
      </c>
      <c r="BA114" s="186">
        <f t="shared" si="291"/>
        <v>0.028831372934214082</v>
      </c>
      <c r="BB114" s="186">
        <f t="shared" si="292"/>
        <v>0.3346290793900253</v>
      </c>
      <c r="BC114" s="53">
        <f t="shared" si="272"/>
        <v>24500</v>
      </c>
      <c r="BD114" s="53">
        <f t="shared" si="189"/>
        <v>11053.58489740082</v>
      </c>
      <c r="BE114" s="53">
        <f t="shared" si="190"/>
        <v>692.5744459644322</v>
      </c>
      <c r="BF114" s="53">
        <f t="shared" si="191"/>
        <v>8038.311244870041</v>
      </c>
      <c r="BG114" s="53"/>
      <c r="BH114" s="53">
        <f t="shared" si="273"/>
        <v>2</v>
      </c>
      <c r="BI114" s="53">
        <f t="shared" si="274"/>
        <v>3</v>
      </c>
      <c r="BJ114" s="53">
        <f t="shared" si="275"/>
        <v>3</v>
      </c>
      <c r="BK114" s="53">
        <f t="shared" si="276"/>
        <v>2</v>
      </c>
      <c r="BL114" s="53"/>
      <c r="BM114" s="53">
        <f t="shared" si="277"/>
        <v>1</v>
      </c>
      <c r="BN114" s="53">
        <f t="shared" si="278"/>
        <v>2</v>
      </c>
      <c r="BO114" s="53">
        <f t="shared" si="279"/>
        <v>2</v>
      </c>
      <c r="BP114" s="53">
        <f t="shared" si="280"/>
        <v>0</v>
      </c>
      <c r="BQ114" s="53"/>
      <c r="BR114" s="53">
        <f t="shared" si="281"/>
        <v>3.25</v>
      </c>
      <c r="BS114" s="53">
        <f t="shared" si="282"/>
        <v>34.2</v>
      </c>
      <c r="BT114" s="53">
        <f t="shared" si="283"/>
        <v>11</v>
      </c>
      <c r="BU114" s="53">
        <f t="shared" si="293"/>
        <v>23256</v>
      </c>
      <c r="BV114" s="53"/>
      <c r="BW114" s="53">
        <f t="shared" si="367"/>
        <v>13000</v>
      </c>
      <c r="BX114" s="53">
        <f t="shared" si="285"/>
        <v>-20106</v>
      </c>
      <c r="BY114" s="53">
        <f t="shared" si="294"/>
        <v>-18255.092464544257</v>
      </c>
      <c r="BZ114" s="240">
        <f t="shared" si="286"/>
        <v>5.5020500000000006</v>
      </c>
      <c r="CC114" s="1">
        <f t="shared" si="295"/>
        <v>0</v>
      </c>
      <c r="CD114" s="195">
        <f t="shared" si="296"/>
        <v>2873.2</v>
      </c>
      <c r="CE114" s="195">
        <f t="shared" si="297"/>
        <v>2873.2</v>
      </c>
      <c r="CF114" s="239">
        <f t="shared" si="298"/>
        <v>1.45</v>
      </c>
      <c r="CG114" s="239">
        <f t="shared" si="298"/>
        <v>9.96</v>
      </c>
      <c r="CH114" s="1">
        <f t="shared" si="287"/>
        <v>4780.8</v>
      </c>
      <c r="CI114" s="1"/>
      <c r="CJ114" s="1"/>
      <c r="CK114" s="211">
        <f t="shared" si="299"/>
        <v>0</v>
      </c>
      <c r="CL114" s="211">
        <f t="shared" si="300"/>
        <v>0</v>
      </c>
      <c r="CM114" s="211">
        <f t="shared" si="301"/>
        <v>0</v>
      </c>
      <c r="CN114" s="1"/>
      <c r="CO114" s="1"/>
      <c r="CP114" s="1"/>
      <c r="CQ114" s="1">
        <f t="shared" si="288"/>
        <v>0</v>
      </c>
      <c r="CR114" s="195">
        <f t="shared" si="201"/>
        <v>0</v>
      </c>
      <c r="CS114" s="195"/>
      <c r="CT114" s="195"/>
      <c r="CU114" s="1"/>
      <c r="CV114" s="199">
        <f t="shared" si="302"/>
        <v>12.954224984960897</v>
      </c>
      <c r="CW114" s="199">
        <f t="shared" si="303"/>
        <v>1.6816843793864045</v>
      </c>
      <c r="CX114" s="199">
        <f t="shared" si="304"/>
        <v>0</v>
      </c>
      <c r="CY114" s="199">
        <f t="shared" si="305"/>
        <v>0</v>
      </c>
      <c r="CZ114" s="199">
        <f t="shared" si="306"/>
        <v>0</v>
      </c>
      <c r="DA114" s="199">
        <f t="shared" si="307"/>
        <v>0</v>
      </c>
      <c r="DB114" s="199">
        <f t="shared" si="308"/>
        <v>2.732737116502907</v>
      </c>
      <c r="DC114" s="199">
        <f t="shared" si="309"/>
        <v>0.13013033888109082</v>
      </c>
      <c r="DD114" s="199">
        <f t="shared" si="310"/>
        <v>0</v>
      </c>
      <c r="DE114" s="199">
        <f t="shared" si="311"/>
        <v>0</v>
      </c>
      <c r="DF114" s="199">
        <f t="shared" si="312"/>
        <v>0</v>
      </c>
      <c r="DG114" s="199">
        <f t="shared" si="313"/>
        <v>0</v>
      </c>
      <c r="DH114" s="199">
        <f t="shared" si="314"/>
        <v>7.957970723882093</v>
      </c>
      <c r="DI114" s="199">
        <f t="shared" si="315"/>
        <v>0</v>
      </c>
      <c r="DJ114" s="199">
        <f t="shared" si="316"/>
        <v>0.9837853619410467</v>
      </c>
      <c r="DK114" s="199">
        <f t="shared" si="317"/>
        <v>0</v>
      </c>
      <c r="DL114" s="199">
        <f t="shared" si="318"/>
        <v>0</v>
      </c>
      <c r="DM114" s="199">
        <f t="shared" si="319"/>
        <v>1.0930948466011627</v>
      </c>
      <c r="DN114" s="199">
        <f t="shared" si="320"/>
        <v>0</v>
      </c>
      <c r="DO114" s="199">
        <f t="shared" si="321"/>
        <v>0</v>
      </c>
      <c r="DP114" s="199">
        <f t="shared" si="322"/>
        <v>0</v>
      </c>
      <c r="DQ114" s="199">
        <f t="shared" si="323"/>
        <v>0</v>
      </c>
      <c r="DR114" s="199">
        <f t="shared" si="324"/>
        <v>0</v>
      </c>
      <c r="DS114" s="199">
        <f t="shared" si="325"/>
        <v>0</v>
      </c>
      <c r="DT114" s="199">
        <f t="shared" si="326"/>
        <v>6.026035692801282</v>
      </c>
      <c r="DU114" s="199">
        <f t="shared" si="327"/>
        <v>0</v>
      </c>
      <c r="DV114" s="199">
        <f t="shared" si="328"/>
        <v>0</v>
      </c>
      <c r="DW114" s="199">
        <f t="shared" si="329"/>
        <v>0</v>
      </c>
      <c r="DX114" s="199">
        <f t="shared" si="330"/>
        <v>0</v>
      </c>
      <c r="DY114" s="199">
        <f t="shared" si="331"/>
        <v>0</v>
      </c>
      <c r="DZ114" s="199">
        <f t="shared" si="332"/>
        <v>0</v>
      </c>
      <c r="EA114" s="199">
        <f t="shared" si="333"/>
        <v>11.486497846872453</v>
      </c>
      <c r="EB114" s="199">
        <f t="shared" si="334"/>
        <v>1.3889712756225008</v>
      </c>
      <c r="EC114" s="202">
        <f t="shared" si="184"/>
        <v>46.43513256745184</v>
      </c>
      <c r="ED114" s="202">
        <f>SUM(CV114:DI114,DS114:DT114,DW114,DY114,EA114:EB114)</f>
        <v>44.35825235890963</v>
      </c>
      <c r="EE114" s="203">
        <f t="shared" si="235"/>
        <v>7.342749256690256</v>
      </c>
      <c r="EF114" s="199"/>
      <c r="EI114" s="1">
        <f t="shared" si="335"/>
        <v>0.18495710758393283</v>
      </c>
      <c r="EJ114" s="1">
        <f t="shared" si="336"/>
        <v>0.002442336444552</v>
      </c>
      <c r="EK114" s="1">
        <f t="shared" si="337"/>
        <v>0</v>
      </c>
      <c r="EL114" s="1">
        <f t="shared" si="338"/>
        <v>0</v>
      </c>
      <c r="EM114" s="1">
        <f t="shared" si="339"/>
        <v>0</v>
      </c>
      <c r="EN114" s="1">
        <f t="shared" si="340"/>
        <v>0</v>
      </c>
      <c r="EO114" s="1">
        <f t="shared" si="341"/>
        <v>0.20522871634656004</v>
      </c>
      <c r="EP114" s="1">
        <f t="shared" si="342"/>
        <v>0</v>
      </c>
      <c r="EQ114" s="1">
        <f t="shared" si="343"/>
        <v>0</v>
      </c>
      <c r="ER114" s="1">
        <f t="shared" si="344"/>
        <v>0</v>
      </c>
      <c r="ES114" s="1">
        <f t="shared" si="345"/>
        <v>0</v>
      </c>
      <c r="ET114" s="1">
        <f t="shared" si="346"/>
        <v>0</v>
      </c>
      <c r="EU114" s="1">
        <f t="shared" si="347"/>
        <v>0.07346601658824001</v>
      </c>
      <c r="EV114" s="1">
        <f t="shared" si="348"/>
        <v>0</v>
      </c>
      <c r="EW114" s="1">
        <f t="shared" si="349"/>
        <v>0.059350736407200004</v>
      </c>
      <c r="EX114" s="1">
        <f t="shared" si="350"/>
        <v>0</v>
      </c>
      <c r="EY114" s="1">
        <f t="shared" si="351"/>
        <v>0</v>
      </c>
      <c r="EZ114" s="1">
        <f t="shared" si="352"/>
        <v>0.059350736407200004</v>
      </c>
      <c r="FA114" s="1">
        <f t="shared" si="353"/>
        <v>0</v>
      </c>
      <c r="FB114" s="1">
        <f t="shared" si="354"/>
        <v>0</v>
      </c>
      <c r="FC114" s="1">
        <f t="shared" si="355"/>
        <v>0</v>
      </c>
      <c r="FD114" s="1">
        <f t="shared" si="356"/>
        <v>0</v>
      </c>
      <c r="FE114" s="1">
        <f t="shared" si="357"/>
        <v>0</v>
      </c>
      <c r="FF114" s="1">
        <f t="shared" si="358"/>
        <v>0</v>
      </c>
      <c r="FG114" s="1">
        <f t="shared" si="359"/>
        <v>0.059350736407200004</v>
      </c>
      <c r="FH114" s="1">
        <f t="shared" si="360"/>
        <v>0</v>
      </c>
      <c r="FI114" s="1">
        <f t="shared" si="361"/>
        <v>0</v>
      </c>
      <c r="FJ114" s="1">
        <f t="shared" si="362"/>
        <v>0</v>
      </c>
      <c r="FK114" s="1">
        <f t="shared" si="363"/>
        <v>0</v>
      </c>
      <c r="FL114" s="1">
        <f t="shared" si="364"/>
        <v>0</v>
      </c>
      <c r="FM114" s="1">
        <f t="shared" si="365"/>
        <v>0</v>
      </c>
      <c r="FN114" s="1">
        <f t="shared" si="366"/>
        <v>4.472293968912</v>
      </c>
      <c r="FO114" s="1">
        <f>IF(O114=0,0,SUM(EI114:FN114))</f>
        <v>5.116440355096885</v>
      </c>
    </row>
    <row r="115" spans="1:171" s="45" customFormat="1" ht="12.75">
      <c r="A115" s="33">
        <v>150.5</v>
      </c>
      <c r="B115" s="34" t="s">
        <v>291</v>
      </c>
      <c r="C115" s="34" t="s">
        <v>292</v>
      </c>
      <c r="D115" s="35" t="s">
        <v>288</v>
      </c>
      <c r="E115" s="35">
        <v>4</v>
      </c>
      <c r="F115" s="35" t="s">
        <v>270</v>
      </c>
      <c r="G115" s="35" t="s">
        <v>74</v>
      </c>
      <c r="H115" s="35" t="s">
        <v>75</v>
      </c>
      <c r="I115" s="35">
        <v>3</v>
      </c>
      <c r="J115" s="35"/>
      <c r="K115" s="26">
        <f t="shared" si="268"/>
        <v>0</v>
      </c>
      <c r="L115" s="26">
        <f t="shared" si="269"/>
        <v>1</v>
      </c>
      <c r="M115" s="33"/>
      <c r="N115" s="33"/>
      <c r="O115" s="27">
        <f t="shared" si="270"/>
        <v>3000</v>
      </c>
      <c r="P115" s="30">
        <v>3000</v>
      </c>
      <c r="Q115" s="30">
        <v>3300</v>
      </c>
      <c r="R115" s="30">
        <v>0</v>
      </c>
      <c r="S115" s="31">
        <v>0</v>
      </c>
      <c r="T115" s="31">
        <v>0</v>
      </c>
      <c r="U115" s="31">
        <v>0</v>
      </c>
      <c r="V115" s="31">
        <v>0</v>
      </c>
      <c r="W115" s="30">
        <v>0</v>
      </c>
      <c r="X115" s="31">
        <v>0</v>
      </c>
      <c r="Y115" s="31">
        <v>0</v>
      </c>
      <c r="Z115" s="30">
        <v>0</v>
      </c>
      <c r="AA115" s="31">
        <v>0</v>
      </c>
      <c r="AB115" s="30">
        <v>0</v>
      </c>
      <c r="AC115" s="30">
        <v>2150</v>
      </c>
      <c r="AD115" s="30">
        <v>0</v>
      </c>
      <c r="AE115" s="30">
        <v>3250</v>
      </c>
      <c r="AF115" s="30">
        <v>0</v>
      </c>
      <c r="AG115" s="30">
        <v>0</v>
      </c>
      <c r="AH115" s="30">
        <v>0</v>
      </c>
      <c r="AI115" s="30">
        <v>0</v>
      </c>
      <c r="AJ115" s="30">
        <v>0</v>
      </c>
      <c r="AK115" s="30">
        <v>0</v>
      </c>
      <c r="AL115" s="30">
        <v>0</v>
      </c>
      <c r="AM115" s="30">
        <v>0</v>
      </c>
      <c r="AN115" s="31">
        <v>0</v>
      </c>
      <c r="AO115" s="30">
        <v>0</v>
      </c>
      <c r="AP115" s="31">
        <v>0</v>
      </c>
      <c r="AQ115" s="31">
        <v>1000</v>
      </c>
      <c r="AR115" s="31">
        <v>0</v>
      </c>
      <c r="AS115" s="31">
        <v>0</v>
      </c>
      <c r="AT115" s="31">
        <v>0</v>
      </c>
      <c r="AU115" s="30">
        <v>0</v>
      </c>
      <c r="AW115" s="1"/>
      <c r="AX115" s="2">
        <f t="shared" si="271"/>
        <v>2904</v>
      </c>
      <c r="AY115" s="32">
        <f t="shared" si="289"/>
        <v>2640</v>
      </c>
      <c r="AZ115" s="186">
        <f t="shared" si="290"/>
        <v>0.4601527392382683</v>
      </c>
      <c r="BA115" s="186">
        <f t="shared" si="291"/>
        <v>0.028831372934214082</v>
      </c>
      <c r="BB115" s="186">
        <f t="shared" si="292"/>
        <v>0.3346290793900253</v>
      </c>
      <c r="BC115" s="53">
        <f t="shared" si="272"/>
        <v>3000</v>
      </c>
      <c r="BD115" s="53">
        <f t="shared" si="189"/>
        <v>1474.9681574239714</v>
      </c>
      <c r="BE115" s="53">
        <f t="shared" si="190"/>
        <v>92.41574239713776</v>
      </c>
      <c r="BF115" s="53">
        <f t="shared" si="191"/>
        <v>1072.6161001788907</v>
      </c>
      <c r="BG115" s="53"/>
      <c r="BH115" s="53">
        <f t="shared" si="273"/>
        <v>2</v>
      </c>
      <c r="BI115" s="53">
        <f t="shared" si="274"/>
        <v>3</v>
      </c>
      <c r="BJ115" s="53">
        <f t="shared" si="275"/>
        <v>3</v>
      </c>
      <c r="BK115" s="53">
        <f t="shared" si="276"/>
        <v>2</v>
      </c>
      <c r="BL115" s="53"/>
      <c r="BM115" s="53">
        <f t="shared" si="277"/>
        <v>1</v>
      </c>
      <c r="BN115" s="53">
        <f t="shared" si="278"/>
        <v>2</v>
      </c>
      <c r="BO115" s="53">
        <f t="shared" si="279"/>
        <v>2</v>
      </c>
      <c r="BP115" s="53">
        <f t="shared" si="280"/>
        <v>0</v>
      </c>
      <c r="BQ115" s="53"/>
      <c r="BR115" s="53">
        <f t="shared" si="281"/>
        <v>3.25</v>
      </c>
      <c r="BS115" s="53">
        <f t="shared" si="282"/>
        <v>34.2</v>
      </c>
      <c r="BT115" s="53">
        <f t="shared" si="283"/>
        <v>11</v>
      </c>
      <c r="BU115" s="53">
        <f t="shared" si="293"/>
        <v>23256</v>
      </c>
      <c r="BV115" s="53"/>
      <c r="BW115" s="53">
        <f t="shared" si="367"/>
        <v>13000</v>
      </c>
      <c r="BX115" s="53">
        <f t="shared" si="285"/>
        <v>-20106</v>
      </c>
      <c r="BY115" s="53">
        <f t="shared" si="294"/>
        <v>-18255.092464544257</v>
      </c>
      <c r="BZ115" s="240">
        <f t="shared" si="286"/>
        <v>5.5020500000000006</v>
      </c>
      <c r="CC115" s="1">
        <f t="shared" si="295"/>
        <v>0</v>
      </c>
      <c r="CD115" s="195">
        <f t="shared" si="296"/>
        <v>2873.2</v>
      </c>
      <c r="CE115" s="195">
        <f t="shared" si="297"/>
        <v>2873.2</v>
      </c>
      <c r="CF115" s="239">
        <f t="shared" si="298"/>
        <v>1.45</v>
      </c>
      <c r="CG115" s="239">
        <f t="shared" si="298"/>
        <v>9.96</v>
      </c>
      <c r="CH115" s="1">
        <f t="shared" si="287"/>
        <v>4780.8</v>
      </c>
      <c r="CI115" s="1"/>
      <c r="CJ115" s="1"/>
      <c r="CK115" s="211">
        <f t="shared" si="299"/>
        <v>0</v>
      </c>
      <c r="CL115" s="211">
        <f t="shared" si="300"/>
        <v>0</v>
      </c>
      <c r="CM115" s="211">
        <f t="shared" si="301"/>
        <v>0</v>
      </c>
      <c r="CN115" s="1"/>
      <c r="CO115" s="1"/>
      <c r="CP115" s="1"/>
      <c r="CQ115" s="1">
        <f t="shared" si="288"/>
        <v>0</v>
      </c>
      <c r="CR115" s="195">
        <f t="shared" si="201"/>
        <v>0</v>
      </c>
      <c r="CS115" s="195"/>
      <c r="CT115" s="195"/>
      <c r="CU115" s="1"/>
      <c r="CV115" s="199">
        <f t="shared" si="302"/>
        <v>1.676429115700822</v>
      </c>
      <c r="CW115" s="199">
        <f t="shared" si="303"/>
        <v>0</v>
      </c>
      <c r="CX115" s="199">
        <f t="shared" si="304"/>
        <v>0</v>
      </c>
      <c r="CY115" s="199">
        <f t="shared" si="305"/>
        <v>0</v>
      </c>
      <c r="CZ115" s="199">
        <f t="shared" si="306"/>
        <v>0</v>
      </c>
      <c r="DA115" s="199">
        <f t="shared" si="307"/>
        <v>0</v>
      </c>
      <c r="DB115" s="199">
        <f t="shared" si="308"/>
        <v>0</v>
      </c>
      <c r="DC115" s="199">
        <f t="shared" si="309"/>
        <v>0</v>
      </c>
      <c r="DD115" s="199">
        <f t="shared" si="310"/>
        <v>0</v>
      </c>
      <c r="DE115" s="199">
        <f t="shared" si="311"/>
        <v>0</v>
      </c>
      <c r="DF115" s="199">
        <f t="shared" si="312"/>
        <v>0</v>
      </c>
      <c r="DG115" s="199">
        <f t="shared" si="313"/>
        <v>0</v>
      </c>
      <c r="DH115" s="199">
        <f t="shared" si="314"/>
        <v>2.85160617605775</v>
      </c>
      <c r="DI115" s="199">
        <f t="shared" si="315"/>
        <v>0</v>
      </c>
      <c r="DJ115" s="199">
        <f t="shared" si="316"/>
        <v>0.44406978143172243</v>
      </c>
      <c r="DK115" s="199">
        <f t="shared" si="317"/>
        <v>0</v>
      </c>
      <c r="DL115" s="199">
        <f t="shared" si="318"/>
        <v>0</v>
      </c>
      <c r="DM115" s="199">
        <f t="shared" si="319"/>
        <v>0</v>
      </c>
      <c r="DN115" s="199">
        <f t="shared" si="320"/>
        <v>0</v>
      </c>
      <c r="DO115" s="199">
        <f t="shared" si="321"/>
        <v>0</v>
      </c>
      <c r="DP115" s="199">
        <f t="shared" si="322"/>
        <v>0</v>
      </c>
      <c r="DQ115" s="199">
        <f t="shared" si="323"/>
        <v>0</v>
      </c>
      <c r="DR115" s="199">
        <f t="shared" si="324"/>
        <v>0</v>
      </c>
      <c r="DS115" s="199">
        <f t="shared" si="325"/>
        <v>0</v>
      </c>
      <c r="DT115" s="199">
        <f t="shared" si="326"/>
        <v>0</v>
      </c>
      <c r="DU115" s="199">
        <f t="shared" si="327"/>
        <v>0</v>
      </c>
      <c r="DV115" s="199">
        <f t="shared" si="328"/>
        <v>0.000291959093643473</v>
      </c>
      <c r="DW115" s="199">
        <f t="shared" si="329"/>
        <v>0</v>
      </c>
      <c r="DX115" s="199">
        <f t="shared" si="330"/>
        <v>0</v>
      </c>
      <c r="DY115" s="199">
        <f t="shared" si="331"/>
        <v>0</v>
      </c>
      <c r="DZ115" s="199">
        <f t="shared" si="332"/>
        <v>0</v>
      </c>
      <c r="EA115" s="199">
        <f t="shared" si="333"/>
        <v>1.5327351914978944</v>
      </c>
      <c r="EB115" s="199">
        <f t="shared" si="334"/>
        <v>0.1768971806697413</v>
      </c>
      <c r="EC115" s="202">
        <f t="shared" si="184"/>
        <v>6.6820294044515745</v>
      </c>
      <c r="ED115" s="202">
        <f>SUM(CV115:DI115,DS115:DT115,DW115,DY115,EA115:EB115)</f>
        <v>6.237667663926208</v>
      </c>
      <c r="EE115" s="203">
        <f t="shared" si="235"/>
        <v>1.0325390917610278</v>
      </c>
      <c r="EF115" s="199"/>
      <c r="EI115" s="1">
        <f t="shared" si="335"/>
        <v>0.18495710758393283</v>
      </c>
      <c r="EJ115" s="1">
        <f t="shared" si="336"/>
        <v>0</v>
      </c>
      <c r="EK115" s="1">
        <f t="shared" si="337"/>
        <v>0</v>
      </c>
      <c r="EL115" s="1">
        <f t="shared" si="338"/>
        <v>0</v>
      </c>
      <c r="EM115" s="1">
        <f t="shared" si="339"/>
        <v>0</v>
      </c>
      <c r="EN115" s="1">
        <f t="shared" si="340"/>
        <v>0</v>
      </c>
      <c r="EO115" s="1">
        <f t="shared" si="341"/>
        <v>0</v>
      </c>
      <c r="EP115" s="1">
        <f t="shared" si="342"/>
        <v>0</v>
      </c>
      <c r="EQ115" s="1">
        <f t="shared" si="343"/>
        <v>0</v>
      </c>
      <c r="ER115" s="1">
        <f t="shared" si="344"/>
        <v>0</v>
      </c>
      <c r="ES115" s="1">
        <f t="shared" si="345"/>
        <v>0</v>
      </c>
      <c r="ET115" s="1">
        <f t="shared" si="346"/>
        <v>0</v>
      </c>
      <c r="EU115" s="1">
        <f t="shared" si="347"/>
        <v>0.07346601658824001</v>
      </c>
      <c r="EV115" s="1">
        <f t="shared" si="348"/>
        <v>0</v>
      </c>
      <c r="EW115" s="1">
        <f t="shared" si="349"/>
        <v>0.059350736407200004</v>
      </c>
      <c r="EX115" s="1">
        <f t="shared" si="350"/>
        <v>0</v>
      </c>
      <c r="EY115" s="1">
        <f t="shared" si="351"/>
        <v>0</v>
      </c>
      <c r="EZ115" s="1">
        <f t="shared" si="352"/>
        <v>0</v>
      </c>
      <c r="FA115" s="1">
        <f t="shared" si="353"/>
        <v>0</v>
      </c>
      <c r="FB115" s="1">
        <f t="shared" si="354"/>
        <v>0</v>
      </c>
      <c r="FC115" s="1">
        <f t="shared" si="355"/>
        <v>0</v>
      </c>
      <c r="FD115" s="1">
        <f t="shared" si="356"/>
        <v>0</v>
      </c>
      <c r="FE115" s="1">
        <f t="shared" si="357"/>
        <v>0</v>
      </c>
      <c r="FF115" s="1">
        <f t="shared" si="358"/>
        <v>0</v>
      </c>
      <c r="FG115" s="1">
        <f t="shared" si="359"/>
        <v>0</v>
      </c>
      <c r="FH115" s="1">
        <f t="shared" si="360"/>
        <v>0</v>
      </c>
      <c r="FI115" s="1">
        <f t="shared" si="361"/>
        <v>0</v>
      </c>
      <c r="FJ115" s="1">
        <f t="shared" si="362"/>
        <v>0</v>
      </c>
      <c r="FK115" s="1">
        <f t="shared" si="363"/>
        <v>0</v>
      </c>
      <c r="FL115" s="1">
        <f t="shared" si="364"/>
        <v>0</v>
      </c>
      <c r="FM115" s="1">
        <f t="shared" si="365"/>
        <v>0</v>
      </c>
      <c r="FN115" s="1">
        <f t="shared" si="366"/>
        <v>4.472293968912</v>
      </c>
      <c r="FO115" s="1">
        <f>IF(O115=0,0,SUM(EI115:FN115))</f>
        <v>4.790067829491373</v>
      </c>
    </row>
    <row r="116" spans="1:171" s="45" customFormat="1" ht="12.75">
      <c r="A116" s="33">
        <v>151</v>
      </c>
      <c r="B116" s="34" t="s">
        <v>165</v>
      </c>
      <c r="C116" s="34" t="s">
        <v>293</v>
      </c>
      <c r="D116" s="35" t="s">
        <v>288</v>
      </c>
      <c r="E116" s="35">
        <v>4</v>
      </c>
      <c r="F116" s="35" t="s">
        <v>270</v>
      </c>
      <c r="G116" s="35" t="s">
        <v>74</v>
      </c>
      <c r="H116" s="35" t="s">
        <v>75</v>
      </c>
      <c r="I116" s="35">
        <v>3</v>
      </c>
      <c r="J116" s="35"/>
      <c r="K116" s="26">
        <f t="shared" si="268"/>
        <v>1</v>
      </c>
      <c r="L116" s="26">
        <f t="shared" si="269"/>
        <v>1</v>
      </c>
      <c r="M116" s="33">
        <v>414700</v>
      </c>
      <c r="N116" s="33">
        <v>1070720</v>
      </c>
      <c r="O116" s="27">
        <f t="shared" si="270"/>
        <v>66000</v>
      </c>
      <c r="P116" s="30">
        <v>66000</v>
      </c>
      <c r="Q116" s="30">
        <v>71500</v>
      </c>
      <c r="R116" s="30">
        <v>32000</v>
      </c>
      <c r="S116" s="31">
        <v>0</v>
      </c>
      <c r="T116" s="31">
        <v>0</v>
      </c>
      <c r="U116" s="31">
        <v>0</v>
      </c>
      <c r="V116" s="31">
        <v>0</v>
      </c>
      <c r="W116" s="30">
        <v>21806</v>
      </c>
      <c r="X116" s="31">
        <v>0</v>
      </c>
      <c r="Y116" s="31">
        <v>11500</v>
      </c>
      <c r="Z116" s="30">
        <v>0</v>
      </c>
      <c r="AA116" s="31">
        <v>0</v>
      </c>
      <c r="AB116" s="30">
        <v>0</v>
      </c>
      <c r="AC116" s="30">
        <v>12500</v>
      </c>
      <c r="AD116" s="30">
        <v>0</v>
      </c>
      <c r="AE116" s="30">
        <v>12500</v>
      </c>
      <c r="AF116" s="30">
        <v>0</v>
      </c>
      <c r="AG116" s="30">
        <v>0</v>
      </c>
      <c r="AH116" s="30">
        <v>16000</v>
      </c>
      <c r="AI116" s="30">
        <v>0</v>
      </c>
      <c r="AJ116" s="30">
        <v>0</v>
      </c>
      <c r="AK116" s="30">
        <v>15000</v>
      </c>
      <c r="AL116" s="30">
        <v>0</v>
      </c>
      <c r="AM116" s="30">
        <v>4500</v>
      </c>
      <c r="AN116" s="31">
        <v>0</v>
      </c>
      <c r="AO116" s="30">
        <v>8000</v>
      </c>
      <c r="AP116" s="31">
        <v>0</v>
      </c>
      <c r="AQ116" s="31">
        <v>0</v>
      </c>
      <c r="AR116" s="31">
        <v>0</v>
      </c>
      <c r="AS116" s="31">
        <v>0</v>
      </c>
      <c r="AT116" s="31">
        <v>26</v>
      </c>
      <c r="AU116" s="30">
        <v>47</v>
      </c>
      <c r="AW116" s="1"/>
      <c r="AX116" s="2">
        <f t="shared" si="271"/>
        <v>55880</v>
      </c>
      <c r="AY116" s="32">
        <f t="shared" si="289"/>
        <v>51581.53846153846</v>
      </c>
      <c r="AZ116" s="186">
        <f t="shared" si="290"/>
        <v>0.4601527392382683</v>
      </c>
      <c r="BA116" s="186">
        <f t="shared" si="291"/>
        <v>0.028831372934214082</v>
      </c>
      <c r="BB116" s="186">
        <f t="shared" si="292"/>
        <v>0.3346290793900253</v>
      </c>
      <c r="BC116" s="53">
        <f t="shared" si="272"/>
        <v>66000</v>
      </c>
      <c r="BD116" s="53">
        <f t="shared" si="189"/>
        <v>28818.60861428375</v>
      </c>
      <c r="BE116" s="53">
        <f t="shared" si="190"/>
        <v>1805.6614283748454</v>
      </c>
      <c r="BF116" s="53">
        <f t="shared" si="191"/>
        <v>20957.268418879867</v>
      </c>
      <c r="BG116" s="53"/>
      <c r="BH116" s="53">
        <f t="shared" si="273"/>
        <v>4</v>
      </c>
      <c r="BI116" s="53">
        <f t="shared" si="274"/>
        <v>4</v>
      </c>
      <c r="BJ116" s="53">
        <f t="shared" si="275"/>
        <v>3</v>
      </c>
      <c r="BK116" s="53">
        <f t="shared" si="276"/>
        <v>3</v>
      </c>
      <c r="BL116" s="53"/>
      <c r="BM116" s="53">
        <f t="shared" si="277"/>
        <v>2</v>
      </c>
      <c r="BN116" s="53">
        <f t="shared" si="278"/>
        <v>2</v>
      </c>
      <c r="BO116" s="53">
        <f t="shared" si="279"/>
        <v>2</v>
      </c>
      <c r="BP116" s="53">
        <f t="shared" si="280"/>
        <v>0</v>
      </c>
      <c r="BQ116" s="53"/>
      <c r="BR116" s="53">
        <f t="shared" si="281"/>
        <v>6.5</v>
      </c>
      <c r="BS116" s="53">
        <f t="shared" si="282"/>
        <v>34.2</v>
      </c>
      <c r="BT116" s="53">
        <f t="shared" si="283"/>
        <v>11</v>
      </c>
      <c r="BU116" s="53">
        <f t="shared" si="293"/>
        <v>24816</v>
      </c>
      <c r="BV116" s="53"/>
      <c r="BW116" s="53">
        <f t="shared" si="367"/>
        <v>15600</v>
      </c>
      <c r="BX116" s="53">
        <f t="shared" si="285"/>
        <v>-21036</v>
      </c>
      <c r="BY116" s="53">
        <f t="shared" si="294"/>
        <v>-18814.91095745311</v>
      </c>
      <c r="BZ116" s="240">
        <f t="shared" si="286"/>
        <v>5.791300000000001</v>
      </c>
      <c r="CC116" s="1">
        <f t="shared" si="295"/>
        <v>0</v>
      </c>
      <c r="CD116" s="195">
        <f t="shared" si="296"/>
        <v>2873.2</v>
      </c>
      <c r="CE116" s="195">
        <f t="shared" si="297"/>
        <v>2873.2</v>
      </c>
      <c r="CF116" s="239">
        <f t="shared" si="298"/>
        <v>1.45</v>
      </c>
      <c r="CG116" s="239">
        <f t="shared" si="298"/>
        <v>9.96</v>
      </c>
      <c r="CH116" s="1">
        <f t="shared" si="287"/>
        <v>4780.8</v>
      </c>
      <c r="CI116" s="1"/>
      <c r="CJ116" s="1"/>
      <c r="CK116" s="211">
        <f t="shared" si="299"/>
        <v>0</v>
      </c>
      <c r="CL116" s="211">
        <f t="shared" si="300"/>
        <v>0</v>
      </c>
      <c r="CM116" s="211">
        <f t="shared" si="301"/>
        <v>0</v>
      </c>
      <c r="CN116" s="1"/>
      <c r="CO116" s="1"/>
      <c r="CP116" s="1"/>
      <c r="CQ116" s="1">
        <f t="shared" si="288"/>
        <v>1</v>
      </c>
      <c r="CR116" s="195">
        <f t="shared" si="201"/>
        <v>10000</v>
      </c>
      <c r="CS116" s="195"/>
      <c r="CT116" s="195"/>
      <c r="CU116" s="1"/>
      <c r="CV116" s="199">
        <f t="shared" si="302"/>
        <v>36.32263084018447</v>
      </c>
      <c r="CW116" s="199">
        <f t="shared" si="303"/>
        <v>9.609625025065169</v>
      </c>
      <c r="CX116" s="199">
        <f t="shared" si="304"/>
        <v>0</v>
      </c>
      <c r="CY116" s="199">
        <f t="shared" si="305"/>
        <v>0</v>
      </c>
      <c r="CZ116" s="199">
        <f t="shared" si="306"/>
        <v>0</v>
      </c>
      <c r="DA116" s="199">
        <f t="shared" si="307"/>
        <v>0</v>
      </c>
      <c r="DB116" s="199">
        <f t="shared" si="308"/>
        <v>5.675244339282133</v>
      </c>
      <c r="DC116" s="199">
        <f t="shared" si="309"/>
        <v>0</v>
      </c>
      <c r="DD116" s="199">
        <f t="shared" si="310"/>
        <v>3.491830759975937</v>
      </c>
      <c r="DE116" s="199">
        <f t="shared" si="311"/>
        <v>0</v>
      </c>
      <c r="DF116" s="199">
        <f t="shared" si="312"/>
        <v>0</v>
      </c>
      <c r="DG116" s="199">
        <f t="shared" si="313"/>
        <v>0</v>
      </c>
      <c r="DH116" s="199">
        <f t="shared" si="314"/>
        <v>16.57910567475436</v>
      </c>
      <c r="DI116" s="199">
        <f t="shared" si="315"/>
        <v>0</v>
      </c>
      <c r="DJ116" s="199">
        <f t="shared" si="316"/>
        <v>1.707960697814317</v>
      </c>
      <c r="DK116" s="199">
        <f t="shared" si="317"/>
        <v>0</v>
      </c>
      <c r="DL116" s="199">
        <f t="shared" si="318"/>
        <v>0</v>
      </c>
      <c r="DM116" s="199">
        <f t="shared" si="319"/>
        <v>2.1861896932023255</v>
      </c>
      <c r="DN116" s="199">
        <f t="shared" si="320"/>
        <v>0</v>
      </c>
      <c r="DO116" s="199">
        <f t="shared" si="321"/>
        <v>0</v>
      </c>
      <c r="DP116" s="199">
        <f t="shared" si="322"/>
        <v>2.0495528373771807</v>
      </c>
      <c r="DQ116" s="199">
        <f t="shared" si="323"/>
        <v>0</v>
      </c>
      <c r="DR116" s="199">
        <f t="shared" si="324"/>
        <v>0.6756767595748947</v>
      </c>
      <c r="DS116" s="199">
        <f t="shared" si="325"/>
        <v>0</v>
      </c>
      <c r="DT116" s="199">
        <f t="shared" si="326"/>
        <v>22.95632644876679</v>
      </c>
      <c r="DU116" s="199">
        <f t="shared" si="327"/>
        <v>0</v>
      </c>
      <c r="DV116" s="199">
        <f t="shared" si="328"/>
        <v>0</v>
      </c>
      <c r="DW116" s="199">
        <f t="shared" si="329"/>
        <v>0</v>
      </c>
      <c r="DX116" s="199">
        <f t="shared" si="330"/>
        <v>0</v>
      </c>
      <c r="DY116" s="199">
        <f t="shared" si="331"/>
        <v>1.075744134750351</v>
      </c>
      <c r="DZ116" s="199">
        <f t="shared" si="332"/>
        <v>0.003042380589532785</v>
      </c>
      <c r="EA116" s="199">
        <f t="shared" si="333"/>
        <v>29.94728758772809</v>
      </c>
      <c r="EB116" s="199">
        <f t="shared" si="334"/>
        <v>3.6879153639462605</v>
      </c>
      <c r="EC116" s="202">
        <f t="shared" si="184"/>
        <v>135.96813254301182</v>
      </c>
      <c r="ED116" s="202">
        <f>SUM(CV116:DI116,DS116:DT116,DW116,DY116,EA116:EB116)</f>
        <v>129.3457101744536</v>
      </c>
      <c r="EE116" s="203">
        <f t="shared" si="235"/>
        <v>21.41096789735853</v>
      </c>
      <c r="EF116" s="199"/>
      <c r="EI116" s="1">
        <f t="shared" si="335"/>
        <v>0.5699766927982697</v>
      </c>
      <c r="EJ116" s="1">
        <f t="shared" si="336"/>
        <v>0.010606863429336002</v>
      </c>
      <c r="EK116" s="1">
        <f t="shared" si="337"/>
        <v>0</v>
      </c>
      <c r="EL116" s="1">
        <f t="shared" si="338"/>
        <v>0</v>
      </c>
      <c r="EM116" s="1">
        <f t="shared" si="339"/>
        <v>0</v>
      </c>
      <c r="EN116" s="1">
        <f t="shared" si="340"/>
        <v>0</v>
      </c>
      <c r="EO116" s="1">
        <f t="shared" si="341"/>
        <v>0.2644897670328</v>
      </c>
      <c r="EP116" s="1">
        <f t="shared" si="342"/>
        <v>0</v>
      </c>
      <c r="EQ116" s="1">
        <f t="shared" si="343"/>
        <v>0.21621849683808003</v>
      </c>
      <c r="ER116" s="1">
        <f t="shared" si="344"/>
        <v>0</v>
      </c>
      <c r="ES116" s="1">
        <f t="shared" si="345"/>
        <v>0</v>
      </c>
      <c r="ET116" s="1">
        <f t="shared" si="346"/>
        <v>0</v>
      </c>
      <c r="EU116" s="1">
        <f t="shared" si="347"/>
        <v>0.14589546715944002</v>
      </c>
      <c r="EV116" s="1">
        <f t="shared" si="348"/>
        <v>0</v>
      </c>
      <c r="EW116" s="1">
        <f t="shared" si="349"/>
        <v>0.059350736407200004</v>
      </c>
      <c r="EX116" s="1">
        <f t="shared" si="350"/>
        <v>0</v>
      </c>
      <c r="EY116" s="1">
        <f t="shared" si="351"/>
        <v>0</v>
      </c>
      <c r="EZ116" s="1">
        <f t="shared" si="352"/>
        <v>0.059350736407200004</v>
      </c>
      <c r="FA116" s="1">
        <f t="shared" si="353"/>
        <v>0</v>
      </c>
      <c r="FB116" s="1">
        <f t="shared" si="354"/>
        <v>0</v>
      </c>
      <c r="FC116" s="1">
        <f t="shared" si="355"/>
        <v>0.059350736407200004</v>
      </c>
      <c r="FD116" s="1">
        <f t="shared" si="356"/>
        <v>0</v>
      </c>
      <c r="FE116" s="1">
        <f t="shared" si="357"/>
        <v>0.059350736407200004</v>
      </c>
      <c r="FF116" s="1">
        <f t="shared" si="358"/>
        <v>0</v>
      </c>
      <c r="FG116" s="1">
        <f t="shared" si="359"/>
        <v>0.059350736407200004</v>
      </c>
      <c r="FH116" s="1">
        <f t="shared" si="360"/>
        <v>0</v>
      </c>
      <c r="FI116" s="1">
        <f t="shared" si="361"/>
        <v>0</v>
      </c>
      <c r="FJ116" s="1">
        <f t="shared" si="362"/>
        <v>0</v>
      </c>
      <c r="FK116" s="1">
        <f t="shared" si="363"/>
        <v>0</v>
      </c>
      <c r="FL116" s="1">
        <f t="shared" si="364"/>
        <v>4.263919336981805</v>
      </c>
      <c r="FM116" s="1">
        <f t="shared" si="365"/>
        <v>0.0034234991863440005</v>
      </c>
      <c r="FN116" s="1">
        <f t="shared" si="366"/>
        <v>7.46760736344</v>
      </c>
      <c r="FO116" s="1">
        <f>IF(O116=0,0,SUM(EI116:FN116))</f>
        <v>13.238891168902075</v>
      </c>
    </row>
    <row r="117" spans="1:171" s="45" customFormat="1" ht="12.75">
      <c r="A117" s="33">
        <v>152</v>
      </c>
      <c r="B117" s="47" t="s">
        <v>294</v>
      </c>
      <c r="C117" s="34" t="s">
        <v>295</v>
      </c>
      <c r="D117" s="35" t="s">
        <v>288</v>
      </c>
      <c r="E117" s="35">
        <v>4</v>
      </c>
      <c r="F117" s="35" t="s">
        <v>270</v>
      </c>
      <c r="G117" s="35" t="s">
        <v>74</v>
      </c>
      <c r="H117" s="35" t="s">
        <v>75</v>
      </c>
      <c r="I117" s="35">
        <v>3</v>
      </c>
      <c r="J117" s="35"/>
      <c r="K117" s="26">
        <f t="shared" si="268"/>
        <v>1</v>
      </c>
      <c r="L117" s="26">
        <f t="shared" si="269"/>
        <v>1</v>
      </c>
      <c r="M117" s="33">
        <v>435059</v>
      </c>
      <c r="N117" s="33">
        <v>1040257</v>
      </c>
      <c r="O117" s="27">
        <f t="shared" si="270"/>
        <v>12500</v>
      </c>
      <c r="P117" s="30">
        <v>12500</v>
      </c>
      <c r="Q117" s="30">
        <v>13800</v>
      </c>
      <c r="R117" s="30">
        <v>1800</v>
      </c>
      <c r="S117" s="31">
        <v>0</v>
      </c>
      <c r="T117" s="31">
        <v>0</v>
      </c>
      <c r="U117" s="31">
        <v>0</v>
      </c>
      <c r="V117" s="31">
        <v>0</v>
      </c>
      <c r="W117" s="30">
        <v>5500</v>
      </c>
      <c r="X117" s="31">
        <v>0</v>
      </c>
      <c r="Y117" s="31">
        <v>0</v>
      </c>
      <c r="Z117" s="30">
        <v>0</v>
      </c>
      <c r="AA117" s="31">
        <v>0</v>
      </c>
      <c r="AB117" s="30">
        <v>0</v>
      </c>
      <c r="AC117" s="30">
        <v>2750</v>
      </c>
      <c r="AD117" s="30">
        <v>0</v>
      </c>
      <c r="AE117" s="30">
        <v>3000</v>
      </c>
      <c r="AF117" s="30">
        <v>0</v>
      </c>
      <c r="AG117" s="30">
        <v>0</v>
      </c>
      <c r="AH117" s="30">
        <v>3800</v>
      </c>
      <c r="AI117" s="30">
        <v>0</v>
      </c>
      <c r="AJ117" s="30">
        <v>0</v>
      </c>
      <c r="AK117" s="30">
        <v>0</v>
      </c>
      <c r="AL117" s="30">
        <v>0</v>
      </c>
      <c r="AM117" s="30">
        <v>1520</v>
      </c>
      <c r="AN117" s="31">
        <v>0</v>
      </c>
      <c r="AO117" s="30">
        <v>0</v>
      </c>
      <c r="AP117" s="31">
        <v>24</v>
      </c>
      <c r="AQ117" s="31">
        <v>0</v>
      </c>
      <c r="AR117" s="31">
        <v>0</v>
      </c>
      <c r="AS117" s="31">
        <v>0</v>
      </c>
      <c r="AT117" s="31">
        <v>0</v>
      </c>
      <c r="AU117" s="30">
        <v>4</v>
      </c>
      <c r="AW117" s="1"/>
      <c r="AX117" s="2">
        <f t="shared" si="271"/>
        <v>12144</v>
      </c>
      <c r="AY117" s="32">
        <f t="shared" si="289"/>
        <v>11000</v>
      </c>
      <c r="AZ117" s="186">
        <f t="shared" si="290"/>
        <v>0.4601527392382683</v>
      </c>
      <c r="BA117" s="186">
        <f t="shared" si="291"/>
        <v>0.028831372934214082</v>
      </c>
      <c r="BB117" s="186">
        <f t="shared" si="292"/>
        <v>0.3346290793900253</v>
      </c>
      <c r="BC117" s="53">
        <f t="shared" si="272"/>
        <v>12500</v>
      </c>
      <c r="BD117" s="53">
        <f t="shared" si="189"/>
        <v>6145.700655933214</v>
      </c>
      <c r="BE117" s="53">
        <f t="shared" si="190"/>
        <v>385.06559332140733</v>
      </c>
      <c r="BF117" s="53">
        <f t="shared" si="191"/>
        <v>4469.2337507453785</v>
      </c>
      <c r="BG117" s="53"/>
      <c r="BH117" s="53">
        <f t="shared" si="273"/>
        <v>2</v>
      </c>
      <c r="BI117" s="53">
        <f t="shared" si="274"/>
        <v>3</v>
      </c>
      <c r="BJ117" s="53">
        <f t="shared" si="275"/>
        <v>3</v>
      </c>
      <c r="BK117" s="53">
        <f t="shared" si="276"/>
        <v>2</v>
      </c>
      <c r="BL117" s="53"/>
      <c r="BM117" s="53">
        <f t="shared" si="277"/>
        <v>1</v>
      </c>
      <c r="BN117" s="53">
        <f t="shared" si="278"/>
        <v>2</v>
      </c>
      <c r="BO117" s="53">
        <f t="shared" si="279"/>
        <v>2</v>
      </c>
      <c r="BP117" s="53">
        <f t="shared" si="280"/>
        <v>0</v>
      </c>
      <c r="BQ117" s="53"/>
      <c r="BR117" s="53">
        <f t="shared" si="281"/>
        <v>3.25</v>
      </c>
      <c r="BS117" s="53">
        <f t="shared" si="282"/>
        <v>34.2</v>
      </c>
      <c r="BT117" s="53">
        <f t="shared" si="283"/>
        <v>11</v>
      </c>
      <c r="BU117" s="53">
        <f t="shared" si="293"/>
        <v>23256</v>
      </c>
      <c r="BV117" s="53"/>
      <c r="BW117" s="53">
        <f t="shared" si="367"/>
        <v>13000</v>
      </c>
      <c r="BX117" s="53">
        <f t="shared" si="285"/>
        <v>-20106</v>
      </c>
      <c r="BY117" s="53">
        <f t="shared" si="294"/>
        <v>-18255.092464544257</v>
      </c>
      <c r="BZ117" s="240">
        <f t="shared" si="286"/>
        <v>5.5020500000000006</v>
      </c>
      <c r="CC117" s="1">
        <f t="shared" si="295"/>
        <v>0</v>
      </c>
      <c r="CD117" s="195">
        <f t="shared" si="296"/>
        <v>2873.2</v>
      </c>
      <c r="CE117" s="195">
        <f t="shared" si="297"/>
        <v>2873.2</v>
      </c>
      <c r="CF117" s="239">
        <f t="shared" si="298"/>
        <v>1.45</v>
      </c>
      <c r="CG117" s="239">
        <f t="shared" si="298"/>
        <v>9.96</v>
      </c>
      <c r="CH117" s="1">
        <f t="shared" si="287"/>
        <v>4780.8</v>
      </c>
      <c r="CI117" s="1"/>
      <c r="CJ117" s="1"/>
      <c r="CK117" s="211">
        <f t="shared" si="299"/>
        <v>0</v>
      </c>
      <c r="CL117" s="211">
        <f t="shared" si="300"/>
        <v>0</v>
      </c>
      <c r="CM117" s="211">
        <f t="shared" si="301"/>
        <v>0</v>
      </c>
      <c r="CN117" s="1"/>
      <c r="CO117" s="1"/>
      <c r="CP117" s="1"/>
      <c r="CQ117" s="1">
        <f t="shared" si="288"/>
        <v>0</v>
      </c>
      <c r="CR117" s="195">
        <f t="shared" si="201"/>
        <v>0</v>
      </c>
      <c r="CS117" s="195"/>
      <c r="CT117" s="195"/>
      <c r="CU117" s="1"/>
      <c r="CV117" s="199">
        <f t="shared" si="302"/>
        <v>7.010521756567074</v>
      </c>
      <c r="CW117" s="199">
        <f t="shared" si="303"/>
        <v>0.5405414076599158</v>
      </c>
      <c r="CX117" s="199">
        <f t="shared" si="304"/>
        <v>0</v>
      </c>
      <c r="CY117" s="199">
        <f t="shared" si="305"/>
        <v>0</v>
      </c>
      <c r="CZ117" s="199">
        <f t="shared" si="306"/>
        <v>0</v>
      </c>
      <c r="DA117" s="199">
        <f t="shared" si="307"/>
        <v>0</v>
      </c>
      <c r="DB117" s="199">
        <f t="shared" si="308"/>
        <v>1.4314337276919993</v>
      </c>
      <c r="DC117" s="199">
        <f t="shared" si="309"/>
        <v>0</v>
      </c>
      <c r="DD117" s="199">
        <f t="shared" si="310"/>
        <v>0</v>
      </c>
      <c r="DE117" s="199">
        <f t="shared" si="311"/>
        <v>0</v>
      </c>
      <c r="DF117" s="199">
        <f t="shared" si="312"/>
        <v>0</v>
      </c>
      <c r="DG117" s="199">
        <f t="shared" si="313"/>
        <v>0</v>
      </c>
      <c r="DH117" s="199">
        <f t="shared" si="314"/>
        <v>3.647403248445959</v>
      </c>
      <c r="DI117" s="199">
        <f t="shared" si="315"/>
        <v>0</v>
      </c>
      <c r="DJ117" s="199">
        <f t="shared" si="316"/>
        <v>0.4099105674754361</v>
      </c>
      <c r="DK117" s="199">
        <f t="shared" si="317"/>
        <v>0</v>
      </c>
      <c r="DL117" s="199">
        <f t="shared" si="318"/>
        <v>0</v>
      </c>
      <c r="DM117" s="199">
        <f t="shared" si="319"/>
        <v>0.5192200521355524</v>
      </c>
      <c r="DN117" s="199">
        <f t="shared" si="320"/>
        <v>0</v>
      </c>
      <c r="DO117" s="199">
        <f t="shared" si="321"/>
        <v>0</v>
      </c>
      <c r="DP117" s="199">
        <f t="shared" si="322"/>
        <v>0</v>
      </c>
      <c r="DQ117" s="199">
        <f t="shared" si="323"/>
        <v>0</v>
      </c>
      <c r="DR117" s="199">
        <f t="shared" si="324"/>
        <v>0.22822859434529774</v>
      </c>
      <c r="DS117" s="199">
        <f t="shared" si="325"/>
        <v>0</v>
      </c>
      <c r="DT117" s="199">
        <f t="shared" si="326"/>
        <v>0</v>
      </c>
      <c r="DU117" s="199">
        <f t="shared" si="327"/>
        <v>7.007018247443351E-06</v>
      </c>
      <c r="DV117" s="199">
        <f t="shared" si="328"/>
        <v>0</v>
      </c>
      <c r="DW117" s="199">
        <f t="shared" si="329"/>
        <v>0</v>
      </c>
      <c r="DX117" s="199">
        <f t="shared" si="330"/>
        <v>0</v>
      </c>
      <c r="DY117" s="199">
        <f t="shared" si="331"/>
        <v>0</v>
      </c>
      <c r="DZ117" s="199">
        <f t="shared" si="332"/>
        <v>0.00025892600761981145</v>
      </c>
      <c r="EA117" s="199">
        <f t="shared" si="333"/>
        <v>6.386396631241227</v>
      </c>
      <c r="EB117" s="199">
        <f t="shared" si="334"/>
        <v>0.7370715861239221</v>
      </c>
      <c r="EC117" s="202">
        <f t="shared" si="184"/>
        <v>20.91099350471225</v>
      </c>
      <c r="ED117" s="202">
        <f>SUM(CV117:DI117,DS117:DT117,DW117,DY117,EA117:EB117)</f>
        <v>19.753368357730096</v>
      </c>
      <c r="EE117" s="203">
        <f t="shared" si="235"/>
        <v>3.2698319503725557</v>
      </c>
      <c r="EF117" s="199"/>
      <c r="EI117" s="1">
        <f t="shared" si="335"/>
        <v>0.18495710758393283</v>
      </c>
      <c r="EJ117" s="1">
        <f t="shared" si="336"/>
        <v>0.002442336444552</v>
      </c>
      <c r="EK117" s="1">
        <f t="shared" si="337"/>
        <v>0</v>
      </c>
      <c r="EL117" s="1">
        <f t="shared" si="338"/>
        <v>0</v>
      </c>
      <c r="EM117" s="1">
        <f t="shared" si="339"/>
        <v>0</v>
      </c>
      <c r="EN117" s="1">
        <f t="shared" si="340"/>
        <v>0</v>
      </c>
      <c r="EO117" s="1">
        <f t="shared" si="341"/>
        <v>0.20522871634656004</v>
      </c>
      <c r="EP117" s="1">
        <f t="shared" si="342"/>
        <v>0</v>
      </c>
      <c r="EQ117" s="1">
        <f t="shared" si="343"/>
        <v>0</v>
      </c>
      <c r="ER117" s="1">
        <f t="shared" si="344"/>
        <v>0</v>
      </c>
      <c r="ES117" s="1">
        <f t="shared" si="345"/>
        <v>0</v>
      </c>
      <c r="ET117" s="1">
        <f t="shared" si="346"/>
        <v>0</v>
      </c>
      <c r="EU117" s="1">
        <f t="shared" si="347"/>
        <v>0.07346601658824001</v>
      </c>
      <c r="EV117" s="1">
        <f t="shared" si="348"/>
        <v>0</v>
      </c>
      <c r="EW117" s="1">
        <f t="shared" si="349"/>
        <v>0.059350736407200004</v>
      </c>
      <c r="EX117" s="1">
        <f t="shared" si="350"/>
        <v>0</v>
      </c>
      <c r="EY117" s="1">
        <f t="shared" si="351"/>
        <v>0</v>
      </c>
      <c r="EZ117" s="1">
        <f t="shared" si="352"/>
        <v>0.059350736407200004</v>
      </c>
      <c r="FA117" s="1">
        <f t="shared" si="353"/>
        <v>0</v>
      </c>
      <c r="FB117" s="1">
        <f t="shared" si="354"/>
        <v>0</v>
      </c>
      <c r="FC117" s="1">
        <f t="shared" si="355"/>
        <v>0</v>
      </c>
      <c r="FD117" s="1">
        <f t="shared" si="356"/>
        <v>0</v>
      </c>
      <c r="FE117" s="1">
        <f t="shared" si="357"/>
        <v>0.059350736407200004</v>
      </c>
      <c r="FF117" s="1">
        <f t="shared" si="358"/>
        <v>0</v>
      </c>
      <c r="FG117" s="1">
        <f t="shared" si="359"/>
        <v>0</v>
      </c>
      <c r="FH117" s="1">
        <f t="shared" si="360"/>
        <v>0</v>
      </c>
      <c r="FI117" s="1">
        <f t="shared" si="361"/>
        <v>0</v>
      </c>
      <c r="FJ117" s="1">
        <f t="shared" si="362"/>
        <v>0</v>
      </c>
      <c r="FK117" s="1">
        <f t="shared" si="363"/>
        <v>0</v>
      </c>
      <c r="FL117" s="1">
        <f t="shared" si="364"/>
        <v>0</v>
      </c>
      <c r="FM117" s="1">
        <f t="shared" si="365"/>
        <v>0.0034234991863440005</v>
      </c>
      <c r="FN117" s="1">
        <f t="shared" si="366"/>
        <v>4.472293968912</v>
      </c>
      <c r="FO117" s="1">
        <f>IF(O117=0,0,SUM(EI117:FN117))</f>
        <v>5.119863854283229</v>
      </c>
    </row>
    <row r="118" spans="1:171" s="45" customFormat="1" ht="12.75">
      <c r="A118" s="24">
        <v>4</v>
      </c>
      <c r="B118" s="25" t="s">
        <v>296</v>
      </c>
      <c r="C118" s="25" t="s">
        <v>297</v>
      </c>
      <c r="D118" s="26" t="s">
        <v>298</v>
      </c>
      <c r="E118" s="26">
        <v>5</v>
      </c>
      <c r="F118" s="26" t="s">
        <v>299</v>
      </c>
      <c r="G118" s="26" t="s">
        <v>74</v>
      </c>
      <c r="H118" s="26" t="s">
        <v>75</v>
      </c>
      <c r="I118" s="26">
        <v>3</v>
      </c>
      <c r="J118" s="26"/>
      <c r="K118" s="26">
        <f t="shared" si="268"/>
        <v>0</v>
      </c>
      <c r="L118" s="26">
        <f t="shared" si="269"/>
        <v>0</v>
      </c>
      <c r="M118" s="24">
        <v>701300</v>
      </c>
      <c r="N118" s="24">
        <v>1482400</v>
      </c>
      <c r="O118" s="27">
        <f t="shared" si="270"/>
        <v>12500</v>
      </c>
      <c r="P118" s="28">
        <v>12500</v>
      </c>
      <c r="Q118" s="28">
        <v>14200</v>
      </c>
      <c r="R118" s="28">
        <v>0</v>
      </c>
      <c r="S118" s="29">
        <v>0</v>
      </c>
      <c r="T118" s="29">
        <v>0</v>
      </c>
      <c r="U118" s="29">
        <v>0</v>
      </c>
      <c r="V118" s="29">
        <v>0</v>
      </c>
      <c r="W118" s="28">
        <v>0</v>
      </c>
      <c r="X118" s="29">
        <v>0</v>
      </c>
      <c r="Y118" s="29">
        <v>0</v>
      </c>
      <c r="Z118" s="28">
        <v>0</v>
      </c>
      <c r="AA118" s="29">
        <v>0</v>
      </c>
      <c r="AB118" s="28">
        <v>0</v>
      </c>
      <c r="AC118" s="28">
        <v>0</v>
      </c>
      <c r="AD118" s="28">
        <v>0</v>
      </c>
      <c r="AE118" s="28">
        <v>0</v>
      </c>
      <c r="AF118" s="28">
        <v>0</v>
      </c>
      <c r="AG118" s="28">
        <v>0</v>
      </c>
      <c r="AH118" s="28">
        <v>0</v>
      </c>
      <c r="AI118" s="28">
        <v>0</v>
      </c>
      <c r="AJ118" s="28">
        <v>0</v>
      </c>
      <c r="AK118" s="28">
        <v>0</v>
      </c>
      <c r="AL118" s="28">
        <v>0</v>
      </c>
      <c r="AM118" s="30">
        <v>0</v>
      </c>
      <c r="AN118" s="31">
        <v>0</v>
      </c>
      <c r="AO118" s="30">
        <v>0</v>
      </c>
      <c r="AP118" s="31">
        <v>0</v>
      </c>
      <c r="AQ118" s="31">
        <v>0</v>
      </c>
      <c r="AR118" s="31">
        <v>0</v>
      </c>
      <c r="AS118" s="31">
        <v>0</v>
      </c>
      <c r="AT118" s="31">
        <v>0</v>
      </c>
      <c r="AU118" s="30">
        <v>0</v>
      </c>
      <c r="AW118" s="1"/>
      <c r="AX118" s="2">
        <f t="shared" si="271"/>
        <v>12496</v>
      </c>
      <c r="AY118" s="32">
        <f t="shared" si="289"/>
        <v>11000</v>
      </c>
      <c r="AZ118" s="186">
        <f t="shared" si="290"/>
        <v>0.4729261498050349</v>
      </c>
      <c r="BA118" s="186">
        <f t="shared" si="291"/>
        <v>0.08236513549671251</v>
      </c>
      <c r="BB118" s="186">
        <f t="shared" si="292"/>
        <v>0.2846822842738975</v>
      </c>
      <c r="BC118" s="53">
        <f t="shared" si="272"/>
        <v>12500</v>
      </c>
      <c r="BD118" s="53">
        <f t="shared" si="189"/>
        <v>6193.275403276714</v>
      </c>
      <c r="BE118" s="53">
        <f t="shared" si="190"/>
        <v>1078.6249987860422</v>
      </c>
      <c r="BF118" s="53">
        <f t="shared" si="191"/>
        <v>3728.0995979372433</v>
      </c>
      <c r="BG118" s="53"/>
      <c r="BH118" s="53">
        <f t="shared" si="273"/>
        <v>2</v>
      </c>
      <c r="BI118" s="53">
        <f t="shared" si="274"/>
        <v>3</v>
      </c>
      <c r="BJ118" s="53">
        <f t="shared" si="275"/>
        <v>3</v>
      </c>
      <c r="BK118" s="53">
        <f t="shared" si="276"/>
        <v>2</v>
      </c>
      <c r="BL118" s="53"/>
      <c r="BM118" s="53">
        <f t="shared" si="277"/>
        <v>1</v>
      </c>
      <c r="BN118" s="53">
        <f t="shared" si="278"/>
        <v>2</v>
      </c>
      <c r="BO118" s="53">
        <f t="shared" si="279"/>
        <v>2</v>
      </c>
      <c r="BP118" s="53">
        <f t="shared" si="280"/>
        <v>0</v>
      </c>
      <c r="BQ118" s="53"/>
      <c r="BR118" s="53">
        <f t="shared" si="281"/>
        <v>3.25</v>
      </c>
      <c r="BS118" s="53">
        <f t="shared" si="282"/>
        <v>34.2</v>
      </c>
      <c r="BT118" s="53">
        <f t="shared" si="283"/>
        <v>11</v>
      </c>
      <c r="BU118" s="53">
        <f t="shared" si="293"/>
        <v>23256</v>
      </c>
      <c r="BV118" s="53"/>
      <c r="BW118" s="53">
        <f t="shared" si="367"/>
        <v>13000</v>
      </c>
      <c r="BX118" s="53">
        <f t="shared" si="285"/>
        <v>-20106</v>
      </c>
      <c r="BY118" s="53">
        <f t="shared" si="294"/>
        <v>-18255.092464544257</v>
      </c>
      <c r="BZ118" s="240">
        <f t="shared" si="286"/>
        <v>5.5020500000000006</v>
      </c>
      <c r="CC118" s="1">
        <f t="shared" si="295"/>
        <v>0</v>
      </c>
      <c r="CD118" s="195">
        <f t="shared" si="296"/>
        <v>2873.2</v>
      </c>
      <c r="CE118" s="195">
        <f t="shared" si="297"/>
        <v>2873.2</v>
      </c>
      <c r="CF118" s="239">
        <f t="shared" si="298"/>
        <v>1.45</v>
      </c>
      <c r="CG118" s="239">
        <f t="shared" si="298"/>
        <v>9.96</v>
      </c>
      <c r="CH118" s="1">
        <f t="shared" si="287"/>
        <v>4780.8</v>
      </c>
      <c r="CI118" s="1"/>
      <c r="CJ118" s="1"/>
      <c r="CK118" s="211">
        <f t="shared" si="299"/>
        <v>0</v>
      </c>
      <c r="CL118" s="211">
        <f t="shared" si="300"/>
        <v>0</v>
      </c>
      <c r="CM118" s="211">
        <f t="shared" si="301"/>
        <v>0</v>
      </c>
      <c r="CN118" s="1"/>
      <c r="CO118" s="1"/>
      <c r="CP118" s="1"/>
      <c r="CQ118" s="1">
        <f t="shared" si="288"/>
        <v>0</v>
      </c>
      <c r="CR118" s="195">
        <f t="shared" si="201"/>
        <v>0</v>
      </c>
      <c r="CS118" s="195"/>
      <c r="CT118" s="195"/>
      <c r="CU118" s="1"/>
      <c r="CV118" s="199">
        <f t="shared" si="302"/>
        <v>7.213725285742931</v>
      </c>
      <c r="CW118" s="199">
        <f t="shared" si="303"/>
        <v>0</v>
      </c>
      <c r="CX118" s="199">
        <f t="shared" si="304"/>
        <v>0</v>
      </c>
      <c r="CY118" s="199">
        <f t="shared" si="305"/>
        <v>0</v>
      </c>
      <c r="CZ118" s="199">
        <f t="shared" si="306"/>
        <v>0</v>
      </c>
      <c r="DA118" s="199">
        <f t="shared" si="307"/>
        <v>0</v>
      </c>
      <c r="DB118" s="199">
        <f t="shared" si="308"/>
        <v>0</v>
      </c>
      <c r="DC118" s="199">
        <f t="shared" si="309"/>
        <v>0</v>
      </c>
      <c r="DD118" s="199">
        <f t="shared" si="310"/>
        <v>0</v>
      </c>
      <c r="DE118" s="199">
        <f t="shared" si="311"/>
        <v>0</v>
      </c>
      <c r="DF118" s="199">
        <f t="shared" si="312"/>
        <v>0</v>
      </c>
      <c r="DG118" s="199">
        <f t="shared" si="313"/>
        <v>0</v>
      </c>
      <c r="DH118" s="199">
        <f t="shared" si="314"/>
        <v>0</v>
      </c>
      <c r="DI118" s="199">
        <f t="shared" si="315"/>
        <v>0</v>
      </c>
      <c r="DJ118" s="199">
        <f t="shared" si="316"/>
        <v>0</v>
      </c>
      <c r="DK118" s="199">
        <f t="shared" si="317"/>
        <v>0</v>
      </c>
      <c r="DL118" s="199">
        <f t="shared" si="318"/>
        <v>0</v>
      </c>
      <c r="DM118" s="199">
        <f t="shared" si="319"/>
        <v>0</v>
      </c>
      <c r="DN118" s="199">
        <f t="shared" si="320"/>
        <v>0</v>
      </c>
      <c r="DO118" s="199">
        <f t="shared" si="321"/>
        <v>0</v>
      </c>
      <c r="DP118" s="199">
        <f t="shared" si="322"/>
        <v>0</v>
      </c>
      <c r="DQ118" s="199">
        <f t="shared" si="323"/>
        <v>0</v>
      </c>
      <c r="DR118" s="199">
        <f t="shared" si="324"/>
        <v>0</v>
      </c>
      <c r="DS118" s="199">
        <f t="shared" si="325"/>
        <v>0</v>
      </c>
      <c r="DT118" s="199">
        <f t="shared" si="326"/>
        <v>0</v>
      </c>
      <c r="DU118" s="199">
        <f t="shared" si="327"/>
        <v>0</v>
      </c>
      <c r="DV118" s="199">
        <f t="shared" si="328"/>
        <v>0</v>
      </c>
      <c r="DW118" s="199">
        <f t="shared" si="329"/>
        <v>0</v>
      </c>
      <c r="DX118" s="199">
        <f t="shared" si="330"/>
        <v>0</v>
      </c>
      <c r="DY118" s="199">
        <f t="shared" si="331"/>
        <v>0</v>
      </c>
      <c r="DZ118" s="199">
        <f t="shared" si="332"/>
        <v>0</v>
      </c>
      <c r="EA118" s="199">
        <f t="shared" si="333"/>
        <v>6.386396631241227</v>
      </c>
      <c r="EB118" s="199">
        <f t="shared" si="334"/>
        <v>0.7370715861239221</v>
      </c>
      <c r="EC118" s="202">
        <f t="shared" si="184"/>
        <v>14.337193503108079</v>
      </c>
      <c r="ED118" s="202">
        <f>SUM(CV118:DI118,DS118:DT118,DW118,DY118,EA118:EB118)</f>
        <v>14.337193503108079</v>
      </c>
      <c r="EE118" s="203">
        <f t="shared" si="235"/>
        <v>2.3732769290859177</v>
      </c>
      <c r="EF118" s="199"/>
      <c r="EI118" s="1">
        <f t="shared" si="335"/>
        <v>0.18495710758393283</v>
      </c>
      <c r="EJ118" s="1">
        <f t="shared" si="336"/>
        <v>0</v>
      </c>
      <c r="EK118" s="1">
        <f t="shared" si="337"/>
        <v>0</v>
      </c>
      <c r="EL118" s="1">
        <f t="shared" si="338"/>
        <v>0</v>
      </c>
      <c r="EM118" s="1">
        <f t="shared" si="339"/>
        <v>0</v>
      </c>
      <c r="EN118" s="1">
        <f t="shared" si="340"/>
        <v>0</v>
      </c>
      <c r="EO118" s="1">
        <f t="shared" si="341"/>
        <v>0</v>
      </c>
      <c r="EP118" s="1">
        <f t="shared" si="342"/>
        <v>0</v>
      </c>
      <c r="EQ118" s="1">
        <f t="shared" si="343"/>
        <v>0</v>
      </c>
      <c r="ER118" s="1">
        <f t="shared" si="344"/>
        <v>0</v>
      </c>
      <c r="ES118" s="1">
        <f t="shared" si="345"/>
        <v>0</v>
      </c>
      <c r="ET118" s="1">
        <f t="shared" si="346"/>
        <v>0</v>
      </c>
      <c r="EU118" s="1">
        <f t="shared" si="347"/>
        <v>0</v>
      </c>
      <c r="EV118" s="1">
        <f t="shared" si="348"/>
        <v>0</v>
      </c>
      <c r="EW118" s="1">
        <f t="shared" si="349"/>
        <v>0</v>
      </c>
      <c r="EX118" s="1">
        <f t="shared" si="350"/>
        <v>0</v>
      </c>
      <c r="EY118" s="1">
        <f t="shared" si="351"/>
        <v>0</v>
      </c>
      <c r="EZ118" s="1">
        <f t="shared" si="352"/>
        <v>0</v>
      </c>
      <c r="FA118" s="1">
        <f t="shared" si="353"/>
        <v>0</v>
      </c>
      <c r="FB118" s="1">
        <f t="shared" si="354"/>
        <v>0</v>
      </c>
      <c r="FC118" s="1">
        <f t="shared" si="355"/>
        <v>0</v>
      </c>
      <c r="FD118" s="1">
        <f t="shared" si="356"/>
        <v>0</v>
      </c>
      <c r="FE118" s="1">
        <f t="shared" si="357"/>
        <v>0</v>
      </c>
      <c r="FF118" s="1">
        <f t="shared" si="358"/>
        <v>0</v>
      </c>
      <c r="FG118" s="1">
        <f t="shared" si="359"/>
        <v>0</v>
      </c>
      <c r="FH118" s="1">
        <f t="shared" si="360"/>
        <v>0</v>
      </c>
      <c r="FI118" s="1">
        <f t="shared" si="361"/>
        <v>0</v>
      </c>
      <c r="FJ118" s="1">
        <f t="shared" si="362"/>
        <v>0</v>
      </c>
      <c r="FK118" s="1">
        <f t="shared" si="363"/>
        <v>0</v>
      </c>
      <c r="FL118" s="1">
        <f t="shared" si="364"/>
        <v>0</v>
      </c>
      <c r="FM118" s="1">
        <f t="shared" si="365"/>
        <v>0</v>
      </c>
      <c r="FN118" s="1">
        <f t="shared" si="366"/>
        <v>4.472293968912</v>
      </c>
      <c r="FO118" s="1">
        <f>IF(O118=0,0,SUM(EI118:FN118))</f>
        <v>4.657251076495933</v>
      </c>
    </row>
    <row r="119" spans="1:171" s="45" customFormat="1" ht="12.75">
      <c r="A119" s="24">
        <v>5</v>
      </c>
      <c r="B119" s="25" t="s">
        <v>300</v>
      </c>
      <c r="C119" s="25" t="s">
        <v>301</v>
      </c>
      <c r="D119" s="26" t="s">
        <v>298</v>
      </c>
      <c r="E119" s="26">
        <v>5</v>
      </c>
      <c r="F119" s="26" t="s">
        <v>299</v>
      </c>
      <c r="G119" s="26" t="s">
        <v>74</v>
      </c>
      <c r="H119" s="26" t="s">
        <v>75</v>
      </c>
      <c r="I119" s="26">
        <v>3</v>
      </c>
      <c r="J119" s="26"/>
      <c r="K119" s="26">
        <f t="shared" si="268"/>
        <v>0</v>
      </c>
      <c r="L119" s="26">
        <f t="shared" si="269"/>
        <v>0</v>
      </c>
      <c r="M119" s="24">
        <v>702200</v>
      </c>
      <c r="N119" s="24">
        <v>1484500</v>
      </c>
      <c r="O119" s="27">
        <f t="shared" si="270"/>
        <v>14000</v>
      </c>
      <c r="P119" s="28">
        <v>14000</v>
      </c>
      <c r="Q119" s="28">
        <v>16000</v>
      </c>
      <c r="R119" s="28">
        <v>0</v>
      </c>
      <c r="S119" s="29">
        <v>0</v>
      </c>
      <c r="T119" s="29">
        <v>0</v>
      </c>
      <c r="U119" s="29">
        <v>0</v>
      </c>
      <c r="V119" s="29">
        <v>0</v>
      </c>
      <c r="W119" s="28">
        <v>0</v>
      </c>
      <c r="X119" s="29">
        <v>0</v>
      </c>
      <c r="Y119" s="29">
        <v>0</v>
      </c>
      <c r="Z119" s="28">
        <v>0</v>
      </c>
      <c r="AA119" s="29">
        <v>0</v>
      </c>
      <c r="AB119" s="28">
        <v>0</v>
      </c>
      <c r="AC119" s="28">
        <v>0</v>
      </c>
      <c r="AD119" s="28">
        <v>0</v>
      </c>
      <c r="AE119" s="28">
        <v>0</v>
      </c>
      <c r="AF119" s="28">
        <v>0</v>
      </c>
      <c r="AG119" s="28">
        <v>0</v>
      </c>
      <c r="AH119" s="28">
        <v>0</v>
      </c>
      <c r="AI119" s="28">
        <v>0</v>
      </c>
      <c r="AJ119" s="28">
        <v>0</v>
      </c>
      <c r="AK119" s="28">
        <v>0</v>
      </c>
      <c r="AL119" s="28">
        <v>0</v>
      </c>
      <c r="AM119" s="30">
        <v>0</v>
      </c>
      <c r="AN119" s="31">
        <v>0</v>
      </c>
      <c r="AO119" s="30">
        <v>0</v>
      </c>
      <c r="AP119" s="31">
        <v>0</v>
      </c>
      <c r="AQ119" s="31">
        <v>0</v>
      </c>
      <c r="AR119" s="31">
        <v>0</v>
      </c>
      <c r="AS119" s="31">
        <v>0</v>
      </c>
      <c r="AT119" s="31">
        <v>0</v>
      </c>
      <c r="AU119" s="30">
        <v>0</v>
      </c>
      <c r="AW119" s="1"/>
      <c r="AX119" s="2">
        <f t="shared" si="271"/>
        <v>14080</v>
      </c>
      <c r="AY119" s="32">
        <f t="shared" si="289"/>
        <v>12320</v>
      </c>
      <c r="AZ119" s="186">
        <f t="shared" si="290"/>
        <v>0.4729261498050349</v>
      </c>
      <c r="BA119" s="186">
        <f t="shared" si="291"/>
        <v>0.08236513549671251</v>
      </c>
      <c r="BB119" s="186">
        <f t="shared" si="292"/>
        <v>0.2846822842738975</v>
      </c>
      <c r="BC119" s="53">
        <f t="shared" si="272"/>
        <v>14000</v>
      </c>
      <c r="BD119" s="53">
        <f t="shared" si="189"/>
        <v>6936.468451669921</v>
      </c>
      <c r="BE119" s="53">
        <f t="shared" si="190"/>
        <v>1208.0599986403672</v>
      </c>
      <c r="BF119" s="53">
        <f t="shared" si="191"/>
        <v>4175.471549689712</v>
      </c>
      <c r="BG119" s="53"/>
      <c r="BH119" s="53">
        <f t="shared" si="273"/>
        <v>2</v>
      </c>
      <c r="BI119" s="53">
        <f t="shared" si="274"/>
        <v>3</v>
      </c>
      <c r="BJ119" s="53">
        <f t="shared" si="275"/>
        <v>3</v>
      </c>
      <c r="BK119" s="53">
        <f t="shared" si="276"/>
        <v>2</v>
      </c>
      <c r="BL119" s="53"/>
      <c r="BM119" s="53">
        <f t="shared" si="277"/>
        <v>1</v>
      </c>
      <c r="BN119" s="53">
        <f t="shared" si="278"/>
        <v>2</v>
      </c>
      <c r="BO119" s="53">
        <f t="shared" si="279"/>
        <v>2</v>
      </c>
      <c r="BP119" s="53">
        <f t="shared" si="280"/>
        <v>0</v>
      </c>
      <c r="BQ119" s="53"/>
      <c r="BR119" s="53">
        <f t="shared" si="281"/>
        <v>3.25</v>
      </c>
      <c r="BS119" s="53">
        <f t="shared" si="282"/>
        <v>34.2</v>
      </c>
      <c r="BT119" s="53">
        <f t="shared" si="283"/>
        <v>11</v>
      </c>
      <c r="BU119" s="53">
        <f t="shared" si="293"/>
        <v>23256</v>
      </c>
      <c r="BV119" s="53"/>
      <c r="BW119" s="53">
        <f t="shared" si="367"/>
        <v>13000</v>
      </c>
      <c r="BX119" s="53">
        <f t="shared" si="285"/>
        <v>-20106</v>
      </c>
      <c r="BY119" s="53">
        <f t="shared" si="294"/>
        <v>-18255.092464544257</v>
      </c>
      <c r="BZ119" s="240">
        <f t="shared" si="286"/>
        <v>5.5020500000000006</v>
      </c>
      <c r="CC119" s="1">
        <f t="shared" si="295"/>
        <v>0</v>
      </c>
      <c r="CD119" s="195">
        <f t="shared" si="296"/>
        <v>2873.2</v>
      </c>
      <c r="CE119" s="195">
        <f t="shared" si="297"/>
        <v>2873.2</v>
      </c>
      <c r="CF119" s="239">
        <f t="shared" si="298"/>
        <v>1.45</v>
      </c>
      <c r="CG119" s="239">
        <f t="shared" si="298"/>
        <v>9.96</v>
      </c>
      <c r="CH119" s="1">
        <f t="shared" si="287"/>
        <v>4780.8</v>
      </c>
      <c r="CI119" s="1"/>
      <c r="CJ119" s="1"/>
      <c r="CK119" s="211">
        <f t="shared" si="299"/>
        <v>0</v>
      </c>
      <c r="CL119" s="211">
        <f t="shared" si="300"/>
        <v>0</v>
      </c>
      <c r="CM119" s="211">
        <f t="shared" si="301"/>
        <v>0</v>
      </c>
      <c r="CN119" s="1"/>
      <c r="CO119" s="1"/>
      <c r="CP119" s="1"/>
      <c r="CQ119" s="1">
        <f t="shared" si="288"/>
        <v>0</v>
      </c>
      <c r="CR119" s="195">
        <f t="shared" si="201"/>
        <v>0</v>
      </c>
      <c r="CS119" s="195"/>
      <c r="CT119" s="195"/>
      <c r="CU119" s="1"/>
      <c r="CV119" s="199">
        <f t="shared" si="302"/>
        <v>8.128141167034288</v>
      </c>
      <c r="CW119" s="199">
        <f t="shared" si="303"/>
        <v>0</v>
      </c>
      <c r="CX119" s="199">
        <f t="shared" si="304"/>
        <v>0</v>
      </c>
      <c r="CY119" s="199">
        <f t="shared" si="305"/>
        <v>0</v>
      </c>
      <c r="CZ119" s="199">
        <f t="shared" si="306"/>
        <v>0</v>
      </c>
      <c r="DA119" s="199">
        <f t="shared" si="307"/>
        <v>0</v>
      </c>
      <c r="DB119" s="199">
        <f t="shared" si="308"/>
        <v>0</v>
      </c>
      <c r="DC119" s="199">
        <f t="shared" si="309"/>
        <v>0</v>
      </c>
      <c r="DD119" s="199">
        <f t="shared" si="310"/>
        <v>0</v>
      </c>
      <c r="DE119" s="199">
        <f t="shared" si="311"/>
        <v>0</v>
      </c>
      <c r="DF119" s="199">
        <f t="shared" si="312"/>
        <v>0</v>
      </c>
      <c r="DG119" s="199">
        <f t="shared" si="313"/>
        <v>0</v>
      </c>
      <c r="DH119" s="199">
        <f t="shared" si="314"/>
        <v>0</v>
      </c>
      <c r="DI119" s="199">
        <f t="shared" si="315"/>
        <v>0</v>
      </c>
      <c r="DJ119" s="199">
        <f t="shared" si="316"/>
        <v>0</v>
      </c>
      <c r="DK119" s="199">
        <f t="shared" si="317"/>
        <v>0</v>
      </c>
      <c r="DL119" s="199">
        <f t="shared" si="318"/>
        <v>0</v>
      </c>
      <c r="DM119" s="199">
        <f t="shared" si="319"/>
        <v>0</v>
      </c>
      <c r="DN119" s="199">
        <f t="shared" si="320"/>
        <v>0</v>
      </c>
      <c r="DO119" s="199">
        <f t="shared" si="321"/>
        <v>0</v>
      </c>
      <c r="DP119" s="199">
        <f t="shared" si="322"/>
        <v>0</v>
      </c>
      <c r="DQ119" s="199">
        <f t="shared" si="323"/>
        <v>0</v>
      </c>
      <c r="DR119" s="199">
        <f t="shared" si="324"/>
        <v>0</v>
      </c>
      <c r="DS119" s="199">
        <f t="shared" si="325"/>
        <v>0</v>
      </c>
      <c r="DT119" s="199">
        <f t="shared" si="326"/>
        <v>0</v>
      </c>
      <c r="DU119" s="199">
        <f t="shared" si="327"/>
        <v>0</v>
      </c>
      <c r="DV119" s="199">
        <f t="shared" si="328"/>
        <v>0</v>
      </c>
      <c r="DW119" s="199">
        <f t="shared" si="329"/>
        <v>0</v>
      </c>
      <c r="DX119" s="199">
        <f t="shared" si="330"/>
        <v>0</v>
      </c>
      <c r="DY119" s="199">
        <f t="shared" si="331"/>
        <v>0</v>
      </c>
      <c r="DZ119" s="199">
        <f t="shared" si="332"/>
        <v>0</v>
      </c>
      <c r="EA119" s="199">
        <f t="shared" si="333"/>
        <v>7.152764226990174</v>
      </c>
      <c r="EB119" s="199">
        <f t="shared" si="334"/>
        <v>0.8255201764587927</v>
      </c>
      <c r="EC119" s="202">
        <f t="shared" si="184"/>
        <v>16.106425570483253</v>
      </c>
      <c r="ED119" s="202">
        <f>SUM(CV119:DI119,DS119:DT119,DW119,DY119,EA119:EB119)</f>
        <v>16.106425570483253</v>
      </c>
      <c r="EE119" s="203">
        <f t="shared" si="235"/>
        <v>2.666143008265935</v>
      </c>
      <c r="EF119" s="199"/>
      <c r="EI119" s="1">
        <f t="shared" si="335"/>
        <v>0.18495710758393283</v>
      </c>
      <c r="EJ119" s="1">
        <f t="shared" si="336"/>
        <v>0</v>
      </c>
      <c r="EK119" s="1">
        <f t="shared" si="337"/>
        <v>0</v>
      </c>
      <c r="EL119" s="1">
        <f t="shared" si="338"/>
        <v>0</v>
      </c>
      <c r="EM119" s="1">
        <f t="shared" si="339"/>
        <v>0</v>
      </c>
      <c r="EN119" s="1">
        <f t="shared" si="340"/>
        <v>0</v>
      </c>
      <c r="EO119" s="1">
        <f t="shared" si="341"/>
        <v>0</v>
      </c>
      <c r="EP119" s="1">
        <f t="shared" si="342"/>
        <v>0</v>
      </c>
      <c r="EQ119" s="1">
        <f t="shared" si="343"/>
        <v>0</v>
      </c>
      <c r="ER119" s="1">
        <f t="shared" si="344"/>
        <v>0</v>
      </c>
      <c r="ES119" s="1">
        <f t="shared" si="345"/>
        <v>0</v>
      </c>
      <c r="ET119" s="1">
        <f t="shared" si="346"/>
        <v>0</v>
      </c>
      <c r="EU119" s="1">
        <f t="shared" si="347"/>
        <v>0</v>
      </c>
      <c r="EV119" s="1">
        <f t="shared" si="348"/>
        <v>0</v>
      </c>
      <c r="EW119" s="1">
        <f t="shared" si="349"/>
        <v>0</v>
      </c>
      <c r="EX119" s="1">
        <f t="shared" si="350"/>
        <v>0</v>
      </c>
      <c r="EY119" s="1">
        <f t="shared" si="351"/>
        <v>0</v>
      </c>
      <c r="EZ119" s="1">
        <f t="shared" si="352"/>
        <v>0</v>
      </c>
      <c r="FA119" s="1">
        <f t="shared" si="353"/>
        <v>0</v>
      </c>
      <c r="FB119" s="1">
        <f t="shared" si="354"/>
        <v>0</v>
      </c>
      <c r="FC119" s="1">
        <f t="shared" si="355"/>
        <v>0</v>
      </c>
      <c r="FD119" s="1">
        <f t="shared" si="356"/>
        <v>0</v>
      </c>
      <c r="FE119" s="1">
        <f t="shared" si="357"/>
        <v>0</v>
      </c>
      <c r="FF119" s="1">
        <f t="shared" si="358"/>
        <v>0</v>
      </c>
      <c r="FG119" s="1">
        <f t="shared" si="359"/>
        <v>0</v>
      </c>
      <c r="FH119" s="1">
        <f t="shared" si="360"/>
        <v>0</v>
      </c>
      <c r="FI119" s="1">
        <f t="shared" si="361"/>
        <v>0</v>
      </c>
      <c r="FJ119" s="1">
        <f t="shared" si="362"/>
        <v>0</v>
      </c>
      <c r="FK119" s="1">
        <f t="shared" si="363"/>
        <v>0</v>
      </c>
      <c r="FL119" s="1">
        <f t="shared" si="364"/>
        <v>0</v>
      </c>
      <c r="FM119" s="1">
        <f t="shared" si="365"/>
        <v>0</v>
      </c>
      <c r="FN119" s="1">
        <f t="shared" si="366"/>
        <v>4.472293968912</v>
      </c>
      <c r="FO119" s="1">
        <f>IF(O119=0,0,SUM(EI119:FN119))</f>
        <v>4.657251076495933</v>
      </c>
    </row>
    <row r="120" spans="1:171" s="45" customFormat="1" ht="12.75">
      <c r="A120" s="24">
        <v>6</v>
      </c>
      <c r="B120" s="25" t="s">
        <v>302</v>
      </c>
      <c r="C120" s="25" t="s">
        <v>303</v>
      </c>
      <c r="D120" s="26" t="s">
        <v>298</v>
      </c>
      <c r="E120" s="26">
        <v>5</v>
      </c>
      <c r="F120" s="26" t="s">
        <v>299</v>
      </c>
      <c r="G120" s="26" t="s">
        <v>74</v>
      </c>
      <c r="H120" s="26" t="s">
        <v>75</v>
      </c>
      <c r="I120" s="26">
        <v>3</v>
      </c>
      <c r="J120" s="26"/>
      <c r="K120" s="26">
        <f t="shared" si="268"/>
        <v>0</v>
      </c>
      <c r="L120" s="26">
        <f t="shared" si="269"/>
        <v>0</v>
      </c>
      <c r="M120" s="24">
        <v>644400</v>
      </c>
      <c r="N120" s="24">
        <v>1472000</v>
      </c>
      <c r="O120" s="27">
        <f t="shared" si="270"/>
        <v>17000</v>
      </c>
      <c r="P120" s="28">
        <v>17000</v>
      </c>
      <c r="Q120" s="28">
        <v>18000</v>
      </c>
      <c r="R120" s="28">
        <v>0</v>
      </c>
      <c r="S120" s="29">
        <v>0</v>
      </c>
      <c r="T120" s="29">
        <v>0</v>
      </c>
      <c r="U120" s="29">
        <v>0</v>
      </c>
      <c r="V120" s="29">
        <v>0</v>
      </c>
      <c r="W120" s="28">
        <v>0</v>
      </c>
      <c r="X120" s="29">
        <v>0</v>
      </c>
      <c r="Y120" s="29">
        <v>0</v>
      </c>
      <c r="Z120" s="28">
        <v>0</v>
      </c>
      <c r="AA120" s="29">
        <v>0</v>
      </c>
      <c r="AB120" s="28">
        <v>0</v>
      </c>
      <c r="AC120" s="28">
        <v>0</v>
      </c>
      <c r="AD120" s="28">
        <v>0</v>
      </c>
      <c r="AE120" s="28">
        <v>0</v>
      </c>
      <c r="AF120" s="28">
        <v>0</v>
      </c>
      <c r="AG120" s="28">
        <v>0</v>
      </c>
      <c r="AH120" s="28">
        <v>0</v>
      </c>
      <c r="AI120" s="28">
        <v>0</v>
      </c>
      <c r="AJ120" s="28">
        <v>0</v>
      </c>
      <c r="AK120" s="28">
        <v>0</v>
      </c>
      <c r="AL120" s="28">
        <v>0</v>
      </c>
      <c r="AM120" s="30">
        <v>0</v>
      </c>
      <c r="AN120" s="31">
        <v>0</v>
      </c>
      <c r="AO120" s="30">
        <v>0</v>
      </c>
      <c r="AP120" s="31">
        <v>0</v>
      </c>
      <c r="AQ120" s="31">
        <v>0</v>
      </c>
      <c r="AR120" s="31">
        <v>0</v>
      </c>
      <c r="AS120" s="31">
        <v>0</v>
      </c>
      <c r="AT120" s="31">
        <v>0</v>
      </c>
      <c r="AU120" s="30">
        <v>0</v>
      </c>
      <c r="AW120" s="1"/>
      <c r="AX120" s="2">
        <f t="shared" si="271"/>
        <v>15840</v>
      </c>
      <c r="AY120" s="32">
        <f t="shared" si="289"/>
        <v>14960</v>
      </c>
      <c r="AZ120" s="186">
        <f t="shared" si="290"/>
        <v>0.4729261498050349</v>
      </c>
      <c r="BA120" s="186">
        <f t="shared" si="291"/>
        <v>0.08236513549671251</v>
      </c>
      <c r="BB120" s="186">
        <f t="shared" si="292"/>
        <v>0.2846822842738975</v>
      </c>
      <c r="BC120" s="53">
        <f t="shared" si="272"/>
        <v>17000</v>
      </c>
      <c r="BD120" s="53">
        <f t="shared" si="189"/>
        <v>8422.854548456331</v>
      </c>
      <c r="BE120" s="53">
        <f t="shared" si="190"/>
        <v>1466.9299983490173</v>
      </c>
      <c r="BF120" s="53">
        <f t="shared" si="191"/>
        <v>5070.215453194651</v>
      </c>
      <c r="BG120" s="53"/>
      <c r="BH120" s="53">
        <f t="shared" si="273"/>
        <v>2</v>
      </c>
      <c r="BI120" s="53">
        <f t="shared" si="274"/>
        <v>3</v>
      </c>
      <c r="BJ120" s="53">
        <f t="shared" si="275"/>
        <v>3</v>
      </c>
      <c r="BK120" s="53">
        <f t="shared" si="276"/>
        <v>2</v>
      </c>
      <c r="BL120" s="53"/>
      <c r="BM120" s="53">
        <f t="shared" si="277"/>
        <v>1</v>
      </c>
      <c r="BN120" s="53">
        <f t="shared" si="278"/>
        <v>2</v>
      </c>
      <c r="BO120" s="53">
        <f t="shared" si="279"/>
        <v>2</v>
      </c>
      <c r="BP120" s="53">
        <f t="shared" si="280"/>
        <v>0</v>
      </c>
      <c r="BQ120" s="53"/>
      <c r="BR120" s="53">
        <f t="shared" si="281"/>
        <v>3.25</v>
      </c>
      <c r="BS120" s="53">
        <f t="shared" si="282"/>
        <v>34.2</v>
      </c>
      <c r="BT120" s="53">
        <f t="shared" si="283"/>
        <v>11</v>
      </c>
      <c r="BU120" s="53">
        <f t="shared" si="293"/>
        <v>23256</v>
      </c>
      <c r="BV120" s="53"/>
      <c r="BW120" s="53">
        <f t="shared" si="367"/>
        <v>13000</v>
      </c>
      <c r="BX120" s="53">
        <f t="shared" si="285"/>
        <v>-20106</v>
      </c>
      <c r="BY120" s="53">
        <f t="shared" si="294"/>
        <v>-18255.092464544257</v>
      </c>
      <c r="BZ120" s="240">
        <f t="shared" si="286"/>
        <v>5.5020500000000006</v>
      </c>
      <c r="CC120" s="1">
        <f t="shared" si="295"/>
        <v>0</v>
      </c>
      <c r="CD120" s="195">
        <f t="shared" si="296"/>
        <v>2873.2</v>
      </c>
      <c r="CE120" s="195">
        <f t="shared" si="297"/>
        <v>2873.2</v>
      </c>
      <c r="CF120" s="239">
        <f t="shared" si="298"/>
        <v>1.45</v>
      </c>
      <c r="CG120" s="239">
        <f t="shared" si="298"/>
        <v>9.96</v>
      </c>
      <c r="CH120" s="1">
        <f t="shared" si="287"/>
        <v>4780.8</v>
      </c>
      <c r="CI120" s="1"/>
      <c r="CJ120" s="1"/>
      <c r="CK120" s="211">
        <f t="shared" si="299"/>
        <v>0</v>
      </c>
      <c r="CL120" s="211">
        <f t="shared" si="300"/>
        <v>0</v>
      </c>
      <c r="CM120" s="211">
        <f t="shared" si="301"/>
        <v>0</v>
      </c>
      <c r="CN120" s="1"/>
      <c r="CO120" s="1"/>
      <c r="CP120" s="1"/>
      <c r="CQ120" s="1">
        <f t="shared" si="288"/>
        <v>0</v>
      </c>
      <c r="CR120" s="195">
        <f t="shared" si="201"/>
        <v>0</v>
      </c>
      <c r="CS120" s="195"/>
      <c r="CT120" s="195"/>
      <c r="CU120" s="1"/>
      <c r="CV120" s="199">
        <f t="shared" si="302"/>
        <v>9.144158812913574</v>
      </c>
      <c r="CW120" s="199">
        <f t="shared" si="303"/>
        <v>0</v>
      </c>
      <c r="CX120" s="199">
        <f t="shared" si="304"/>
        <v>0</v>
      </c>
      <c r="CY120" s="199">
        <f t="shared" si="305"/>
        <v>0</v>
      </c>
      <c r="CZ120" s="199">
        <f t="shared" si="306"/>
        <v>0</v>
      </c>
      <c r="DA120" s="199">
        <f t="shared" si="307"/>
        <v>0</v>
      </c>
      <c r="DB120" s="199">
        <f t="shared" si="308"/>
        <v>0</v>
      </c>
      <c r="DC120" s="199">
        <f t="shared" si="309"/>
        <v>0</v>
      </c>
      <c r="DD120" s="199">
        <f t="shared" si="310"/>
        <v>0</v>
      </c>
      <c r="DE120" s="199">
        <f t="shared" si="311"/>
        <v>0</v>
      </c>
      <c r="DF120" s="199">
        <f t="shared" si="312"/>
        <v>0</v>
      </c>
      <c r="DG120" s="199">
        <f t="shared" si="313"/>
        <v>0</v>
      </c>
      <c r="DH120" s="199">
        <f t="shared" si="314"/>
        <v>0</v>
      </c>
      <c r="DI120" s="199">
        <f t="shared" si="315"/>
        <v>0</v>
      </c>
      <c r="DJ120" s="199">
        <f t="shared" si="316"/>
        <v>0</v>
      </c>
      <c r="DK120" s="199">
        <f t="shared" si="317"/>
        <v>0</v>
      </c>
      <c r="DL120" s="199">
        <f t="shared" si="318"/>
        <v>0</v>
      </c>
      <c r="DM120" s="199">
        <f t="shared" si="319"/>
        <v>0</v>
      </c>
      <c r="DN120" s="199">
        <f t="shared" si="320"/>
        <v>0</v>
      </c>
      <c r="DO120" s="199">
        <f t="shared" si="321"/>
        <v>0</v>
      </c>
      <c r="DP120" s="199">
        <f t="shared" si="322"/>
        <v>0</v>
      </c>
      <c r="DQ120" s="199">
        <f t="shared" si="323"/>
        <v>0</v>
      </c>
      <c r="DR120" s="199">
        <f t="shared" si="324"/>
        <v>0</v>
      </c>
      <c r="DS120" s="199">
        <f t="shared" si="325"/>
        <v>0</v>
      </c>
      <c r="DT120" s="199">
        <f t="shared" si="326"/>
        <v>0</v>
      </c>
      <c r="DU120" s="199">
        <f t="shared" si="327"/>
        <v>0</v>
      </c>
      <c r="DV120" s="199">
        <f t="shared" si="328"/>
        <v>0</v>
      </c>
      <c r="DW120" s="199">
        <f t="shared" si="329"/>
        <v>0</v>
      </c>
      <c r="DX120" s="199">
        <f t="shared" si="330"/>
        <v>0</v>
      </c>
      <c r="DY120" s="199">
        <f t="shared" si="331"/>
        <v>0</v>
      </c>
      <c r="DZ120" s="199">
        <f t="shared" si="332"/>
        <v>0</v>
      </c>
      <c r="EA120" s="199">
        <f t="shared" si="333"/>
        <v>8.68549941848807</v>
      </c>
      <c r="EB120" s="199">
        <f t="shared" si="334"/>
        <v>1.0024173571285342</v>
      </c>
      <c r="EC120" s="202">
        <f t="shared" si="184"/>
        <v>18.83207558853018</v>
      </c>
      <c r="ED120" s="202">
        <f>SUM(CV120:DI120,DS120:DT120,DW120,DY120,EA120:EB120)</f>
        <v>18.83207558853018</v>
      </c>
      <c r="EE120" s="203">
        <f t="shared" si="235"/>
        <v>3.1173277051308466</v>
      </c>
      <c r="EF120" s="199"/>
      <c r="EI120" s="1">
        <f t="shared" si="335"/>
        <v>0.18495710758393283</v>
      </c>
      <c r="EJ120" s="1">
        <f t="shared" si="336"/>
        <v>0</v>
      </c>
      <c r="EK120" s="1">
        <f t="shared" si="337"/>
        <v>0</v>
      </c>
      <c r="EL120" s="1">
        <f t="shared" si="338"/>
        <v>0</v>
      </c>
      <c r="EM120" s="1">
        <f t="shared" si="339"/>
        <v>0</v>
      </c>
      <c r="EN120" s="1">
        <f t="shared" si="340"/>
        <v>0</v>
      </c>
      <c r="EO120" s="1">
        <f t="shared" si="341"/>
        <v>0</v>
      </c>
      <c r="EP120" s="1">
        <f t="shared" si="342"/>
        <v>0</v>
      </c>
      <c r="EQ120" s="1">
        <f t="shared" si="343"/>
        <v>0</v>
      </c>
      <c r="ER120" s="1">
        <f t="shared" si="344"/>
        <v>0</v>
      </c>
      <c r="ES120" s="1">
        <f t="shared" si="345"/>
        <v>0</v>
      </c>
      <c r="ET120" s="1">
        <f t="shared" si="346"/>
        <v>0</v>
      </c>
      <c r="EU120" s="1">
        <f t="shared" si="347"/>
        <v>0</v>
      </c>
      <c r="EV120" s="1">
        <f t="shared" si="348"/>
        <v>0</v>
      </c>
      <c r="EW120" s="1">
        <f t="shared" si="349"/>
        <v>0</v>
      </c>
      <c r="EX120" s="1">
        <f t="shared" si="350"/>
        <v>0</v>
      </c>
      <c r="EY120" s="1">
        <f t="shared" si="351"/>
        <v>0</v>
      </c>
      <c r="EZ120" s="1">
        <f t="shared" si="352"/>
        <v>0</v>
      </c>
      <c r="FA120" s="1">
        <f t="shared" si="353"/>
        <v>0</v>
      </c>
      <c r="FB120" s="1">
        <f t="shared" si="354"/>
        <v>0</v>
      </c>
      <c r="FC120" s="1">
        <f t="shared" si="355"/>
        <v>0</v>
      </c>
      <c r="FD120" s="1">
        <f t="shared" si="356"/>
        <v>0</v>
      </c>
      <c r="FE120" s="1">
        <f t="shared" si="357"/>
        <v>0</v>
      </c>
      <c r="FF120" s="1">
        <f t="shared" si="358"/>
        <v>0</v>
      </c>
      <c r="FG120" s="1">
        <f t="shared" si="359"/>
        <v>0</v>
      </c>
      <c r="FH120" s="1">
        <f t="shared" si="360"/>
        <v>0</v>
      </c>
      <c r="FI120" s="1">
        <f t="shared" si="361"/>
        <v>0</v>
      </c>
      <c r="FJ120" s="1">
        <f t="shared" si="362"/>
        <v>0</v>
      </c>
      <c r="FK120" s="1">
        <f t="shared" si="363"/>
        <v>0</v>
      </c>
      <c r="FL120" s="1">
        <f t="shared" si="364"/>
        <v>0</v>
      </c>
      <c r="FM120" s="1">
        <f t="shared" si="365"/>
        <v>0</v>
      </c>
      <c r="FN120" s="1">
        <f t="shared" si="366"/>
        <v>4.472293968912</v>
      </c>
      <c r="FO120" s="1">
        <f>IF(O120=0,0,SUM(EI120:FN120))</f>
        <v>4.657251076495933</v>
      </c>
    </row>
    <row r="121" spans="1:171" s="45" customFormat="1" ht="12.75">
      <c r="A121" s="24">
        <v>7</v>
      </c>
      <c r="B121" s="46" t="s">
        <v>302</v>
      </c>
      <c r="C121" s="25" t="s">
        <v>304</v>
      </c>
      <c r="D121" s="26" t="s">
        <v>298</v>
      </c>
      <c r="E121" s="26">
        <v>5</v>
      </c>
      <c r="F121" s="26" t="s">
        <v>299</v>
      </c>
      <c r="G121" s="26" t="s">
        <v>74</v>
      </c>
      <c r="H121" s="26" t="s">
        <v>75</v>
      </c>
      <c r="I121" s="26">
        <v>3</v>
      </c>
      <c r="J121" s="26"/>
      <c r="K121" s="26">
        <f t="shared" si="268"/>
        <v>0</v>
      </c>
      <c r="L121" s="26">
        <f t="shared" si="269"/>
        <v>0</v>
      </c>
      <c r="M121" s="24">
        <v>610700</v>
      </c>
      <c r="N121" s="24">
        <v>1462100</v>
      </c>
      <c r="O121" s="27">
        <f t="shared" si="270"/>
        <v>48000</v>
      </c>
      <c r="P121" s="28">
        <v>48000</v>
      </c>
      <c r="Q121" s="28">
        <v>50000</v>
      </c>
      <c r="R121" s="28">
        <v>0</v>
      </c>
      <c r="S121" s="29">
        <v>0</v>
      </c>
      <c r="T121" s="29">
        <v>0</v>
      </c>
      <c r="U121" s="29">
        <v>0</v>
      </c>
      <c r="V121" s="29">
        <v>0</v>
      </c>
      <c r="W121" s="28">
        <v>0</v>
      </c>
      <c r="X121" s="29">
        <v>0</v>
      </c>
      <c r="Y121" s="29">
        <v>0</v>
      </c>
      <c r="Z121" s="28">
        <v>0</v>
      </c>
      <c r="AA121" s="29">
        <v>0</v>
      </c>
      <c r="AB121" s="28">
        <v>0</v>
      </c>
      <c r="AC121" s="28">
        <v>0</v>
      </c>
      <c r="AD121" s="28">
        <v>0</v>
      </c>
      <c r="AE121" s="28">
        <v>0</v>
      </c>
      <c r="AF121" s="28">
        <v>0</v>
      </c>
      <c r="AG121" s="28">
        <v>0</v>
      </c>
      <c r="AH121" s="28">
        <v>0</v>
      </c>
      <c r="AI121" s="28">
        <v>0</v>
      </c>
      <c r="AJ121" s="28">
        <v>0</v>
      </c>
      <c r="AK121" s="28">
        <v>0</v>
      </c>
      <c r="AL121" s="28">
        <v>0</v>
      </c>
      <c r="AM121" s="30">
        <v>0</v>
      </c>
      <c r="AN121" s="31">
        <v>0</v>
      </c>
      <c r="AO121" s="30">
        <v>0</v>
      </c>
      <c r="AP121" s="31">
        <v>0</v>
      </c>
      <c r="AQ121" s="31">
        <v>0</v>
      </c>
      <c r="AR121" s="31">
        <v>0</v>
      </c>
      <c r="AS121" s="31">
        <v>0</v>
      </c>
      <c r="AT121" s="31">
        <v>0</v>
      </c>
      <c r="AU121" s="30">
        <v>0</v>
      </c>
      <c r="AW121" s="1"/>
      <c r="AX121" s="2">
        <f t="shared" si="271"/>
        <v>44000</v>
      </c>
      <c r="AY121" s="32">
        <f t="shared" si="289"/>
        <v>42240</v>
      </c>
      <c r="AZ121" s="186">
        <f t="shared" si="290"/>
        <v>0.4729261498050349</v>
      </c>
      <c r="BA121" s="186">
        <f t="shared" si="291"/>
        <v>0.08236513549671251</v>
      </c>
      <c r="BB121" s="186">
        <f t="shared" si="292"/>
        <v>0.2846822842738975</v>
      </c>
      <c r="BC121" s="53">
        <f t="shared" si="272"/>
        <v>48000</v>
      </c>
      <c r="BD121" s="53">
        <f t="shared" si="189"/>
        <v>23782.177548582586</v>
      </c>
      <c r="BE121" s="53">
        <f t="shared" si="190"/>
        <v>4141.919995338402</v>
      </c>
      <c r="BF121" s="53">
        <f t="shared" si="191"/>
        <v>14315.902456079013</v>
      </c>
      <c r="BG121" s="53"/>
      <c r="BH121" s="53">
        <f t="shared" si="273"/>
        <v>3</v>
      </c>
      <c r="BI121" s="53">
        <f t="shared" si="274"/>
        <v>4</v>
      </c>
      <c r="BJ121" s="53">
        <f t="shared" si="275"/>
        <v>3</v>
      </c>
      <c r="BK121" s="53">
        <f t="shared" si="276"/>
        <v>2</v>
      </c>
      <c r="BL121" s="53"/>
      <c r="BM121" s="53">
        <f t="shared" si="277"/>
        <v>2</v>
      </c>
      <c r="BN121" s="53">
        <f t="shared" si="278"/>
        <v>2</v>
      </c>
      <c r="BO121" s="53">
        <f t="shared" si="279"/>
        <v>2</v>
      </c>
      <c r="BP121" s="53">
        <f t="shared" si="280"/>
        <v>0</v>
      </c>
      <c r="BQ121" s="53"/>
      <c r="BR121" s="53">
        <f t="shared" si="281"/>
        <v>6.5</v>
      </c>
      <c r="BS121" s="53">
        <f t="shared" si="282"/>
        <v>34.2</v>
      </c>
      <c r="BT121" s="53">
        <f t="shared" si="283"/>
        <v>11</v>
      </c>
      <c r="BU121" s="53">
        <f t="shared" si="293"/>
        <v>24816</v>
      </c>
      <c r="BV121" s="53"/>
      <c r="BW121" s="53">
        <f t="shared" si="367"/>
        <v>15600</v>
      </c>
      <c r="BX121" s="53">
        <f t="shared" si="285"/>
        <v>-21036</v>
      </c>
      <c r="BY121" s="53">
        <f t="shared" si="294"/>
        <v>-18814.91095745311</v>
      </c>
      <c r="BZ121" s="240">
        <f t="shared" si="286"/>
        <v>5.791300000000001</v>
      </c>
      <c r="CC121" s="1">
        <f t="shared" si="295"/>
        <v>0</v>
      </c>
      <c r="CD121" s="195">
        <f t="shared" si="296"/>
        <v>2873.2</v>
      </c>
      <c r="CE121" s="195">
        <f t="shared" si="297"/>
        <v>2873.2</v>
      </c>
      <c r="CF121" s="239">
        <f t="shared" si="298"/>
        <v>1.45</v>
      </c>
      <c r="CG121" s="239">
        <f t="shared" si="298"/>
        <v>9.96</v>
      </c>
      <c r="CH121" s="1">
        <f t="shared" si="287"/>
        <v>4780.8</v>
      </c>
      <c r="CI121" s="1"/>
      <c r="CJ121" s="1"/>
      <c r="CK121" s="211">
        <f t="shared" si="299"/>
        <v>0</v>
      </c>
      <c r="CL121" s="211">
        <f t="shared" si="300"/>
        <v>0</v>
      </c>
      <c r="CM121" s="211">
        <f t="shared" si="301"/>
        <v>0</v>
      </c>
      <c r="CN121" s="1"/>
      <c r="CO121" s="1"/>
      <c r="CP121" s="1"/>
      <c r="CQ121" s="1">
        <f t="shared" si="288"/>
        <v>0</v>
      </c>
      <c r="CR121" s="195">
        <f t="shared" si="201"/>
        <v>0</v>
      </c>
      <c r="CS121" s="195"/>
      <c r="CT121" s="195"/>
      <c r="CU121" s="1"/>
      <c r="CV121" s="199">
        <f t="shared" si="302"/>
        <v>25.400441146982153</v>
      </c>
      <c r="CW121" s="199">
        <f t="shared" si="303"/>
        <v>0</v>
      </c>
      <c r="CX121" s="199">
        <f t="shared" si="304"/>
        <v>0</v>
      </c>
      <c r="CY121" s="199">
        <f t="shared" si="305"/>
        <v>0</v>
      </c>
      <c r="CZ121" s="199">
        <f t="shared" si="306"/>
        <v>0</v>
      </c>
      <c r="DA121" s="199">
        <f t="shared" si="307"/>
        <v>0</v>
      </c>
      <c r="DB121" s="199">
        <f t="shared" si="308"/>
        <v>0</v>
      </c>
      <c r="DC121" s="199">
        <f t="shared" si="309"/>
        <v>0</v>
      </c>
      <c r="DD121" s="199">
        <f t="shared" si="310"/>
        <v>0</v>
      </c>
      <c r="DE121" s="199">
        <f t="shared" si="311"/>
        <v>0</v>
      </c>
      <c r="DF121" s="199">
        <f t="shared" si="312"/>
        <v>0</v>
      </c>
      <c r="DG121" s="199">
        <f t="shared" si="313"/>
        <v>0</v>
      </c>
      <c r="DH121" s="199">
        <f t="shared" si="314"/>
        <v>0</v>
      </c>
      <c r="DI121" s="199">
        <f t="shared" si="315"/>
        <v>0</v>
      </c>
      <c r="DJ121" s="199">
        <f t="shared" si="316"/>
        <v>0</v>
      </c>
      <c r="DK121" s="199">
        <f t="shared" si="317"/>
        <v>0</v>
      </c>
      <c r="DL121" s="199">
        <f t="shared" si="318"/>
        <v>0</v>
      </c>
      <c r="DM121" s="199">
        <f t="shared" si="319"/>
        <v>0</v>
      </c>
      <c r="DN121" s="199">
        <f t="shared" si="320"/>
        <v>0</v>
      </c>
      <c r="DO121" s="199">
        <f t="shared" si="321"/>
        <v>0</v>
      </c>
      <c r="DP121" s="199">
        <f t="shared" si="322"/>
        <v>0</v>
      </c>
      <c r="DQ121" s="199">
        <f t="shared" si="323"/>
        <v>0</v>
      </c>
      <c r="DR121" s="199">
        <f t="shared" si="324"/>
        <v>0</v>
      </c>
      <c r="DS121" s="199">
        <f t="shared" si="325"/>
        <v>0</v>
      </c>
      <c r="DT121" s="199">
        <f t="shared" si="326"/>
        <v>0</v>
      </c>
      <c r="DU121" s="199">
        <f t="shared" si="327"/>
        <v>0</v>
      </c>
      <c r="DV121" s="199">
        <f t="shared" si="328"/>
        <v>0</v>
      </c>
      <c r="DW121" s="199">
        <f t="shared" si="329"/>
        <v>0</v>
      </c>
      <c r="DX121" s="199">
        <f t="shared" si="330"/>
        <v>0</v>
      </c>
      <c r="DY121" s="199">
        <f t="shared" si="331"/>
        <v>0</v>
      </c>
      <c r="DZ121" s="199">
        <f t="shared" si="332"/>
        <v>0</v>
      </c>
      <c r="EA121" s="199">
        <f t="shared" si="333"/>
        <v>24.52376306396631</v>
      </c>
      <c r="EB121" s="199">
        <f t="shared" si="334"/>
        <v>2.830354890715861</v>
      </c>
      <c r="EC121" s="202">
        <f t="shared" si="184"/>
        <v>52.75455910166432</v>
      </c>
      <c r="ED121" s="202">
        <f>SUM(CV121:DI121,DS121:DT121,DW121,DY121,EA121:EB121)</f>
        <v>52.75455910166432</v>
      </c>
      <c r="EE121" s="203">
        <f t="shared" si="235"/>
        <v>8.73261409165872</v>
      </c>
      <c r="EF121" s="199"/>
      <c r="EI121" s="1">
        <f t="shared" si="335"/>
        <v>0.18495710758393283</v>
      </c>
      <c r="EJ121" s="1">
        <f t="shared" si="336"/>
        <v>0</v>
      </c>
      <c r="EK121" s="1">
        <f t="shared" si="337"/>
        <v>0</v>
      </c>
      <c r="EL121" s="1">
        <f t="shared" si="338"/>
        <v>0</v>
      </c>
      <c r="EM121" s="1">
        <f t="shared" si="339"/>
        <v>0</v>
      </c>
      <c r="EN121" s="1">
        <f t="shared" si="340"/>
        <v>0</v>
      </c>
      <c r="EO121" s="1">
        <f t="shared" si="341"/>
        <v>0</v>
      </c>
      <c r="EP121" s="1">
        <f t="shared" si="342"/>
        <v>0</v>
      </c>
      <c r="EQ121" s="1">
        <f t="shared" si="343"/>
        <v>0</v>
      </c>
      <c r="ER121" s="1">
        <f t="shared" si="344"/>
        <v>0</v>
      </c>
      <c r="ES121" s="1">
        <f t="shared" si="345"/>
        <v>0</v>
      </c>
      <c r="ET121" s="1">
        <f t="shared" si="346"/>
        <v>0</v>
      </c>
      <c r="EU121" s="1">
        <f t="shared" si="347"/>
        <v>0</v>
      </c>
      <c r="EV121" s="1">
        <f t="shared" si="348"/>
        <v>0</v>
      </c>
      <c r="EW121" s="1">
        <f t="shared" si="349"/>
        <v>0</v>
      </c>
      <c r="EX121" s="1">
        <f t="shared" si="350"/>
        <v>0</v>
      </c>
      <c r="EY121" s="1">
        <f t="shared" si="351"/>
        <v>0</v>
      </c>
      <c r="EZ121" s="1">
        <f t="shared" si="352"/>
        <v>0</v>
      </c>
      <c r="FA121" s="1">
        <f t="shared" si="353"/>
        <v>0</v>
      </c>
      <c r="FB121" s="1">
        <f t="shared" si="354"/>
        <v>0</v>
      </c>
      <c r="FC121" s="1">
        <f t="shared" si="355"/>
        <v>0</v>
      </c>
      <c r="FD121" s="1">
        <f t="shared" si="356"/>
        <v>0</v>
      </c>
      <c r="FE121" s="1">
        <f t="shared" si="357"/>
        <v>0</v>
      </c>
      <c r="FF121" s="1">
        <f t="shared" si="358"/>
        <v>0</v>
      </c>
      <c r="FG121" s="1">
        <f t="shared" si="359"/>
        <v>0</v>
      </c>
      <c r="FH121" s="1">
        <f t="shared" si="360"/>
        <v>0</v>
      </c>
      <c r="FI121" s="1">
        <f t="shared" si="361"/>
        <v>0</v>
      </c>
      <c r="FJ121" s="1">
        <f t="shared" si="362"/>
        <v>0</v>
      </c>
      <c r="FK121" s="1">
        <f t="shared" si="363"/>
        <v>0</v>
      </c>
      <c r="FL121" s="1">
        <f t="shared" si="364"/>
        <v>0</v>
      </c>
      <c r="FM121" s="1">
        <f t="shared" si="365"/>
        <v>0</v>
      </c>
      <c r="FN121" s="1">
        <f t="shared" si="366"/>
        <v>4.472293968912</v>
      </c>
      <c r="FO121" s="1">
        <f>IF(O121=0,0,SUM(EI121:FN121))</f>
        <v>4.657251076495933</v>
      </c>
    </row>
    <row r="122" spans="1:171" s="45" customFormat="1" ht="12.75">
      <c r="A122" s="24">
        <v>8</v>
      </c>
      <c r="B122" s="25" t="s">
        <v>305</v>
      </c>
      <c r="C122" s="25" t="s">
        <v>306</v>
      </c>
      <c r="D122" s="26" t="s">
        <v>298</v>
      </c>
      <c r="E122" s="26">
        <v>5</v>
      </c>
      <c r="F122" s="26" t="s">
        <v>299</v>
      </c>
      <c r="G122" s="26" t="s">
        <v>74</v>
      </c>
      <c r="H122" s="26" t="s">
        <v>75</v>
      </c>
      <c r="I122" s="26">
        <v>3</v>
      </c>
      <c r="J122" s="26"/>
      <c r="K122" s="26">
        <f t="shared" si="268"/>
        <v>1</v>
      </c>
      <c r="L122" s="26">
        <f t="shared" si="269"/>
        <v>1</v>
      </c>
      <c r="M122" s="24">
        <v>604042</v>
      </c>
      <c r="N122" s="24">
        <v>1512338</v>
      </c>
      <c r="O122" s="27">
        <f t="shared" si="270"/>
        <v>72000</v>
      </c>
      <c r="P122" s="28">
        <v>72000</v>
      </c>
      <c r="Q122" s="28">
        <v>80000</v>
      </c>
      <c r="R122" s="28">
        <v>21400</v>
      </c>
      <c r="S122" s="29">
        <v>0</v>
      </c>
      <c r="T122" s="29">
        <v>0</v>
      </c>
      <c r="U122" s="29">
        <v>0</v>
      </c>
      <c r="V122" s="29">
        <v>0</v>
      </c>
      <c r="W122" s="28">
        <v>0</v>
      </c>
      <c r="X122" s="29">
        <v>0</v>
      </c>
      <c r="Y122" s="29">
        <v>0</v>
      </c>
      <c r="Z122" s="28">
        <v>12500</v>
      </c>
      <c r="AA122" s="29">
        <v>0</v>
      </c>
      <c r="AB122" s="28">
        <v>13000</v>
      </c>
      <c r="AC122" s="28">
        <v>0</v>
      </c>
      <c r="AD122" s="28">
        <v>0</v>
      </c>
      <c r="AE122" s="28">
        <v>13000</v>
      </c>
      <c r="AF122" s="28">
        <v>0</v>
      </c>
      <c r="AG122" s="28">
        <v>0</v>
      </c>
      <c r="AH122" s="28">
        <v>0</v>
      </c>
      <c r="AI122" s="28">
        <v>0</v>
      </c>
      <c r="AJ122" s="28">
        <v>0</v>
      </c>
      <c r="AK122" s="28">
        <v>0</v>
      </c>
      <c r="AL122" s="28">
        <v>0</v>
      </c>
      <c r="AM122" s="30">
        <v>0</v>
      </c>
      <c r="AN122" s="31">
        <v>0</v>
      </c>
      <c r="AO122" s="30">
        <v>2000</v>
      </c>
      <c r="AP122" s="31"/>
      <c r="AQ122" s="31">
        <v>4200</v>
      </c>
      <c r="AR122" s="31">
        <v>0</v>
      </c>
      <c r="AS122" s="31">
        <v>0</v>
      </c>
      <c r="AT122" s="31">
        <v>13</v>
      </c>
      <c r="AU122" s="30">
        <v>20</v>
      </c>
      <c r="AW122" s="1"/>
      <c r="AX122" s="2">
        <f t="shared" si="271"/>
        <v>68640</v>
      </c>
      <c r="AY122" s="32">
        <f t="shared" si="289"/>
        <v>61776</v>
      </c>
      <c r="AZ122" s="186">
        <f t="shared" si="290"/>
        <v>0.4729261498050349</v>
      </c>
      <c r="BA122" s="186">
        <f t="shared" si="291"/>
        <v>0.08236513549671251</v>
      </c>
      <c r="BB122" s="186">
        <f t="shared" si="292"/>
        <v>0.2846822842738975</v>
      </c>
      <c r="BC122" s="53">
        <f t="shared" si="272"/>
        <v>72000</v>
      </c>
      <c r="BD122" s="53">
        <f t="shared" si="189"/>
        <v>34781.43466480203</v>
      </c>
      <c r="BE122" s="53">
        <f t="shared" si="190"/>
        <v>6057.557993182413</v>
      </c>
      <c r="BF122" s="53">
        <f t="shared" si="191"/>
        <v>20937.007342015557</v>
      </c>
      <c r="BG122" s="53"/>
      <c r="BH122" s="53">
        <f t="shared" si="273"/>
        <v>4</v>
      </c>
      <c r="BI122" s="53">
        <f t="shared" si="274"/>
        <v>4</v>
      </c>
      <c r="BJ122" s="53">
        <f t="shared" si="275"/>
        <v>3</v>
      </c>
      <c r="BK122" s="53">
        <f t="shared" si="276"/>
        <v>3</v>
      </c>
      <c r="BL122" s="53"/>
      <c r="BM122" s="53">
        <f t="shared" si="277"/>
        <v>2</v>
      </c>
      <c r="BN122" s="53">
        <f t="shared" si="278"/>
        <v>2</v>
      </c>
      <c r="BO122" s="53">
        <f t="shared" si="279"/>
        <v>2</v>
      </c>
      <c r="BP122" s="53">
        <f t="shared" si="280"/>
        <v>0</v>
      </c>
      <c r="BQ122" s="53"/>
      <c r="BR122" s="53">
        <f t="shared" si="281"/>
        <v>6.5</v>
      </c>
      <c r="BS122" s="53">
        <f t="shared" si="282"/>
        <v>34.2</v>
      </c>
      <c r="BT122" s="53">
        <f t="shared" si="283"/>
        <v>11</v>
      </c>
      <c r="BU122" s="53">
        <f t="shared" si="293"/>
        <v>24816</v>
      </c>
      <c r="BV122" s="53"/>
      <c r="BW122" s="53">
        <f t="shared" si="367"/>
        <v>15600</v>
      </c>
      <c r="BX122" s="53">
        <f t="shared" si="285"/>
        <v>-21036</v>
      </c>
      <c r="BY122" s="53">
        <f t="shared" si="294"/>
        <v>-18814.91095745311</v>
      </c>
      <c r="BZ122" s="240">
        <f t="shared" si="286"/>
        <v>5.791300000000001</v>
      </c>
      <c r="CC122" s="1">
        <f t="shared" si="295"/>
        <v>0</v>
      </c>
      <c r="CD122" s="195">
        <f t="shared" si="296"/>
        <v>2873.2</v>
      </c>
      <c r="CE122" s="195">
        <f t="shared" si="297"/>
        <v>2873.2</v>
      </c>
      <c r="CF122" s="239">
        <f t="shared" si="298"/>
        <v>1.45</v>
      </c>
      <c r="CG122" s="239">
        <f t="shared" si="298"/>
        <v>9.96</v>
      </c>
      <c r="CH122" s="1">
        <f t="shared" si="287"/>
        <v>4780.8</v>
      </c>
      <c r="CI122" s="1"/>
      <c r="CJ122" s="1"/>
      <c r="CK122" s="211">
        <f t="shared" si="299"/>
        <v>0</v>
      </c>
      <c r="CL122" s="211">
        <f t="shared" si="300"/>
        <v>0</v>
      </c>
      <c r="CM122" s="211">
        <f t="shared" si="301"/>
        <v>0</v>
      </c>
      <c r="CN122" s="1"/>
      <c r="CO122" s="1"/>
      <c r="CP122" s="1"/>
      <c r="CQ122" s="1">
        <f t="shared" si="288"/>
        <v>1</v>
      </c>
      <c r="CR122" s="195">
        <f t="shared" si="201"/>
        <v>10000</v>
      </c>
      <c r="CS122" s="195"/>
      <c r="CT122" s="195"/>
      <c r="CU122" s="1"/>
      <c r="CV122" s="199">
        <f t="shared" si="302"/>
        <v>40.64070583517144</v>
      </c>
      <c r="CW122" s="199">
        <f t="shared" si="303"/>
        <v>6.426436735512331</v>
      </c>
      <c r="CX122" s="199">
        <f t="shared" si="304"/>
        <v>0</v>
      </c>
      <c r="CY122" s="199">
        <f t="shared" si="305"/>
        <v>0</v>
      </c>
      <c r="CZ122" s="199">
        <f t="shared" si="306"/>
        <v>0</v>
      </c>
      <c r="DA122" s="199">
        <f t="shared" si="307"/>
        <v>0</v>
      </c>
      <c r="DB122" s="199">
        <f t="shared" si="308"/>
        <v>0</v>
      </c>
      <c r="DC122" s="199">
        <f t="shared" si="309"/>
        <v>0</v>
      </c>
      <c r="DD122" s="199">
        <f t="shared" si="310"/>
        <v>0</v>
      </c>
      <c r="DE122" s="199">
        <f t="shared" si="311"/>
        <v>3.795468217365149</v>
      </c>
      <c r="DF122" s="199">
        <f t="shared" si="312"/>
        <v>0</v>
      </c>
      <c r="DG122" s="199">
        <f t="shared" si="313"/>
        <v>17.242269901744532</v>
      </c>
      <c r="DH122" s="199">
        <f t="shared" si="314"/>
        <v>0</v>
      </c>
      <c r="DI122" s="199">
        <f t="shared" si="315"/>
        <v>0</v>
      </c>
      <c r="DJ122" s="199">
        <f t="shared" si="316"/>
        <v>1.7762791257268897</v>
      </c>
      <c r="DK122" s="199">
        <f t="shared" si="317"/>
        <v>0</v>
      </c>
      <c r="DL122" s="199">
        <f t="shared" si="318"/>
        <v>0</v>
      </c>
      <c r="DM122" s="199">
        <f t="shared" si="319"/>
        <v>0</v>
      </c>
      <c r="DN122" s="199">
        <f t="shared" si="320"/>
        <v>0</v>
      </c>
      <c r="DO122" s="199">
        <f t="shared" si="321"/>
        <v>0</v>
      </c>
      <c r="DP122" s="199">
        <f t="shared" si="322"/>
        <v>0</v>
      </c>
      <c r="DQ122" s="199">
        <f t="shared" si="323"/>
        <v>0</v>
      </c>
      <c r="DR122" s="199">
        <f t="shared" si="324"/>
        <v>0</v>
      </c>
      <c r="DS122" s="199">
        <f t="shared" si="325"/>
        <v>0</v>
      </c>
      <c r="DT122" s="199">
        <f t="shared" si="326"/>
        <v>5.739081612191698</v>
      </c>
      <c r="DU122" s="199">
        <f t="shared" si="327"/>
        <v>0</v>
      </c>
      <c r="DV122" s="199">
        <f t="shared" si="328"/>
        <v>0.0012262281933025866</v>
      </c>
      <c r="DW122" s="199">
        <f t="shared" si="329"/>
        <v>0</v>
      </c>
      <c r="DX122" s="199">
        <f t="shared" si="330"/>
        <v>0</v>
      </c>
      <c r="DY122" s="199">
        <f t="shared" si="331"/>
        <v>0.5378720673751755</v>
      </c>
      <c r="DZ122" s="199">
        <f t="shared" si="332"/>
        <v>0.0012946300380990577</v>
      </c>
      <c r="EA122" s="199">
        <f t="shared" si="333"/>
        <v>35.866003481050726</v>
      </c>
      <c r="EB122" s="199">
        <f t="shared" si="334"/>
        <v>4.195850574694205</v>
      </c>
      <c r="EC122" s="202">
        <f t="shared" si="184"/>
        <v>116.22248840906354</v>
      </c>
      <c r="ED122" s="202">
        <f>SUM(CV122:DI122,DS122:DT122,DW122,DY122,EA122:EB122)</f>
        <v>114.44368842510525</v>
      </c>
      <c r="EE122" s="203">
        <f t="shared" si="235"/>
        <v>18.944193322069577</v>
      </c>
      <c r="EF122" s="199"/>
      <c r="EI122" s="1">
        <f t="shared" si="335"/>
        <v>0.5699766927982697</v>
      </c>
      <c r="EJ122" s="1">
        <f t="shared" si="336"/>
        <v>0.002442336444552</v>
      </c>
      <c r="EK122" s="1">
        <f t="shared" si="337"/>
        <v>0</v>
      </c>
      <c r="EL122" s="1">
        <f t="shared" si="338"/>
        <v>0</v>
      </c>
      <c r="EM122" s="1">
        <f t="shared" si="339"/>
        <v>0</v>
      </c>
      <c r="EN122" s="1">
        <f t="shared" si="340"/>
        <v>0</v>
      </c>
      <c r="EO122" s="1">
        <f t="shared" si="341"/>
        <v>0</v>
      </c>
      <c r="EP122" s="1">
        <f t="shared" si="342"/>
        <v>0</v>
      </c>
      <c r="EQ122" s="1">
        <f t="shared" si="343"/>
        <v>0.21621849683808003</v>
      </c>
      <c r="ER122" s="1">
        <f t="shared" si="344"/>
        <v>0</v>
      </c>
      <c r="ES122" s="1">
        <f t="shared" si="345"/>
        <v>0</v>
      </c>
      <c r="ET122" s="1">
        <f t="shared" si="346"/>
        <v>0.14589546715944002</v>
      </c>
      <c r="EU122" s="1">
        <f t="shared" si="347"/>
        <v>0</v>
      </c>
      <c r="EV122" s="1">
        <f t="shared" si="348"/>
        <v>0</v>
      </c>
      <c r="EW122" s="1">
        <f t="shared" si="349"/>
        <v>0.059350736407200004</v>
      </c>
      <c r="EX122" s="1">
        <f t="shared" si="350"/>
        <v>0</v>
      </c>
      <c r="EY122" s="1">
        <f t="shared" si="351"/>
        <v>0</v>
      </c>
      <c r="EZ122" s="1">
        <f t="shared" si="352"/>
        <v>0</v>
      </c>
      <c r="FA122" s="1">
        <f t="shared" si="353"/>
        <v>0</v>
      </c>
      <c r="FB122" s="1">
        <f t="shared" si="354"/>
        <v>0</v>
      </c>
      <c r="FC122" s="1">
        <f t="shared" si="355"/>
        <v>0</v>
      </c>
      <c r="FD122" s="1">
        <f t="shared" si="356"/>
        <v>0</v>
      </c>
      <c r="FE122" s="1">
        <f t="shared" si="357"/>
        <v>0</v>
      </c>
      <c r="FF122" s="1">
        <f t="shared" si="358"/>
        <v>0</v>
      </c>
      <c r="FG122" s="1">
        <f t="shared" si="359"/>
        <v>0.059350736407200004</v>
      </c>
      <c r="FH122" s="1">
        <f t="shared" si="360"/>
        <v>0</v>
      </c>
      <c r="FI122" s="1">
        <f t="shared" si="361"/>
        <v>0</v>
      </c>
      <c r="FJ122" s="1">
        <f t="shared" si="362"/>
        <v>0</v>
      </c>
      <c r="FK122" s="1">
        <f t="shared" si="363"/>
        <v>0</v>
      </c>
      <c r="FL122" s="1">
        <f t="shared" si="364"/>
        <v>4.263919336981805</v>
      </c>
      <c r="FM122" s="1">
        <f t="shared" si="365"/>
        <v>0.0034234991863440005</v>
      </c>
      <c r="FN122" s="1">
        <f t="shared" si="366"/>
        <v>7.46760736344</v>
      </c>
      <c r="FO122" s="1">
        <f>IF(O122=0,0,SUM(EI122:FN122))</f>
        <v>12.788184665662891</v>
      </c>
    </row>
    <row r="123" spans="1:171" s="45" customFormat="1" ht="12.75">
      <c r="A123" s="24">
        <v>9</v>
      </c>
      <c r="B123" s="25" t="s">
        <v>307</v>
      </c>
      <c r="C123" s="25" t="s">
        <v>303</v>
      </c>
      <c r="D123" s="26" t="s">
        <v>298</v>
      </c>
      <c r="E123" s="26">
        <v>5</v>
      </c>
      <c r="F123" s="26" t="s">
        <v>299</v>
      </c>
      <c r="G123" s="26" t="s">
        <v>74</v>
      </c>
      <c r="H123" s="26" t="s">
        <v>75</v>
      </c>
      <c r="I123" s="26">
        <v>3</v>
      </c>
      <c r="J123" s="26"/>
      <c r="K123" s="26">
        <f t="shared" si="268"/>
        <v>0</v>
      </c>
      <c r="L123" s="26">
        <f t="shared" si="269"/>
        <v>1</v>
      </c>
      <c r="M123" s="24">
        <v>644448</v>
      </c>
      <c r="N123" s="24">
        <v>1472200</v>
      </c>
      <c r="O123" s="27">
        <f t="shared" si="270"/>
        <v>210000</v>
      </c>
      <c r="P123" s="28">
        <v>210000</v>
      </c>
      <c r="Q123" s="28">
        <v>226500</v>
      </c>
      <c r="R123" s="28">
        <v>5500</v>
      </c>
      <c r="S123" s="29">
        <v>0</v>
      </c>
      <c r="T123" s="29">
        <v>0</v>
      </c>
      <c r="U123" s="29">
        <v>0</v>
      </c>
      <c r="V123" s="29">
        <v>0</v>
      </c>
      <c r="W123" s="28">
        <v>0</v>
      </c>
      <c r="X123" s="29">
        <v>0</v>
      </c>
      <c r="Y123" s="29">
        <v>0</v>
      </c>
      <c r="Z123" s="28">
        <v>0</v>
      </c>
      <c r="AA123" s="29">
        <v>0</v>
      </c>
      <c r="AB123" s="28">
        <v>0</v>
      </c>
      <c r="AC123" s="28">
        <v>0</v>
      </c>
      <c r="AD123" s="28">
        <v>0</v>
      </c>
      <c r="AE123" s="28">
        <v>0</v>
      </c>
      <c r="AF123" s="28">
        <v>0</v>
      </c>
      <c r="AG123" s="28">
        <v>0</v>
      </c>
      <c r="AH123" s="28">
        <v>0</v>
      </c>
      <c r="AI123" s="28">
        <v>0</v>
      </c>
      <c r="AJ123" s="28">
        <v>0</v>
      </c>
      <c r="AK123" s="28">
        <v>0</v>
      </c>
      <c r="AL123" s="28">
        <v>0</v>
      </c>
      <c r="AM123" s="30">
        <v>0</v>
      </c>
      <c r="AN123" s="31">
        <v>2800</v>
      </c>
      <c r="AO123" s="30">
        <v>2000</v>
      </c>
      <c r="AP123" s="31">
        <v>0</v>
      </c>
      <c r="AQ123" s="31">
        <v>0</v>
      </c>
      <c r="AR123" s="31">
        <v>0</v>
      </c>
      <c r="AS123" s="31">
        <v>0</v>
      </c>
      <c r="AT123" s="31">
        <v>0</v>
      </c>
      <c r="AU123" s="30">
        <v>0</v>
      </c>
      <c r="AW123" s="1"/>
      <c r="AX123" s="2">
        <f t="shared" si="271"/>
        <v>195096</v>
      </c>
      <c r="AY123" s="32">
        <f t="shared" si="289"/>
        <v>180883.7086092715</v>
      </c>
      <c r="AZ123" s="186">
        <f t="shared" si="290"/>
        <v>0.4729261498050349</v>
      </c>
      <c r="BA123" s="186">
        <f t="shared" si="291"/>
        <v>0.08236513549671251</v>
      </c>
      <c r="BB123" s="186">
        <f t="shared" si="292"/>
        <v>0.2846822842738975</v>
      </c>
      <c r="BC123" s="53">
        <f t="shared" si="272"/>
        <v>210000</v>
      </c>
      <c r="BD123" s="53">
        <f t="shared" si="189"/>
        <v>101842.0566712067</v>
      </c>
      <c r="BE123" s="53">
        <f t="shared" si="190"/>
        <v>17736.880907190025</v>
      </c>
      <c r="BF123" s="53">
        <f t="shared" si="191"/>
        <v>61304.77103087478</v>
      </c>
      <c r="BG123" s="53"/>
      <c r="BH123" s="53">
        <f t="shared" si="273"/>
        <v>8</v>
      </c>
      <c r="BI123" s="53">
        <f t="shared" si="274"/>
        <v>8</v>
      </c>
      <c r="BJ123" s="53">
        <f t="shared" si="275"/>
        <v>4</v>
      </c>
      <c r="BK123" s="53">
        <f t="shared" si="276"/>
        <v>6</v>
      </c>
      <c r="BL123" s="53"/>
      <c r="BM123" s="53">
        <f t="shared" si="277"/>
        <v>4</v>
      </c>
      <c r="BN123" s="53">
        <f t="shared" si="278"/>
        <v>4</v>
      </c>
      <c r="BO123" s="53">
        <f t="shared" si="279"/>
        <v>2</v>
      </c>
      <c r="BP123" s="53">
        <f t="shared" si="280"/>
        <v>0</v>
      </c>
      <c r="BQ123" s="53"/>
      <c r="BR123" s="53">
        <f t="shared" si="281"/>
        <v>13</v>
      </c>
      <c r="BS123" s="53">
        <f t="shared" si="282"/>
        <v>68.4</v>
      </c>
      <c r="BT123" s="53">
        <f t="shared" si="283"/>
        <v>11</v>
      </c>
      <c r="BU123" s="53">
        <f t="shared" si="293"/>
        <v>44352</v>
      </c>
      <c r="BV123" s="53"/>
      <c r="BW123" s="53">
        <f t="shared" si="367"/>
        <v>26000</v>
      </c>
      <c r="BX123" s="53">
        <f t="shared" si="285"/>
        <v>-38052</v>
      </c>
      <c r="BY123" s="53">
        <f t="shared" si="294"/>
        <v>-34350.184929088515</v>
      </c>
      <c r="BZ123" s="240">
        <f t="shared" si="286"/>
        <v>10.0976</v>
      </c>
      <c r="CC123" s="1">
        <f t="shared" si="295"/>
        <v>0</v>
      </c>
      <c r="CD123" s="195">
        <f t="shared" si="296"/>
        <v>8619.599999999999</v>
      </c>
      <c r="CE123" s="195">
        <f t="shared" si="297"/>
        <v>8619.599999999999</v>
      </c>
      <c r="CF123" s="239">
        <f t="shared" si="298"/>
        <v>4.35</v>
      </c>
      <c r="CG123" s="239">
        <f t="shared" si="298"/>
        <v>29.880000000000003</v>
      </c>
      <c r="CH123" s="1">
        <f t="shared" si="287"/>
        <v>14342.400000000001</v>
      </c>
      <c r="CI123" s="1"/>
      <c r="CJ123" s="1"/>
      <c r="CK123" s="211">
        <f t="shared" si="299"/>
        <v>0</v>
      </c>
      <c r="CL123" s="211">
        <f t="shared" si="300"/>
        <v>0</v>
      </c>
      <c r="CM123" s="211">
        <f t="shared" si="301"/>
        <v>0</v>
      </c>
      <c r="CN123" s="1"/>
      <c r="CO123" s="1"/>
      <c r="CP123" s="1"/>
      <c r="CQ123" s="1">
        <f t="shared" si="288"/>
        <v>1</v>
      </c>
      <c r="CR123" s="195">
        <f t="shared" si="201"/>
        <v>10000</v>
      </c>
      <c r="CS123" s="195"/>
      <c r="CT123" s="195"/>
      <c r="CU123" s="1"/>
      <c r="CV123" s="199">
        <f t="shared" si="302"/>
        <v>115.06399839582915</v>
      </c>
      <c r="CW123" s="199">
        <f t="shared" si="303"/>
        <v>1.6516543011830758</v>
      </c>
      <c r="CX123" s="199">
        <f t="shared" si="304"/>
        <v>0</v>
      </c>
      <c r="CY123" s="199">
        <f t="shared" si="305"/>
        <v>0</v>
      </c>
      <c r="CZ123" s="199">
        <f t="shared" si="306"/>
        <v>0</v>
      </c>
      <c r="DA123" s="199">
        <f t="shared" si="307"/>
        <v>0</v>
      </c>
      <c r="DB123" s="199">
        <f t="shared" si="308"/>
        <v>0</v>
      </c>
      <c r="DC123" s="199">
        <f t="shared" si="309"/>
        <v>0</v>
      </c>
      <c r="DD123" s="199">
        <f t="shared" si="310"/>
        <v>0</v>
      </c>
      <c r="DE123" s="199">
        <f t="shared" si="311"/>
        <v>0</v>
      </c>
      <c r="DF123" s="199">
        <f t="shared" si="312"/>
        <v>0</v>
      </c>
      <c r="DG123" s="199">
        <f t="shared" si="313"/>
        <v>0</v>
      </c>
      <c r="DH123" s="199">
        <f t="shared" si="314"/>
        <v>0</v>
      </c>
      <c r="DI123" s="199">
        <f t="shared" si="315"/>
        <v>0</v>
      </c>
      <c r="DJ123" s="199">
        <f t="shared" si="316"/>
        <v>0</v>
      </c>
      <c r="DK123" s="199">
        <f t="shared" si="317"/>
        <v>0</v>
      </c>
      <c r="DL123" s="199">
        <f t="shared" si="318"/>
        <v>0</v>
      </c>
      <c r="DM123" s="199">
        <f t="shared" si="319"/>
        <v>0</v>
      </c>
      <c r="DN123" s="199">
        <f t="shared" si="320"/>
        <v>0</v>
      </c>
      <c r="DO123" s="199">
        <f t="shared" si="321"/>
        <v>0</v>
      </c>
      <c r="DP123" s="199">
        <f t="shared" si="322"/>
        <v>0</v>
      </c>
      <c r="DQ123" s="199">
        <f t="shared" si="323"/>
        <v>0</v>
      </c>
      <c r="DR123" s="199">
        <f t="shared" si="324"/>
        <v>0</v>
      </c>
      <c r="DS123" s="199">
        <f t="shared" si="325"/>
        <v>7.427439342289953</v>
      </c>
      <c r="DT123" s="199">
        <f t="shared" si="326"/>
        <v>5.739081612191698</v>
      </c>
      <c r="DU123" s="199">
        <f t="shared" si="327"/>
        <v>0</v>
      </c>
      <c r="DV123" s="199">
        <f t="shared" si="328"/>
        <v>0</v>
      </c>
      <c r="DW123" s="199">
        <f t="shared" si="329"/>
        <v>0</v>
      </c>
      <c r="DX123" s="199">
        <f t="shared" si="330"/>
        <v>0</v>
      </c>
      <c r="DY123" s="199">
        <f t="shared" si="331"/>
        <v>0</v>
      </c>
      <c r="DZ123" s="199">
        <f t="shared" si="332"/>
        <v>0</v>
      </c>
      <c r="EA123" s="199">
        <f t="shared" si="333"/>
        <v>105.01773702806102</v>
      </c>
      <c r="EB123" s="199">
        <f t="shared" si="334"/>
        <v>12.259969152963265</v>
      </c>
      <c r="EC123" s="202">
        <f t="shared" si="184"/>
        <v>247.15987983251816</v>
      </c>
      <c r="ED123" s="202">
        <f>SUM(CV123:DI123,DS123:DT123,DW123,DY123,EA123:EB123)</f>
        <v>247.15987983251816</v>
      </c>
      <c r="EE123" s="203">
        <f t="shared" si="235"/>
        <v>40.91308668429439</v>
      </c>
      <c r="EF123" s="199"/>
      <c r="EI123" s="1">
        <f t="shared" si="335"/>
        <v>0.5699766927982697</v>
      </c>
      <c r="EJ123" s="1">
        <f t="shared" si="336"/>
        <v>0.002442336444552</v>
      </c>
      <c r="EK123" s="1">
        <f t="shared" si="337"/>
        <v>0</v>
      </c>
      <c r="EL123" s="1">
        <f t="shared" si="338"/>
        <v>0</v>
      </c>
      <c r="EM123" s="1">
        <f t="shared" si="339"/>
        <v>0</v>
      </c>
      <c r="EN123" s="1">
        <f t="shared" si="340"/>
        <v>0</v>
      </c>
      <c r="EO123" s="1">
        <f t="shared" si="341"/>
        <v>0</v>
      </c>
      <c r="EP123" s="1">
        <f t="shared" si="342"/>
        <v>0</v>
      </c>
      <c r="EQ123" s="1">
        <f t="shared" si="343"/>
        <v>0</v>
      </c>
      <c r="ER123" s="1">
        <f t="shared" si="344"/>
        <v>0</v>
      </c>
      <c r="ES123" s="1">
        <f t="shared" si="345"/>
        <v>0</v>
      </c>
      <c r="ET123" s="1">
        <f t="shared" si="346"/>
        <v>0</v>
      </c>
      <c r="EU123" s="1">
        <f t="shared" si="347"/>
        <v>0</v>
      </c>
      <c r="EV123" s="1">
        <f t="shared" si="348"/>
        <v>0</v>
      </c>
      <c r="EW123" s="1">
        <f t="shared" si="349"/>
        <v>0</v>
      </c>
      <c r="EX123" s="1">
        <f t="shared" si="350"/>
        <v>0</v>
      </c>
      <c r="EY123" s="1">
        <f t="shared" si="351"/>
        <v>0</v>
      </c>
      <c r="EZ123" s="1">
        <f t="shared" si="352"/>
        <v>0</v>
      </c>
      <c r="FA123" s="1">
        <f t="shared" si="353"/>
        <v>0</v>
      </c>
      <c r="FB123" s="1">
        <f t="shared" si="354"/>
        <v>0</v>
      </c>
      <c r="FC123" s="1">
        <f t="shared" si="355"/>
        <v>0</v>
      </c>
      <c r="FD123" s="1">
        <f t="shared" si="356"/>
        <v>0</v>
      </c>
      <c r="FE123" s="1">
        <f t="shared" si="357"/>
        <v>0</v>
      </c>
      <c r="FF123" s="1">
        <f t="shared" si="358"/>
        <v>0.059350736407200004</v>
      </c>
      <c r="FG123" s="1">
        <f t="shared" si="359"/>
        <v>0.059350736407200004</v>
      </c>
      <c r="FH123" s="1">
        <f t="shared" si="360"/>
        <v>0</v>
      </c>
      <c r="FI123" s="1">
        <f t="shared" si="361"/>
        <v>0</v>
      </c>
      <c r="FJ123" s="1">
        <f t="shared" si="362"/>
        <v>0</v>
      </c>
      <c r="FK123" s="1">
        <f t="shared" si="363"/>
        <v>0</v>
      </c>
      <c r="FL123" s="1">
        <f t="shared" si="364"/>
        <v>0</v>
      </c>
      <c r="FM123" s="1">
        <f t="shared" si="365"/>
        <v>0</v>
      </c>
      <c r="FN123" s="1">
        <f t="shared" si="366"/>
        <v>7.46760736344</v>
      </c>
      <c r="FO123" s="1">
        <f>IF(O123=0,0,SUM(EI123:FN123))</f>
        <v>8.158727865497221</v>
      </c>
    </row>
    <row r="124" spans="1:171" s="45" customFormat="1" ht="12.75">
      <c r="A124" s="24">
        <v>14</v>
      </c>
      <c r="B124" s="25" t="s">
        <v>308</v>
      </c>
      <c r="C124" s="25" t="s">
        <v>309</v>
      </c>
      <c r="D124" s="26" t="s">
        <v>310</v>
      </c>
      <c r="E124" s="26">
        <v>5</v>
      </c>
      <c r="F124" s="26" t="s">
        <v>299</v>
      </c>
      <c r="G124" s="26" t="s">
        <v>74</v>
      </c>
      <c r="H124" s="26" t="s">
        <v>75</v>
      </c>
      <c r="I124" s="26">
        <v>1</v>
      </c>
      <c r="J124" s="26"/>
      <c r="K124" s="26">
        <f t="shared" si="268"/>
        <v>1</v>
      </c>
      <c r="L124" s="26">
        <f t="shared" si="269"/>
        <v>1</v>
      </c>
      <c r="M124" s="24">
        <v>334835</v>
      </c>
      <c r="N124" s="24">
        <v>1181420</v>
      </c>
      <c r="O124" s="27">
        <f t="shared" si="270"/>
        <v>260000</v>
      </c>
      <c r="P124" s="28">
        <v>260000</v>
      </c>
      <c r="Q124" s="28">
        <v>263000</v>
      </c>
      <c r="R124" s="28">
        <v>130000</v>
      </c>
      <c r="S124" s="29">
        <v>65000</v>
      </c>
      <c r="T124" s="29">
        <v>0</v>
      </c>
      <c r="U124" s="29">
        <v>0</v>
      </c>
      <c r="V124" s="29">
        <v>0</v>
      </c>
      <c r="W124" s="28">
        <v>102500</v>
      </c>
      <c r="X124" s="29">
        <v>0</v>
      </c>
      <c r="Y124" s="29">
        <v>45000</v>
      </c>
      <c r="Z124" s="28">
        <v>0</v>
      </c>
      <c r="AA124" s="29">
        <v>0</v>
      </c>
      <c r="AB124" s="28">
        <v>10000</v>
      </c>
      <c r="AC124" s="29">
        <v>42000</v>
      </c>
      <c r="AD124" s="28">
        <v>0</v>
      </c>
      <c r="AE124" s="28">
        <v>60000</v>
      </c>
      <c r="AF124" s="29">
        <v>10000</v>
      </c>
      <c r="AG124" s="29">
        <v>10000</v>
      </c>
      <c r="AH124" s="29">
        <v>20000</v>
      </c>
      <c r="AI124" s="29">
        <v>0</v>
      </c>
      <c r="AJ124" s="29">
        <v>0</v>
      </c>
      <c r="AK124" s="29">
        <v>90000</v>
      </c>
      <c r="AL124" s="28">
        <v>0</v>
      </c>
      <c r="AM124" s="30">
        <v>15000</v>
      </c>
      <c r="AN124" s="31">
        <v>0</v>
      </c>
      <c r="AO124" s="30">
        <v>0</v>
      </c>
      <c r="AP124" s="31">
        <v>3500</v>
      </c>
      <c r="AQ124" s="31">
        <v>0</v>
      </c>
      <c r="AR124" s="31">
        <v>0</v>
      </c>
      <c r="AS124" s="31">
        <v>11400</v>
      </c>
      <c r="AT124" s="31">
        <v>105</v>
      </c>
      <c r="AU124" s="30">
        <v>350</v>
      </c>
      <c r="AW124" s="1"/>
      <c r="AX124" s="2">
        <f t="shared" si="271"/>
        <v>221408</v>
      </c>
      <c r="AY124" s="32">
        <f t="shared" si="289"/>
        <v>218882.43346007605</v>
      </c>
      <c r="AZ124" s="186">
        <f t="shared" si="290"/>
        <v>0.4729261498050349</v>
      </c>
      <c r="BA124" s="186">
        <f t="shared" si="291"/>
        <v>0.08236513549671251</v>
      </c>
      <c r="BB124" s="186">
        <f t="shared" si="292"/>
        <v>0.2846822842738975</v>
      </c>
      <c r="BC124" s="53">
        <f t="shared" si="272"/>
        <v>260000</v>
      </c>
      <c r="BD124" s="53">
        <f t="shared" si="189"/>
        <v>123236.29012342192</v>
      </c>
      <c r="BE124" s="53">
        <f t="shared" si="190"/>
        <v>21462.914956832774</v>
      </c>
      <c r="BF124" s="53">
        <f t="shared" si="191"/>
        <v>74183.22837982135</v>
      </c>
      <c r="BG124" s="53"/>
      <c r="BH124" s="53">
        <f t="shared" si="273"/>
        <v>10</v>
      </c>
      <c r="BI124" s="53">
        <f t="shared" si="274"/>
        <v>9</v>
      </c>
      <c r="BJ124" s="53">
        <f t="shared" si="275"/>
        <v>5</v>
      </c>
      <c r="BK124" s="53">
        <f t="shared" si="276"/>
        <v>6</v>
      </c>
      <c r="BL124" s="53"/>
      <c r="BM124" s="53">
        <f t="shared" si="277"/>
        <v>4</v>
      </c>
      <c r="BN124" s="53">
        <f t="shared" si="278"/>
        <v>4</v>
      </c>
      <c r="BO124" s="53">
        <f t="shared" si="279"/>
        <v>2</v>
      </c>
      <c r="BP124" s="53">
        <f t="shared" si="280"/>
        <v>0</v>
      </c>
      <c r="BQ124" s="53"/>
      <c r="BR124" s="53">
        <f t="shared" si="281"/>
        <v>13</v>
      </c>
      <c r="BS124" s="53">
        <f t="shared" si="282"/>
        <v>68.4</v>
      </c>
      <c r="BT124" s="53">
        <f t="shared" si="283"/>
        <v>11</v>
      </c>
      <c r="BU124" s="53">
        <f t="shared" si="293"/>
        <v>44352</v>
      </c>
      <c r="BV124" s="53"/>
      <c r="BW124" s="53">
        <f t="shared" si="367"/>
        <v>26000</v>
      </c>
      <c r="BX124" s="53">
        <f t="shared" si="285"/>
        <v>-38052</v>
      </c>
      <c r="BY124" s="53">
        <f t="shared" si="294"/>
        <v>-34350.184929088515</v>
      </c>
      <c r="BZ124" s="240">
        <f t="shared" si="286"/>
        <v>10.0976</v>
      </c>
      <c r="CC124" s="1">
        <f t="shared" si="295"/>
        <v>0</v>
      </c>
      <c r="CD124" s="195">
        <f t="shared" si="296"/>
        <v>8619.599999999999</v>
      </c>
      <c r="CE124" s="195">
        <f t="shared" si="297"/>
        <v>8619.599999999999</v>
      </c>
      <c r="CF124" s="239">
        <f t="shared" si="298"/>
        <v>4.35</v>
      </c>
      <c r="CG124" s="239">
        <f t="shared" si="298"/>
        <v>29.880000000000003</v>
      </c>
      <c r="CH124" s="1">
        <f t="shared" si="287"/>
        <v>14342.400000000001</v>
      </c>
      <c r="CI124" s="1"/>
      <c r="CJ124" s="1"/>
      <c r="CK124" s="211">
        <f t="shared" si="299"/>
        <v>0</v>
      </c>
      <c r="CL124" s="211">
        <f t="shared" si="300"/>
        <v>0</v>
      </c>
      <c r="CM124" s="211">
        <f t="shared" si="301"/>
        <v>0</v>
      </c>
      <c r="CN124" s="1"/>
      <c r="CO124" s="1"/>
      <c r="CP124" s="1"/>
      <c r="CQ124" s="1">
        <f t="shared" si="288"/>
        <v>1</v>
      </c>
      <c r="CR124" s="195">
        <f t="shared" si="201"/>
        <v>10000</v>
      </c>
      <c r="CS124" s="195"/>
      <c r="CT124" s="195"/>
      <c r="CU124" s="1"/>
      <c r="CV124" s="199">
        <f t="shared" si="302"/>
        <v>133.60632043312611</v>
      </c>
      <c r="CW124" s="199">
        <f t="shared" si="303"/>
        <v>39.03910166432725</v>
      </c>
      <c r="CX124" s="199">
        <f t="shared" si="304"/>
        <v>127.96149989973931</v>
      </c>
      <c r="CY124" s="199">
        <f t="shared" si="305"/>
        <v>0</v>
      </c>
      <c r="CZ124" s="199">
        <f t="shared" si="306"/>
        <v>0</v>
      </c>
      <c r="DA124" s="199">
        <f t="shared" si="307"/>
        <v>0</v>
      </c>
      <c r="DB124" s="199">
        <f t="shared" si="308"/>
        <v>26.67671947062362</v>
      </c>
      <c r="DC124" s="199">
        <f t="shared" si="309"/>
        <v>0</v>
      </c>
      <c r="DD124" s="199">
        <f t="shared" si="310"/>
        <v>13.663685582514535</v>
      </c>
      <c r="DE124" s="199">
        <f t="shared" si="311"/>
        <v>0</v>
      </c>
      <c r="DF124" s="199">
        <f t="shared" si="312"/>
        <v>0</v>
      </c>
      <c r="DG124" s="199">
        <f t="shared" si="313"/>
        <v>13.263284539803488</v>
      </c>
      <c r="DH124" s="199">
        <f t="shared" si="314"/>
        <v>55.70579506717465</v>
      </c>
      <c r="DI124" s="199">
        <f t="shared" si="315"/>
        <v>0</v>
      </c>
      <c r="DJ124" s="199">
        <f t="shared" si="316"/>
        <v>8.198211349508723</v>
      </c>
      <c r="DK124" s="199">
        <f t="shared" si="317"/>
        <v>1.3663685582514535</v>
      </c>
      <c r="DL124" s="199">
        <f t="shared" si="318"/>
        <v>1.3663685582514535</v>
      </c>
      <c r="DM124" s="199">
        <f t="shared" si="319"/>
        <v>2.732737116502907</v>
      </c>
      <c r="DN124" s="199">
        <f t="shared" si="320"/>
        <v>0</v>
      </c>
      <c r="DO124" s="199">
        <f t="shared" si="321"/>
        <v>0</v>
      </c>
      <c r="DP124" s="199">
        <f t="shared" si="322"/>
        <v>12.297317024263082</v>
      </c>
      <c r="DQ124" s="199">
        <f t="shared" si="323"/>
        <v>0</v>
      </c>
      <c r="DR124" s="199">
        <f t="shared" si="324"/>
        <v>2.2522558652496487</v>
      </c>
      <c r="DS124" s="199">
        <f t="shared" si="325"/>
        <v>0</v>
      </c>
      <c r="DT124" s="199">
        <f t="shared" si="326"/>
        <v>0</v>
      </c>
      <c r="DU124" s="199">
        <f t="shared" si="327"/>
        <v>0.0010218568277521555</v>
      </c>
      <c r="DV124" s="199">
        <f t="shared" si="328"/>
        <v>0</v>
      </c>
      <c r="DW124" s="199">
        <f t="shared" si="329"/>
        <v>0</v>
      </c>
      <c r="DX124" s="199">
        <f t="shared" si="330"/>
        <v>0.7379391217164628</v>
      </c>
      <c r="DY124" s="199">
        <f t="shared" si="331"/>
        <v>4.344351313414879</v>
      </c>
      <c r="DZ124" s="199">
        <f t="shared" si="332"/>
        <v>0.022656025666733505</v>
      </c>
      <c r="EA124" s="199">
        <f t="shared" si="333"/>
        <v>127.07909415339198</v>
      </c>
      <c r="EB124" s="199">
        <f t="shared" si="334"/>
        <v>15.020027012651141</v>
      </c>
      <c r="EC124" s="202">
        <f t="shared" si="184"/>
        <v>585.3347546130051</v>
      </c>
      <c r="ED124" s="202">
        <f>SUM(CV124:DI124,DS124:DT124,DW124,DY124,EA124:EB124)</f>
        <v>556.359879136767</v>
      </c>
      <c r="EE124" s="203">
        <f t="shared" si="235"/>
        <v>92.09585300903399</v>
      </c>
      <c r="EF124" s="199"/>
      <c r="EI124" s="1">
        <f t="shared" si="335"/>
        <v>0.5699766927982697</v>
      </c>
      <c r="EJ124" s="1">
        <f t="shared" si="336"/>
        <v>0.010606863429336002</v>
      </c>
      <c r="EK124" s="1">
        <f t="shared" si="337"/>
        <v>0.24682268761392</v>
      </c>
      <c r="EL124" s="1">
        <f t="shared" si="338"/>
        <v>0</v>
      </c>
      <c r="EM124" s="1">
        <f t="shared" si="339"/>
        <v>0</v>
      </c>
      <c r="EN124" s="1">
        <f t="shared" si="340"/>
        <v>0</v>
      </c>
      <c r="EO124" s="1">
        <f t="shared" si="341"/>
        <v>0.2644897670328</v>
      </c>
      <c r="EP124" s="1">
        <f t="shared" si="342"/>
        <v>0</v>
      </c>
      <c r="EQ124" s="1">
        <f t="shared" si="343"/>
        <v>0.21621849683808003</v>
      </c>
      <c r="ER124" s="1">
        <f t="shared" si="344"/>
        <v>0</v>
      </c>
      <c r="ES124" s="1">
        <f t="shared" si="345"/>
        <v>0</v>
      </c>
      <c r="ET124" s="1">
        <f t="shared" si="346"/>
        <v>0.07346601658824001</v>
      </c>
      <c r="EU124" s="1">
        <f t="shared" si="347"/>
        <v>0.14589546715944002</v>
      </c>
      <c r="EV124" s="1">
        <f t="shared" si="348"/>
        <v>0</v>
      </c>
      <c r="EW124" s="1">
        <f t="shared" si="349"/>
        <v>0.10099701098903999</v>
      </c>
      <c r="EX124" s="1">
        <f t="shared" si="350"/>
        <v>0.059350736407200004</v>
      </c>
      <c r="EY124" s="1">
        <f t="shared" si="351"/>
        <v>0.059350736407200004</v>
      </c>
      <c r="EZ124" s="1">
        <f t="shared" si="352"/>
        <v>0.059350736407200004</v>
      </c>
      <c r="FA124" s="1">
        <f t="shared" si="353"/>
        <v>0</v>
      </c>
      <c r="FB124" s="1">
        <f t="shared" si="354"/>
        <v>0</v>
      </c>
      <c r="FC124" s="1">
        <f t="shared" si="355"/>
        <v>0.10099701098903999</v>
      </c>
      <c r="FD124" s="1">
        <f t="shared" si="356"/>
        <v>0</v>
      </c>
      <c r="FE124" s="1">
        <f t="shared" si="357"/>
        <v>0.059350736407200004</v>
      </c>
      <c r="FF124" s="1">
        <f t="shared" si="358"/>
        <v>0</v>
      </c>
      <c r="FG124" s="1">
        <f t="shared" si="359"/>
        <v>0</v>
      </c>
      <c r="FH124" s="1">
        <f t="shared" si="360"/>
        <v>0</v>
      </c>
      <c r="FI124" s="1">
        <f t="shared" si="361"/>
        <v>0</v>
      </c>
      <c r="FJ124" s="1">
        <f t="shared" si="362"/>
        <v>0</v>
      </c>
      <c r="FK124" s="1">
        <f t="shared" si="363"/>
        <v>0</v>
      </c>
      <c r="FL124" s="1">
        <f t="shared" si="364"/>
        <v>4.263919336981805</v>
      </c>
      <c r="FM124" s="1">
        <f t="shared" si="365"/>
        <v>0.0057571153094400015</v>
      </c>
      <c r="FN124" s="1">
        <f t="shared" si="366"/>
        <v>7.46760736344</v>
      </c>
      <c r="FO124" s="1">
        <f>IF(O124=0,0,SUM(EI124:FN124))</f>
        <v>13.70415677479821</v>
      </c>
    </row>
    <row r="125" spans="1:171" s="45" customFormat="1" ht="12.75">
      <c r="A125" s="24">
        <v>15</v>
      </c>
      <c r="B125" s="25" t="s">
        <v>238</v>
      </c>
      <c r="C125" s="25" t="s">
        <v>311</v>
      </c>
      <c r="D125" s="26" t="s">
        <v>310</v>
      </c>
      <c r="E125" s="26">
        <v>5</v>
      </c>
      <c r="F125" s="26" t="s">
        <v>299</v>
      </c>
      <c r="G125" s="26" t="s">
        <v>74</v>
      </c>
      <c r="H125" s="26" t="s">
        <v>75</v>
      </c>
      <c r="I125" s="26">
        <v>1</v>
      </c>
      <c r="J125" s="26"/>
      <c r="K125" s="26">
        <f t="shared" si="268"/>
        <v>1</v>
      </c>
      <c r="L125" s="26">
        <f t="shared" si="269"/>
        <v>1</v>
      </c>
      <c r="M125" s="24">
        <v>335443</v>
      </c>
      <c r="N125" s="24">
        <v>1182448</v>
      </c>
      <c r="O125" s="27">
        <f t="shared" si="270"/>
        <v>260000</v>
      </c>
      <c r="P125" s="28">
        <v>260000</v>
      </c>
      <c r="Q125" s="28">
        <v>274000</v>
      </c>
      <c r="R125" s="28">
        <v>143000</v>
      </c>
      <c r="S125" s="29">
        <v>66000</v>
      </c>
      <c r="T125" s="29">
        <v>0</v>
      </c>
      <c r="U125" s="29">
        <v>0</v>
      </c>
      <c r="V125" s="29">
        <v>0</v>
      </c>
      <c r="W125" s="28">
        <v>74000</v>
      </c>
      <c r="X125" s="29">
        <v>0</v>
      </c>
      <c r="Y125" s="29">
        <v>0</v>
      </c>
      <c r="Z125" s="28">
        <v>51000</v>
      </c>
      <c r="AA125" s="29">
        <v>0</v>
      </c>
      <c r="AB125" s="28">
        <v>49000</v>
      </c>
      <c r="AC125" s="29">
        <v>0</v>
      </c>
      <c r="AD125" s="28">
        <v>0</v>
      </c>
      <c r="AE125" s="28">
        <v>59000</v>
      </c>
      <c r="AF125" s="29">
        <v>0</v>
      </c>
      <c r="AG125" s="29">
        <v>36500</v>
      </c>
      <c r="AH125" s="29">
        <v>47500</v>
      </c>
      <c r="AI125" s="29">
        <v>14000</v>
      </c>
      <c r="AJ125" s="29">
        <v>0</v>
      </c>
      <c r="AK125" s="29">
        <v>72000</v>
      </c>
      <c r="AL125" s="28">
        <v>0</v>
      </c>
      <c r="AM125" s="30">
        <v>33500</v>
      </c>
      <c r="AN125" s="31">
        <v>0</v>
      </c>
      <c r="AO125" s="30">
        <v>0</v>
      </c>
      <c r="AP125" s="31">
        <v>7700</v>
      </c>
      <c r="AQ125" s="31">
        <v>22300</v>
      </c>
      <c r="AR125" s="31">
        <v>0</v>
      </c>
      <c r="AS125" s="31">
        <v>20000</v>
      </c>
      <c r="AT125" s="31">
        <v>77</v>
      </c>
      <c r="AU125" s="30">
        <v>600</v>
      </c>
      <c r="AW125" s="1"/>
      <c r="AX125" s="2">
        <f t="shared" si="271"/>
        <v>223520</v>
      </c>
      <c r="AY125" s="32">
        <f t="shared" si="289"/>
        <v>212099.2700729927</v>
      </c>
      <c r="AZ125" s="186">
        <f t="shared" si="290"/>
        <v>0.4729261498050349</v>
      </c>
      <c r="BA125" s="186">
        <f t="shared" si="291"/>
        <v>0.08236513549671251</v>
      </c>
      <c r="BB125" s="186">
        <f t="shared" si="292"/>
        <v>0.2846822842738975</v>
      </c>
      <c r="BC125" s="53">
        <f t="shared" si="272"/>
        <v>260000</v>
      </c>
      <c r="BD125" s="53">
        <f t="shared" si="189"/>
        <v>119417.19930872823</v>
      </c>
      <c r="BE125" s="53">
        <f t="shared" si="190"/>
        <v>20797.77953863656</v>
      </c>
      <c r="BF125" s="53">
        <f t="shared" si="191"/>
        <v>71884.2912256279</v>
      </c>
      <c r="BG125" s="53"/>
      <c r="BH125" s="53">
        <f t="shared" si="273"/>
        <v>10</v>
      </c>
      <c r="BI125" s="53">
        <f t="shared" si="274"/>
        <v>8</v>
      </c>
      <c r="BJ125" s="53">
        <f t="shared" si="275"/>
        <v>5</v>
      </c>
      <c r="BK125" s="53">
        <f t="shared" si="276"/>
        <v>6</v>
      </c>
      <c r="BL125" s="53"/>
      <c r="BM125" s="53">
        <f t="shared" si="277"/>
        <v>4</v>
      </c>
      <c r="BN125" s="53">
        <f t="shared" si="278"/>
        <v>4</v>
      </c>
      <c r="BO125" s="53">
        <f t="shared" si="279"/>
        <v>2</v>
      </c>
      <c r="BP125" s="53">
        <f t="shared" si="280"/>
        <v>0</v>
      </c>
      <c r="BQ125" s="53"/>
      <c r="BR125" s="53">
        <f t="shared" si="281"/>
        <v>13</v>
      </c>
      <c r="BS125" s="53">
        <f t="shared" si="282"/>
        <v>68.4</v>
      </c>
      <c r="BT125" s="53">
        <f t="shared" si="283"/>
        <v>11</v>
      </c>
      <c r="BU125" s="53">
        <f t="shared" si="293"/>
        <v>44352</v>
      </c>
      <c r="BV125" s="53"/>
      <c r="BW125" s="53">
        <f t="shared" si="367"/>
        <v>26000</v>
      </c>
      <c r="BX125" s="53">
        <f t="shared" si="285"/>
        <v>-38052</v>
      </c>
      <c r="BY125" s="53">
        <f t="shared" si="294"/>
        <v>-34350.184929088515</v>
      </c>
      <c r="BZ125" s="240">
        <f t="shared" si="286"/>
        <v>10.0976</v>
      </c>
      <c r="CC125" s="1">
        <f t="shared" si="295"/>
        <v>0</v>
      </c>
      <c r="CD125" s="195">
        <f t="shared" si="296"/>
        <v>8619.599999999999</v>
      </c>
      <c r="CE125" s="195">
        <f t="shared" si="297"/>
        <v>8619.599999999999</v>
      </c>
      <c r="CF125" s="239">
        <f t="shared" si="298"/>
        <v>4.35</v>
      </c>
      <c r="CG125" s="239">
        <f t="shared" si="298"/>
        <v>29.880000000000003</v>
      </c>
      <c r="CH125" s="1">
        <f t="shared" si="287"/>
        <v>14342.400000000001</v>
      </c>
      <c r="CI125" s="1"/>
      <c r="CJ125" s="1"/>
      <c r="CK125" s="211">
        <f t="shared" si="299"/>
        <v>0</v>
      </c>
      <c r="CL125" s="211">
        <f t="shared" si="300"/>
        <v>0</v>
      </c>
      <c r="CM125" s="211">
        <f t="shared" si="301"/>
        <v>0</v>
      </c>
      <c r="CN125" s="1"/>
      <c r="CO125" s="1"/>
      <c r="CP125" s="1"/>
      <c r="CQ125" s="1">
        <f t="shared" si="288"/>
        <v>1</v>
      </c>
      <c r="CR125" s="195">
        <f t="shared" si="201"/>
        <v>10000</v>
      </c>
      <c r="CS125" s="195"/>
      <c r="CT125" s="195"/>
      <c r="CU125" s="1"/>
      <c r="CV125" s="199">
        <f t="shared" si="302"/>
        <v>139.1944174854622</v>
      </c>
      <c r="CW125" s="199">
        <f t="shared" si="303"/>
        <v>42.94301183075997</v>
      </c>
      <c r="CX125" s="199">
        <f t="shared" si="304"/>
        <v>129.93013835973528</v>
      </c>
      <c r="CY125" s="199">
        <f t="shared" si="305"/>
        <v>0</v>
      </c>
      <c r="CZ125" s="199">
        <f t="shared" si="306"/>
        <v>0</v>
      </c>
      <c r="DA125" s="199">
        <f t="shared" si="307"/>
        <v>0</v>
      </c>
      <c r="DB125" s="199">
        <f t="shared" si="308"/>
        <v>19.25929015440144</v>
      </c>
      <c r="DC125" s="199">
        <f t="shared" si="309"/>
        <v>0</v>
      </c>
      <c r="DD125" s="199">
        <f t="shared" si="310"/>
        <v>0</v>
      </c>
      <c r="DE125" s="199">
        <f t="shared" si="311"/>
        <v>15.485510326849809</v>
      </c>
      <c r="DF125" s="199">
        <f t="shared" si="312"/>
        <v>0</v>
      </c>
      <c r="DG125" s="199">
        <f t="shared" si="313"/>
        <v>64.9900942450371</v>
      </c>
      <c r="DH125" s="199">
        <f t="shared" si="314"/>
        <v>0</v>
      </c>
      <c r="DI125" s="199">
        <f t="shared" si="315"/>
        <v>0</v>
      </c>
      <c r="DJ125" s="199">
        <f t="shared" si="316"/>
        <v>8.061574493683576</v>
      </c>
      <c r="DK125" s="199">
        <f t="shared" si="317"/>
        <v>0</v>
      </c>
      <c r="DL125" s="199">
        <f t="shared" si="318"/>
        <v>4.987245237617806</v>
      </c>
      <c r="DM125" s="199">
        <f t="shared" si="319"/>
        <v>6.490250651694405</v>
      </c>
      <c r="DN125" s="199">
        <f t="shared" si="320"/>
        <v>1.9129159815520351</v>
      </c>
      <c r="DO125" s="199">
        <f t="shared" si="321"/>
        <v>0</v>
      </c>
      <c r="DP125" s="199">
        <f t="shared" si="322"/>
        <v>9.837853619410467</v>
      </c>
      <c r="DQ125" s="199">
        <f t="shared" si="323"/>
        <v>0</v>
      </c>
      <c r="DR125" s="199">
        <f t="shared" si="324"/>
        <v>5.03003809905755</v>
      </c>
      <c r="DS125" s="199">
        <f t="shared" si="325"/>
        <v>0</v>
      </c>
      <c r="DT125" s="199">
        <f t="shared" si="326"/>
        <v>0</v>
      </c>
      <c r="DU125" s="199">
        <f t="shared" si="327"/>
        <v>0.002248085021054742</v>
      </c>
      <c r="DV125" s="199">
        <f t="shared" si="328"/>
        <v>0.006510687788249449</v>
      </c>
      <c r="DW125" s="199">
        <f t="shared" si="329"/>
        <v>0</v>
      </c>
      <c r="DX125" s="199">
        <f t="shared" si="330"/>
        <v>1.2946300380990574</v>
      </c>
      <c r="DY125" s="199">
        <f t="shared" si="331"/>
        <v>3.185857629837577</v>
      </c>
      <c r="DZ125" s="199">
        <f t="shared" si="332"/>
        <v>0.03883890114297172</v>
      </c>
      <c r="EA125" s="199">
        <f t="shared" si="333"/>
        <v>123.14091489844397</v>
      </c>
      <c r="EB125" s="199">
        <f t="shared" si="334"/>
        <v>14.807274800027514</v>
      </c>
      <c r="EC125" s="202">
        <f t="shared" si="184"/>
        <v>590.598615525622</v>
      </c>
      <c r="ED125" s="202">
        <f>SUM(CV125:DI125,DS125:DT125,DW125,DY125,EA125:EB125)</f>
        <v>552.9365097305548</v>
      </c>
      <c r="EE125" s="203">
        <f t="shared" si="235"/>
        <v>91.5291728125408</v>
      </c>
      <c r="EF125" s="199"/>
      <c r="EI125" s="1">
        <f t="shared" si="335"/>
        <v>0.5699766927982697</v>
      </c>
      <c r="EJ125" s="1">
        <f t="shared" si="336"/>
        <v>0.010606863429336002</v>
      </c>
      <c r="EK125" s="1">
        <f t="shared" si="337"/>
        <v>0.24682268761392</v>
      </c>
      <c r="EL125" s="1">
        <f t="shared" si="338"/>
        <v>0</v>
      </c>
      <c r="EM125" s="1">
        <f t="shared" si="339"/>
        <v>0</v>
      </c>
      <c r="EN125" s="1">
        <f t="shared" si="340"/>
        <v>0</v>
      </c>
      <c r="EO125" s="1">
        <f t="shared" si="341"/>
        <v>0.2644897670328</v>
      </c>
      <c r="EP125" s="1">
        <f t="shared" si="342"/>
        <v>0</v>
      </c>
      <c r="EQ125" s="1">
        <f t="shared" si="343"/>
        <v>0.21621849683808003</v>
      </c>
      <c r="ER125" s="1">
        <f t="shared" si="344"/>
        <v>0</v>
      </c>
      <c r="ES125" s="1">
        <f t="shared" si="345"/>
        <v>0</v>
      </c>
      <c r="ET125" s="1">
        <f t="shared" si="346"/>
        <v>0.14589546715944002</v>
      </c>
      <c r="EU125" s="1">
        <f t="shared" si="347"/>
        <v>0</v>
      </c>
      <c r="EV125" s="1">
        <f t="shared" si="348"/>
        <v>0</v>
      </c>
      <c r="EW125" s="1">
        <f t="shared" si="349"/>
        <v>0.10099701098903999</v>
      </c>
      <c r="EX125" s="1">
        <f t="shared" si="350"/>
        <v>0</v>
      </c>
      <c r="EY125" s="1">
        <f t="shared" si="351"/>
        <v>0.10099701098903999</v>
      </c>
      <c r="EZ125" s="1">
        <f t="shared" si="352"/>
        <v>0.10099701098903999</v>
      </c>
      <c r="FA125" s="1">
        <f t="shared" si="353"/>
        <v>0.059350736407200004</v>
      </c>
      <c r="FB125" s="1">
        <f t="shared" si="354"/>
        <v>0</v>
      </c>
      <c r="FC125" s="1">
        <f t="shared" si="355"/>
        <v>0.10099701098903999</v>
      </c>
      <c r="FD125" s="1">
        <f t="shared" si="356"/>
        <v>0</v>
      </c>
      <c r="FE125" s="1">
        <f t="shared" si="357"/>
        <v>0.059350736407200004</v>
      </c>
      <c r="FF125" s="1">
        <f t="shared" si="358"/>
        <v>0</v>
      </c>
      <c r="FG125" s="1">
        <f t="shared" si="359"/>
        <v>0</v>
      </c>
      <c r="FH125" s="1">
        <f t="shared" si="360"/>
        <v>0</v>
      </c>
      <c r="FI125" s="1">
        <f t="shared" si="361"/>
        <v>0</v>
      </c>
      <c r="FJ125" s="1">
        <f t="shared" si="362"/>
        <v>0</v>
      </c>
      <c r="FK125" s="1">
        <f t="shared" si="363"/>
        <v>0</v>
      </c>
      <c r="FL125" s="1">
        <f t="shared" si="364"/>
        <v>4.263919336981805</v>
      </c>
      <c r="FM125" s="1">
        <f t="shared" si="365"/>
        <v>0.0057571153094400015</v>
      </c>
      <c r="FN125" s="1">
        <f t="shared" si="366"/>
        <v>7.46760736344</v>
      </c>
      <c r="FO125" s="1">
        <f>IF(O125=0,0,SUM(EI125:FN125))</f>
        <v>13.713983307373649</v>
      </c>
    </row>
    <row r="126" spans="1:171" s="45" customFormat="1" ht="12.75">
      <c r="A126" s="24">
        <v>16</v>
      </c>
      <c r="B126" s="25" t="s">
        <v>238</v>
      </c>
      <c r="C126" s="25" t="s">
        <v>312</v>
      </c>
      <c r="D126" s="26" t="s">
        <v>310</v>
      </c>
      <c r="E126" s="26">
        <v>5</v>
      </c>
      <c r="F126" s="26" t="s">
        <v>299</v>
      </c>
      <c r="G126" s="26" t="s">
        <v>74</v>
      </c>
      <c r="H126" s="26" t="s">
        <v>75</v>
      </c>
      <c r="I126" s="26">
        <v>1</v>
      </c>
      <c r="J126" s="26"/>
      <c r="K126" s="26">
        <f t="shared" si="268"/>
        <v>1</v>
      </c>
      <c r="L126" s="26">
        <f t="shared" si="269"/>
        <v>1</v>
      </c>
      <c r="M126" s="24">
        <v>375520</v>
      </c>
      <c r="N126" s="24">
        <v>1222435</v>
      </c>
      <c r="O126" s="27">
        <f t="shared" si="270"/>
        <v>242901</v>
      </c>
      <c r="P126" s="28">
        <v>242901</v>
      </c>
      <c r="Q126" s="28">
        <v>257200</v>
      </c>
      <c r="R126" s="28">
        <v>123456</v>
      </c>
      <c r="S126" s="29">
        <v>0</v>
      </c>
      <c r="T126" s="29">
        <v>0</v>
      </c>
      <c r="U126" s="29">
        <v>0</v>
      </c>
      <c r="V126" s="29">
        <v>0</v>
      </c>
      <c r="W126" s="28">
        <v>90000</v>
      </c>
      <c r="X126" s="29">
        <v>0</v>
      </c>
      <c r="Y126" s="29">
        <v>0</v>
      </c>
      <c r="Z126" s="28">
        <v>96400</v>
      </c>
      <c r="AA126" s="29">
        <v>65000</v>
      </c>
      <c r="AB126" s="28">
        <v>71300</v>
      </c>
      <c r="AC126" s="29">
        <v>0</v>
      </c>
      <c r="AD126" s="28">
        <v>66000</v>
      </c>
      <c r="AE126" s="28">
        <v>57600</v>
      </c>
      <c r="AF126" s="29">
        <v>0</v>
      </c>
      <c r="AG126" s="29">
        <v>96000</v>
      </c>
      <c r="AH126" s="29">
        <v>64800</v>
      </c>
      <c r="AI126" s="29">
        <v>0</v>
      </c>
      <c r="AJ126" s="29">
        <v>0</v>
      </c>
      <c r="AK126" s="29">
        <v>0</v>
      </c>
      <c r="AL126" s="28">
        <v>27000</v>
      </c>
      <c r="AM126" s="30">
        <v>23426</v>
      </c>
      <c r="AN126" s="31">
        <v>0</v>
      </c>
      <c r="AO126" s="30">
        <v>0</v>
      </c>
      <c r="AP126" s="31">
        <v>7200</v>
      </c>
      <c r="AQ126" s="31">
        <v>46800</v>
      </c>
      <c r="AR126" s="31">
        <v>27000</v>
      </c>
      <c r="AS126" s="31">
        <v>0</v>
      </c>
      <c r="AT126" s="31">
        <v>181</v>
      </c>
      <c r="AU126" s="30">
        <v>789</v>
      </c>
      <c r="AW126" s="1"/>
      <c r="AX126" s="2">
        <f t="shared" si="271"/>
        <v>202576</v>
      </c>
      <c r="AY126" s="32">
        <f t="shared" si="289"/>
        <v>191313.814059098</v>
      </c>
      <c r="AZ126" s="186">
        <f t="shared" si="290"/>
        <v>0.4729261498050349</v>
      </c>
      <c r="BA126" s="186">
        <f t="shared" si="291"/>
        <v>0.08236513549671251</v>
      </c>
      <c r="BB126" s="186">
        <f t="shared" si="292"/>
        <v>0.2846822842738975</v>
      </c>
      <c r="BC126" s="53">
        <f t="shared" si="272"/>
        <v>242901</v>
      </c>
      <c r="BD126" s="53">
        <f t="shared" si="189"/>
        <v>107714.46717447876</v>
      </c>
      <c r="BE126" s="53">
        <f t="shared" si="190"/>
        <v>18759.62385974979</v>
      </c>
      <c r="BF126" s="53">
        <f t="shared" si="191"/>
        <v>64839.723024869425</v>
      </c>
      <c r="BG126" s="53"/>
      <c r="BH126" s="53">
        <f t="shared" si="273"/>
        <v>10</v>
      </c>
      <c r="BI126" s="53">
        <f t="shared" si="274"/>
        <v>8</v>
      </c>
      <c r="BJ126" s="53">
        <f t="shared" si="275"/>
        <v>4</v>
      </c>
      <c r="BK126" s="53">
        <f t="shared" si="276"/>
        <v>6</v>
      </c>
      <c r="BL126" s="53"/>
      <c r="BM126" s="53">
        <f t="shared" si="277"/>
        <v>4</v>
      </c>
      <c r="BN126" s="53">
        <f t="shared" si="278"/>
        <v>4</v>
      </c>
      <c r="BO126" s="53">
        <f t="shared" si="279"/>
        <v>2</v>
      </c>
      <c r="BP126" s="53">
        <f t="shared" si="280"/>
        <v>0</v>
      </c>
      <c r="BQ126" s="53"/>
      <c r="BR126" s="53">
        <f t="shared" si="281"/>
        <v>13</v>
      </c>
      <c r="BS126" s="53">
        <f t="shared" si="282"/>
        <v>68.4</v>
      </c>
      <c r="BT126" s="53">
        <f t="shared" si="283"/>
        <v>11</v>
      </c>
      <c r="BU126" s="53">
        <f t="shared" si="293"/>
        <v>44352</v>
      </c>
      <c r="BV126" s="53"/>
      <c r="BW126" s="53">
        <f t="shared" si="367"/>
        <v>26000</v>
      </c>
      <c r="BX126" s="53">
        <f t="shared" si="285"/>
        <v>-38052</v>
      </c>
      <c r="BY126" s="53">
        <f t="shared" si="294"/>
        <v>-34350.184929088515</v>
      </c>
      <c r="BZ126" s="240">
        <f t="shared" si="286"/>
        <v>10.0976</v>
      </c>
      <c r="CC126" s="1">
        <f t="shared" si="295"/>
        <v>0</v>
      </c>
      <c r="CD126" s="195">
        <f t="shared" si="296"/>
        <v>8619.599999999999</v>
      </c>
      <c r="CE126" s="195">
        <f t="shared" si="297"/>
        <v>8619.599999999999</v>
      </c>
      <c r="CF126" s="239">
        <f t="shared" si="298"/>
        <v>4.35</v>
      </c>
      <c r="CG126" s="239">
        <f t="shared" si="298"/>
        <v>29.880000000000003</v>
      </c>
      <c r="CH126" s="1">
        <f t="shared" si="287"/>
        <v>14342.400000000001</v>
      </c>
      <c r="CI126" s="1"/>
      <c r="CJ126" s="1"/>
      <c r="CK126" s="211">
        <f t="shared" si="299"/>
        <v>0</v>
      </c>
      <c r="CL126" s="211">
        <f t="shared" si="300"/>
        <v>0</v>
      </c>
      <c r="CM126" s="211">
        <f t="shared" si="301"/>
        <v>0</v>
      </c>
      <c r="CN126" s="1"/>
      <c r="CO126" s="1"/>
      <c r="CP126" s="1"/>
      <c r="CQ126" s="1">
        <f t="shared" si="288"/>
        <v>1</v>
      </c>
      <c r="CR126" s="195">
        <f t="shared" si="201"/>
        <v>10000</v>
      </c>
      <c r="CS126" s="195"/>
      <c r="CT126" s="195"/>
      <c r="CU126" s="1"/>
      <c r="CV126" s="199">
        <f t="shared" si="302"/>
        <v>130.6598692600762</v>
      </c>
      <c r="CW126" s="199">
        <f t="shared" si="303"/>
        <v>37.07393334670142</v>
      </c>
      <c r="CX126" s="199">
        <f t="shared" si="304"/>
        <v>0</v>
      </c>
      <c r="CY126" s="199">
        <f t="shared" si="305"/>
        <v>0</v>
      </c>
      <c r="CZ126" s="199">
        <f t="shared" si="306"/>
        <v>0</v>
      </c>
      <c r="DA126" s="199">
        <f t="shared" si="307"/>
        <v>0</v>
      </c>
      <c r="DB126" s="199">
        <f t="shared" si="308"/>
        <v>23.423460998596347</v>
      </c>
      <c r="DC126" s="199">
        <f t="shared" si="309"/>
        <v>0</v>
      </c>
      <c r="DD126" s="199">
        <f t="shared" si="310"/>
        <v>0</v>
      </c>
      <c r="DE126" s="199">
        <f t="shared" si="311"/>
        <v>29.27065089232003</v>
      </c>
      <c r="DF126" s="199">
        <f t="shared" si="312"/>
        <v>19.736434730298775</v>
      </c>
      <c r="DG126" s="199">
        <f t="shared" si="313"/>
        <v>94.56721876879887</v>
      </c>
      <c r="DH126" s="199">
        <f t="shared" si="314"/>
        <v>0</v>
      </c>
      <c r="DI126" s="199">
        <f t="shared" si="315"/>
        <v>189.38969320232604</v>
      </c>
      <c r="DJ126" s="199">
        <f t="shared" si="316"/>
        <v>7.870282895528374</v>
      </c>
      <c r="DK126" s="199">
        <f t="shared" si="317"/>
        <v>0</v>
      </c>
      <c r="DL126" s="199">
        <f t="shared" si="318"/>
        <v>13.117138159213955</v>
      </c>
      <c r="DM126" s="199">
        <f t="shared" si="319"/>
        <v>8.85406825746942</v>
      </c>
      <c r="DN126" s="199">
        <f t="shared" si="320"/>
        <v>0</v>
      </c>
      <c r="DO126" s="199">
        <f t="shared" si="321"/>
        <v>0</v>
      </c>
      <c r="DP126" s="199">
        <f t="shared" si="322"/>
        <v>0</v>
      </c>
      <c r="DQ126" s="199">
        <f t="shared" si="323"/>
        <v>3.689195107278925</v>
      </c>
      <c r="DR126" s="199">
        <f t="shared" si="324"/>
        <v>3.517423059955885</v>
      </c>
      <c r="DS126" s="199">
        <f t="shared" si="325"/>
        <v>0</v>
      </c>
      <c r="DT126" s="199">
        <f t="shared" si="326"/>
        <v>0</v>
      </c>
      <c r="DU126" s="199">
        <f t="shared" si="327"/>
        <v>0.0021021054742330057</v>
      </c>
      <c r="DV126" s="199">
        <f t="shared" si="328"/>
        <v>0.013663685582514535</v>
      </c>
      <c r="DW126" s="199">
        <f t="shared" si="329"/>
        <v>22.522558652496485</v>
      </c>
      <c r="DX126" s="199">
        <f t="shared" si="330"/>
        <v>0</v>
      </c>
      <c r="DY126" s="199">
        <f t="shared" si="331"/>
        <v>7.488834168838981</v>
      </c>
      <c r="DZ126" s="199">
        <f t="shared" si="332"/>
        <v>0.05107315500300781</v>
      </c>
      <c r="EA126" s="199">
        <f t="shared" si="333"/>
        <v>111.07326341972124</v>
      </c>
      <c r="EB126" s="199">
        <f t="shared" si="334"/>
        <v>13.61903837093801</v>
      </c>
      <c r="EC126" s="202">
        <f t="shared" si="184"/>
        <v>715.9399022366187</v>
      </c>
      <c r="ED126" s="202">
        <f>SUM(CV126:DI126,DS126:DT126,DW126,DY126,EA126:EB126)</f>
        <v>678.8249558111124</v>
      </c>
      <c r="EE126" s="203">
        <f t="shared" si="235"/>
        <v>112.36784982814332</v>
      </c>
      <c r="EF126" s="199"/>
      <c r="EI126" s="1">
        <f t="shared" si="335"/>
        <v>0.5699766927982697</v>
      </c>
      <c r="EJ126" s="1">
        <f t="shared" si="336"/>
        <v>0.010606863429336002</v>
      </c>
      <c r="EK126" s="1">
        <f t="shared" si="337"/>
        <v>0</v>
      </c>
      <c r="EL126" s="1">
        <f t="shared" si="338"/>
        <v>0</v>
      </c>
      <c r="EM126" s="1">
        <f t="shared" si="339"/>
        <v>0</v>
      </c>
      <c r="EN126" s="1">
        <f t="shared" si="340"/>
        <v>0</v>
      </c>
      <c r="EO126" s="1">
        <f t="shared" si="341"/>
        <v>0.2644897670328</v>
      </c>
      <c r="EP126" s="1">
        <f t="shared" si="342"/>
        <v>0</v>
      </c>
      <c r="EQ126" s="1">
        <f t="shared" si="343"/>
        <v>0.21621849683808003</v>
      </c>
      <c r="ER126" s="1">
        <f t="shared" si="344"/>
        <v>0</v>
      </c>
      <c r="ES126" s="1">
        <f t="shared" si="345"/>
        <v>0</v>
      </c>
      <c r="ET126" s="1">
        <f t="shared" si="346"/>
        <v>0.14589546715944002</v>
      </c>
      <c r="EU126" s="1">
        <f t="shared" si="347"/>
        <v>0</v>
      </c>
      <c r="EV126" s="1">
        <f t="shared" si="348"/>
        <v>0</v>
      </c>
      <c r="EW126" s="1">
        <f t="shared" si="349"/>
        <v>0.10099701098903999</v>
      </c>
      <c r="EX126" s="1">
        <f t="shared" si="350"/>
        <v>0</v>
      </c>
      <c r="EY126" s="1">
        <f t="shared" si="351"/>
        <v>0.10099701098903999</v>
      </c>
      <c r="EZ126" s="1">
        <f t="shared" si="352"/>
        <v>0.10099701098903999</v>
      </c>
      <c r="FA126" s="1">
        <f t="shared" si="353"/>
        <v>0</v>
      </c>
      <c r="FB126" s="1">
        <f t="shared" si="354"/>
        <v>0</v>
      </c>
      <c r="FC126" s="1">
        <f t="shared" si="355"/>
        <v>0</v>
      </c>
      <c r="FD126" s="1">
        <f t="shared" si="356"/>
        <v>0.059350736407200004</v>
      </c>
      <c r="FE126" s="1">
        <f t="shared" si="357"/>
        <v>0.059350736407200004</v>
      </c>
      <c r="FF126" s="1">
        <f t="shared" si="358"/>
        <v>0</v>
      </c>
      <c r="FG126" s="1">
        <f t="shared" si="359"/>
        <v>0</v>
      </c>
      <c r="FH126" s="1">
        <f t="shared" si="360"/>
        <v>0</v>
      </c>
      <c r="FI126" s="1">
        <f t="shared" si="361"/>
        <v>0</v>
      </c>
      <c r="FJ126" s="1">
        <f t="shared" si="362"/>
        <v>0</v>
      </c>
      <c r="FK126" s="1">
        <f t="shared" si="363"/>
        <v>0</v>
      </c>
      <c r="FL126" s="1">
        <f t="shared" si="364"/>
        <v>4.263919336981805</v>
      </c>
      <c r="FM126" s="1">
        <f t="shared" si="365"/>
        <v>0.0057571153094400015</v>
      </c>
      <c r="FN126" s="1">
        <f t="shared" si="366"/>
        <v>7.46760736344</v>
      </c>
      <c r="FO126" s="1">
        <f>IF(O126=0,0,SUM(EI126:FN126))</f>
        <v>13.366163608770691</v>
      </c>
    </row>
    <row r="127" spans="1:171" s="45" customFormat="1" ht="12.75">
      <c r="A127" s="24">
        <v>17</v>
      </c>
      <c r="B127" s="46" t="s">
        <v>313</v>
      </c>
      <c r="C127" s="25" t="s">
        <v>314</v>
      </c>
      <c r="D127" s="26" t="s">
        <v>310</v>
      </c>
      <c r="E127" s="26">
        <v>5</v>
      </c>
      <c r="F127" s="26" t="s">
        <v>299</v>
      </c>
      <c r="G127" s="26" t="s">
        <v>74</v>
      </c>
      <c r="H127" s="26" t="s">
        <v>75</v>
      </c>
      <c r="I127" s="26">
        <v>1</v>
      </c>
      <c r="J127" s="26"/>
      <c r="K127" s="26">
        <f t="shared" si="268"/>
        <v>1</v>
      </c>
      <c r="L127" s="26">
        <f t="shared" si="269"/>
        <v>1</v>
      </c>
      <c r="M127" s="24">
        <v>352244</v>
      </c>
      <c r="N127" s="24">
        <v>1190319</v>
      </c>
      <c r="O127" s="27">
        <f t="shared" si="270"/>
        <v>66000</v>
      </c>
      <c r="P127" s="28">
        <v>66000</v>
      </c>
      <c r="Q127" s="28">
        <v>68000</v>
      </c>
      <c r="R127" s="28">
        <v>40000</v>
      </c>
      <c r="S127" s="29">
        <v>22000</v>
      </c>
      <c r="T127" s="29">
        <v>0</v>
      </c>
      <c r="U127" s="29">
        <v>0</v>
      </c>
      <c r="V127" s="29">
        <v>0</v>
      </c>
      <c r="W127" s="28">
        <v>0</v>
      </c>
      <c r="X127" s="29">
        <v>0</v>
      </c>
      <c r="Y127" s="29">
        <v>24000</v>
      </c>
      <c r="Z127" s="28">
        <v>0</v>
      </c>
      <c r="AA127" s="29">
        <v>0</v>
      </c>
      <c r="AB127" s="28">
        <v>16300</v>
      </c>
      <c r="AC127" s="29">
        <v>0</v>
      </c>
      <c r="AD127" s="28">
        <v>0</v>
      </c>
      <c r="AE127" s="28">
        <v>13800</v>
      </c>
      <c r="AF127" s="29">
        <v>0</v>
      </c>
      <c r="AG127" s="29">
        <v>0</v>
      </c>
      <c r="AH127" s="29">
        <v>0</v>
      </c>
      <c r="AI127" s="29">
        <v>0</v>
      </c>
      <c r="AJ127" s="29">
        <v>0</v>
      </c>
      <c r="AK127" s="29">
        <v>15000</v>
      </c>
      <c r="AL127" s="28">
        <v>0</v>
      </c>
      <c r="AM127" s="30">
        <v>0</v>
      </c>
      <c r="AN127" s="31">
        <v>0</v>
      </c>
      <c r="AO127" s="30">
        <v>0</v>
      </c>
      <c r="AP127" s="31">
        <v>700</v>
      </c>
      <c r="AQ127" s="31">
        <v>0</v>
      </c>
      <c r="AR127" s="31">
        <v>0</v>
      </c>
      <c r="AS127" s="31">
        <v>6000</v>
      </c>
      <c r="AT127" s="31">
        <v>25</v>
      </c>
      <c r="AU127" s="30">
        <v>105</v>
      </c>
      <c r="AW127" s="1"/>
      <c r="AX127" s="2">
        <f t="shared" si="271"/>
        <v>54560</v>
      </c>
      <c r="AY127" s="32">
        <f t="shared" si="289"/>
        <v>52955.294117647056</v>
      </c>
      <c r="AZ127" s="186">
        <f t="shared" si="290"/>
        <v>0.4729261498050349</v>
      </c>
      <c r="BA127" s="186">
        <f t="shared" si="291"/>
        <v>0.08236513549671251</v>
      </c>
      <c r="BB127" s="186">
        <f t="shared" si="292"/>
        <v>0.2846822842738975</v>
      </c>
      <c r="BC127" s="53">
        <f t="shared" si="272"/>
        <v>66000</v>
      </c>
      <c r="BD127" s="53">
        <f t="shared" si="189"/>
        <v>29815.15641200978</v>
      </c>
      <c r="BE127" s="53">
        <f t="shared" si="190"/>
        <v>5192.627641214687</v>
      </c>
      <c r="BF127" s="53">
        <f t="shared" si="191"/>
        <v>17947.510064422586</v>
      </c>
      <c r="BG127" s="53"/>
      <c r="BH127" s="53">
        <f t="shared" si="273"/>
        <v>4</v>
      </c>
      <c r="BI127" s="53">
        <f t="shared" si="274"/>
        <v>4</v>
      </c>
      <c r="BJ127" s="53">
        <f t="shared" si="275"/>
        <v>3</v>
      </c>
      <c r="BK127" s="53">
        <f t="shared" si="276"/>
        <v>3</v>
      </c>
      <c r="BL127" s="53"/>
      <c r="BM127" s="53">
        <f t="shared" si="277"/>
        <v>2</v>
      </c>
      <c r="BN127" s="53">
        <f t="shared" si="278"/>
        <v>2</v>
      </c>
      <c r="BO127" s="53">
        <f t="shared" si="279"/>
        <v>2</v>
      </c>
      <c r="BP127" s="53">
        <f t="shared" si="280"/>
        <v>0</v>
      </c>
      <c r="BQ127" s="53"/>
      <c r="BR127" s="53">
        <f t="shared" si="281"/>
        <v>6.5</v>
      </c>
      <c r="BS127" s="53">
        <f t="shared" si="282"/>
        <v>34.2</v>
      </c>
      <c r="BT127" s="53">
        <f t="shared" si="283"/>
        <v>11</v>
      </c>
      <c r="BU127" s="53">
        <f t="shared" si="293"/>
        <v>24816</v>
      </c>
      <c r="BV127" s="53"/>
      <c r="BW127" s="53">
        <f t="shared" si="367"/>
        <v>15600</v>
      </c>
      <c r="BX127" s="53">
        <f t="shared" si="285"/>
        <v>-21036</v>
      </c>
      <c r="BY127" s="53">
        <f t="shared" si="294"/>
        <v>-18814.91095745311</v>
      </c>
      <c r="BZ127" s="240">
        <f t="shared" si="286"/>
        <v>5.791300000000001</v>
      </c>
      <c r="CC127" s="1">
        <f t="shared" si="295"/>
        <v>0</v>
      </c>
      <c r="CD127" s="195">
        <f t="shared" si="296"/>
        <v>2873.2</v>
      </c>
      <c r="CE127" s="195">
        <f t="shared" si="297"/>
        <v>2873.2</v>
      </c>
      <c r="CF127" s="239">
        <f t="shared" si="298"/>
        <v>1.45</v>
      </c>
      <c r="CG127" s="239">
        <f t="shared" si="298"/>
        <v>9.96</v>
      </c>
      <c r="CH127" s="1">
        <f t="shared" si="287"/>
        <v>4780.8</v>
      </c>
      <c r="CI127" s="1"/>
      <c r="CJ127" s="1"/>
      <c r="CK127" s="211">
        <f t="shared" si="299"/>
        <v>0</v>
      </c>
      <c r="CL127" s="211">
        <f t="shared" si="300"/>
        <v>0</v>
      </c>
      <c r="CM127" s="211">
        <f t="shared" si="301"/>
        <v>0</v>
      </c>
      <c r="CN127" s="1"/>
      <c r="CO127" s="1"/>
      <c r="CP127" s="1"/>
      <c r="CQ127" s="1">
        <f t="shared" si="288"/>
        <v>1</v>
      </c>
      <c r="CR127" s="195">
        <f t="shared" si="201"/>
        <v>10000</v>
      </c>
      <c r="CS127" s="195"/>
      <c r="CT127" s="195"/>
      <c r="CU127" s="1"/>
      <c r="CV127" s="199">
        <f t="shared" si="302"/>
        <v>34.54459995989572</v>
      </c>
      <c r="CW127" s="199">
        <f t="shared" si="303"/>
        <v>12.012031281331462</v>
      </c>
      <c r="CX127" s="199">
        <f t="shared" si="304"/>
        <v>43.310046119911775</v>
      </c>
      <c r="CY127" s="199">
        <f t="shared" si="305"/>
        <v>0</v>
      </c>
      <c r="CZ127" s="199">
        <f t="shared" si="306"/>
        <v>0</v>
      </c>
      <c r="DA127" s="199">
        <f t="shared" si="307"/>
        <v>0</v>
      </c>
      <c r="DB127" s="199">
        <f t="shared" si="308"/>
        <v>0</v>
      </c>
      <c r="DC127" s="199">
        <f t="shared" si="309"/>
        <v>0</v>
      </c>
      <c r="DD127" s="199">
        <f t="shared" si="310"/>
        <v>7.287298977341086</v>
      </c>
      <c r="DE127" s="199">
        <f t="shared" si="311"/>
        <v>0</v>
      </c>
      <c r="DF127" s="199">
        <f t="shared" si="312"/>
        <v>0</v>
      </c>
      <c r="DG127" s="199">
        <f t="shared" si="313"/>
        <v>21.619153799879687</v>
      </c>
      <c r="DH127" s="199">
        <f t="shared" si="314"/>
        <v>0</v>
      </c>
      <c r="DI127" s="199">
        <f t="shared" si="315"/>
        <v>0</v>
      </c>
      <c r="DJ127" s="199">
        <f t="shared" si="316"/>
        <v>1.885588610387006</v>
      </c>
      <c r="DK127" s="199">
        <f t="shared" si="317"/>
        <v>0</v>
      </c>
      <c r="DL127" s="199">
        <f t="shared" si="318"/>
        <v>0</v>
      </c>
      <c r="DM127" s="199">
        <f t="shared" si="319"/>
        <v>0</v>
      </c>
      <c r="DN127" s="199">
        <f t="shared" si="320"/>
        <v>0</v>
      </c>
      <c r="DO127" s="199">
        <f t="shared" si="321"/>
        <v>0</v>
      </c>
      <c r="DP127" s="199">
        <f t="shared" si="322"/>
        <v>2.0495528373771807</v>
      </c>
      <c r="DQ127" s="199">
        <f t="shared" si="323"/>
        <v>0</v>
      </c>
      <c r="DR127" s="199">
        <f t="shared" si="324"/>
        <v>0</v>
      </c>
      <c r="DS127" s="199">
        <f t="shared" si="325"/>
        <v>0</v>
      </c>
      <c r="DT127" s="199">
        <f t="shared" si="326"/>
        <v>0</v>
      </c>
      <c r="DU127" s="199">
        <f t="shared" si="327"/>
        <v>0.0002043713655504311</v>
      </c>
      <c r="DV127" s="199">
        <f t="shared" si="328"/>
        <v>0</v>
      </c>
      <c r="DW127" s="199">
        <f t="shared" si="329"/>
        <v>0</v>
      </c>
      <c r="DX127" s="199">
        <f t="shared" si="330"/>
        <v>0.38838901142971727</v>
      </c>
      <c r="DY127" s="199">
        <f t="shared" si="331"/>
        <v>1.0343693603368758</v>
      </c>
      <c r="DZ127" s="199">
        <f t="shared" si="332"/>
        <v>0.006796807700020051</v>
      </c>
      <c r="EA127" s="199">
        <f t="shared" si="333"/>
        <v>30.744864723575407</v>
      </c>
      <c r="EB127" s="199">
        <f t="shared" si="334"/>
        <v>3.731002864388586</v>
      </c>
      <c r="EC127" s="202">
        <f t="shared" si="184"/>
        <v>158.61389872492006</v>
      </c>
      <c r="ED127" s="202">
        <f>SUM(CV127:DI127,DS127:DT127,DW127,DY127,EA127:EB127)</f>
        <v>154.2833670866606</v>
      </c>
      <c r="EE127" s="203">
        <f t="shared" si="235"/>
        <v>25.53897006196423</v>
      </c>
      <c r="EF127" s="199"/>
      <c r="EI127" s="1">
        <f t="shared" si="335"/>
        <v>0.5699766927982697</v>
      </c>
      <c r="EJ127" s="1">
        <f t="shared" si="336"/>
        <v>0.010606863429336002</v>
      </c>
      <c r="EK127" s="1">
        <f t="shared" si="337"/>
        <v>0.24682268761392</v>
      </c>
      <c r="EL127" s="1">
        <f t="shared" si="338"/>
        <v>0</v>
      </c>
      <c r="EM127" s="1">
        <f t="shared" si="339"/>
        <v>0</v>
      </c>
      <c r="EN127" s="1">
        <f t="shared" si="340"/>
        <v>0</v>
      </c>
      <c r="EO127" s="1">
        <f t="shared" si="341"/>
        <v>0</v>
      </c>
      <c r="EP127" s="1">
        <f t="shared" si="342"/>
        <v>0</v>
      </c>
      <c r="EQ127" s="1">
        <f t="shared" si="343"/>
        <v>0.21621849683808003</v>
      </c>
      <c r="ER127" s="1">
        <f t="shared" si="344"/>
        <v>0</v>
      </c>
      <c r="ES127" s="1">
        <f t="shared" si="345"/>
        <v>0</v>
      </c>
      <c r="ET127" s="1">
        <f t="shared" si="346"/>
        <v>0.14589546715944002</v>
      </c>
      <c r="EU127" s="1">
        <f t="shared" si="347"/>
        <v>0</v>
      </c>
      <c r="EV127" s="1">
        <f t="shared" si="348"/>
        <v>0</v>
      </c>
      <c r="EW127" s="1">
        <f t="shared" si="349"/>
        <v>0.059350736407200004</v>
      </c>
      <c r="EX127" s="1">
        <f t="shared" si="350"/>
        <v>0</v>
      </c>
      <c r="EY127" s="1">
        <f t="shared" si="351"/>
        <v>0</v>
      </c>
      <c r="EZ127" s="1">
        <f t="shared" si="352"/>
        <v>0</v>
      </c>
      <c r="FA127" s="1">
        <f t="shared" si="353"/>
        <v>0</v>
      </c>
      <c r="FB127" s="1">
        <f t="shared" si="354"/>
        <v>0</v>
      </c>
      <c r="FC127" s="1">
        <f t="shared" si="355"/>
        <v>0.059350736407200004</v>
      </c>
      <c r="FD127" s="1">
        <f t="shared" si="356"/>
        <v>0</v>
      </c>
      <c r="FE127" s="1">
        <f t="shared" si="357"/>
        <v>0</v>
      </c>
      <c r="FF127" s="1">
        <f t="shared" si="358"/>
        <v>0</v>
      </c>
      <c r="FG127" s="1">
        <f t="shared" si="359"/>
        <v>0</v>
      </c>
      <c r="FH127" s="1">
        <f t="shared" si="360"/>
        <v>0</v>
      </c>
      <c r="FI127" s="1">
        <f t="shared" si="361"/>
        <v>0</v>
      </c>
      <c r="FJ127" s="1">
        <f t="shared" si="362"/>
        <v>0</v>
      </c>
      <c r="FK127" s="1">
        <f t="shared" si="363"/>
        <v>0</v>
      </c>
      <c r="FL127" s="1">
        <f t="shared" si="364"/>
        <v>4.263919336981805</v>
      </c>
      <c r="FM127" s="1">
        <f t="shared" si="365"/>
        <v>0.0057571153094400015</v>
      </c>
      <c r="FN127" s="1">
        <f t="shared" si="366"/>
        <v>7.46760736344</v>
      </c>
      <c r="FO127" s="1">
        <f>IF(O127=0,0,SUM(EI127:FN127))</f>
        <v>13.04550549638469</v>
      </c>
    </row>
    <row r="128" spans="1:171" s="45" customFormat="1" ht="12.75">
      <c r="A128" s="24">
        <v>18</v>
      </c>
      <c r="B128" s="25" t="s">
        <v>315</v>
      </c>
      <c r="C128" s="25" t="s">
        <v>316</v>
      </c>
      <c r="D128" s="26" t="s">
        <v>310</v>
      </c>
      <c r="E128" s="26">
        <v>5</v>
      </c>
      <c r="F128" s="26" t="s">
        <v>299</v>
      </c>
      <c r="G128" s="26" t="s">
        <v>74</v>
      </c>
      <c r="H128" s="26" t="s">
        <v>75</v>
      </c>
      <c r="I128" s="26">
        <v>1</v>
      </c>
      <c r="J128" s="26"/>
      <c r="K128" s="26">
        <f t="shared" si="268"/>
        <v>1</v>
      </c>
      <c r="L128" s="26">
        <f t="shared" si="269"/>
        <v>1</v>
      </c>
      <c r="M128" s="24">
        <v>380121</v>
      </c>
      <c r="N128" s="24">
        <v>1220607</v>
      </c>
      <c r="O128" s="27">
        <f t="shared" si="270"/>
        <v>155600</v>
      </c>
      <c r="P128" s="28">
        <v>155600</v>
      </c>
      <c r="Q128" s="28">
        <v>158000</v>
      </c>
      <c r="R128" s="28">
        <v>101000</v>
      </c>
      <c r="S128" s="29">
        <v>27500</v>
      </c>
      <c r="T128" s="29">
        <v>22500</v>
      </c>
      <c r="U128" s="29">
        <v>0</v>
      </c>
      <c r="V128" s="29">
        <v>0</v>
      </c>
      <c r="W128" s="28">
        <v>73000</v>
      </c>
      <c r="X128" s="29">
        <v>0</v>
      </c>
      <c r="Y128" s="29">
        <v>42000</v>
      </c>
      <c r="Z128" s="28">
        <v>0</v>
      </c>
      <c r="AA128" s="29">
        <v>0</v>
      </c>
      <c r="AB128" s="28">
        <v>31000</v>
      </c>
      <c r="AC128" s="29">
        <v>0</v>
      </c>
      <c r="AD128" s="28">
        <v>0</v>
      </c>
      <c r="AE128" s="28">
        <v>28000</v>
      </c>
      <c r="AF128" s="29">
        <v>50100</v>
      </c>
      <c r="AG128" s="29">
        <v>0</v>
      </c>
      <c r="AH128" s="29">
        <v>26000</v>
      </c>
      <c r="AI128" s="29">
        <v>21000</v>
      </c>
      <c r="AJ128" s="29">
        <v>0</v>
      </c>
      <c r="AK128" s="29">
        <v>79000</v>
      </c>
      <c r="AL128" s="28">
        <v>0</v>
      </c>
      <c r="AM128" s="30">
        <v>12000</v>
      </c>
      <c r="AN128" s="31">
        <v>0</v>
      </c>
      <c r="AO128" s="30">
        <v>15000</v>
      </c>
      <c r="AP128" s="31">
        <v>0</v>
      </c>
      <c r="AQ128" s="31">
        <v>0</v>
      </c>
      <c r="AR128" s="31">
        <v>0</v>
      </c>
      <c r="AS128" s="31">
        <v>7566</v>
      </c>
      <c r="AT128" s="31">
        <v>107</v>
      </c>
      <c r="AU128" s="30">
        <v>364</v>
      </c>
      <c r="AW128" s="1"/>
      <c r="AX128" s="2">
        <f t="shared" si="271"/>
        <v>119181.92</v>
      </c>
      <c r="AY128" s="32">
        <f t="shared" si="289"/>
        <v>117371.56172151898</v>
      </c>
      <c r="AZ128" s="186">
        <f t="shared" si="290"/>
        <v>0.4729261498050349</v>
      </c>
      <c r="BA128" s="186">
        <f t="shared" si="291"/>
        <v>0.08236513549671251</v>
      </c>
      <c r="BB128" s="186">
        <f t="shared" si="292"/>
        <v>0.2846822842738975</v>
      </c>
      <c r="BC128" s="53">
        <f t="shared" si="272"/>
        <v>155600</v>
      </c>
      <c r="BD128" s="53">
        <f t="shared" si="189"/>
        <v>66083.12784127802</v>
      </c>
      <c r="BE128" s="53">
        <f t="shared" si="190"/>
        <v>11509.081874489935</v>
      </c>
      <c r="BF128" s="53">
        <f t="shared" si="191"/>
        <v>39779.352005751025</v>
      </c>
      <c r="BG128" s="53"/>
      <c r="BH128" s="53">
        <f t="shared" si="273"/>
        <v>7</v>
      </c>
      <c r="BI128" s="53">
        <f t="shared" si="274"/>
        <v>6</v>
      </c>
      <c r="BJ128" s="53">
        <f t="shared" si="275"/>
        <v>4</v>
      </c>
      <c r="BK128" s="53">
        <f t="shared" si="276"/>
        <v>4</v>
      </c>
      <c r="BL128" s="53"/>
      <c r="BM128" s="53">
        <f t="shared" si="277"/>
        <v>3</v>
      </c>
      <c r="BN128" s="53">
        <f t="shared" si="278"/>
        <v>3</v>
      </c>
      <c r="BO128" s="53">
        <f t="shared" si="279"/>
        <v>2</v>
      </c>
      <c r="BP128" s="53">
        <f t="shared" si="280"/>
        <v>0</v>
      </c>
      <c r="BQ128" s="53"/>
      <c r="BR128" s="53">
        <f t="shared" si="281"/>
        <v>9.75</v>
      </c>
      <c r="BS128" s="53">
        <f t="shared" si="282"/>
        <v>51.300000000000004</v>
      </c>
      <c r="BT128" s="53">
        <f t="shared" si="283"/>
        <v>11</v>
      </c>
      <c r="BU128" s="53">
        <f t="shared" si="293"/>
        <v>34584.00000000001</v>
      </c>
      <c r="BV128" s="53"/>
      <c r="BW128" s="53">
        <f t="shared" si="367"/>
        <v>20800</v>
      </c>
      <c r="BX128" s="53">
        <f t="shared" si="285"/>
        <v>-29544.000000000007</v>
      </c>
      <c r="BY128" s="53">
        <f t="shared" si="294"/>
        <v>-26582.54794327082</v>
      </c>
      <c r="BZ128" s="240">
        <f t="shared" si="286"/>
        <v>7.944450000000001</v>
      </c>
      <c r="CC128" s="1">
        <f t="shared" si="295"/>
        <v>0</v>
      </c>
      <c r="CD128" s="195">
        <f t="shared" si="296"/>
        <v>5746.4</v>
      </c>
      <c r="CE128" s="195">
        <f t="shared" si="297"/>
        <v>5746.4</v>
      </c>
      <c r="CF128" s="239">
        <f t="shared" si="298"/>
        <v>2.9</v>
      </c>
      <c r="CG128" s="239">
        <f t="shared" si="298"/>
        <v>19.92</v>
      </c>
      <c r="CH128" s="1">
        <f t="shared" si="287"/>
        <v>9561.6</v>
      </c>
      <c r="CI128" s="1"/>
      <c r="CJ128" s="1"/>
      <c r="CK128" s="211">
        <f t="shared" si="299"/>
        <v>0</v>
      </c>
      <c r="CL128" s="211">
        <f t="shared" si="300"/>
        <v>0</v>
      </c>
      <c r="CM128" s="211">
        <f t="shared" si="301"/>
        <v>0</v>
      </c>
      <c r="CN128" s="1"/>
      <c r="CO128" s="1"/>
      <c r="CP128" s="1"/>
      <c r="CQ128" s="1">
        <f t="shared" si="288"/>
        <v>1</v>
      </c>
      <c r="CR128" s="195">
        <f t="shared" si="201"/>
        <v>10000</v>
      </c>
      <c r="CS128" s="195"/>
      <c r="CT128" s="195"/>
      <c r="CU128" s="1"/>
      <c r="CV128" s="199">
        <f t="shared" si="302"/>
        <v>80.26539402446359</v>
      </c>
      <c r="CW128" s="199">
        <f t="shared" si="303"/>
        <v>30.330378985361936</v>
      </c>
      <c r="CX128" s="199">
        <f t="shared" si="304"/>
        <v>54.13755764988971</v>
      </c>
      <c r="CY128" s="199">
        <f t="shared" si="305"/>
        <v>44.29436534990976</v>
      </c>
      <c r="CZ128" s="199">
        <f t="shared" si="306"/>
        <v>0</v>
      </c>
      <c r="DA128" s="199">
        <f t="shared" si="307"/>
        <v>0</v>
      </c>
      <c r="DB128" s="199">
        <f t="shared" si="308"/>
        <v>18.999029476639258</v>
      </c>
      <c r="DC128" s="199">
        <f t="shared" si="309"/>
        <v>0</v>
      </c>
      <c r="DD128" s="199">
        <f t="shared" si="310"/>
        <v>12.7527732103469</v>
      </c>
      <c r="DE128" s="199">
        <f t="shared" si="311"/>
        <v>0</v>
      </c>
      <c r="DF128" s="199">
        <f t="shared" si="312"/>
        <v>0</v>
      </c>
      <c r="DG128" s="199">
        <f t="shared" si="313"/>
        <v>41.11618207339081</v>
      </c>
      <c r="DH128" s="199">
        <f t="shared" si="314"/>
        <v>0</v>
      </c>
      <c r="DI128" s="199">
        <f t="shared" si="315"/>
        <v>0</v>
      </c>
      <c r="DJ128" s="199">
        <f t="shared" si="316"/>
        <v>3.8258319631040703</v>
      </c>
      <c r="DK128" s="199">
        <f t="shared" si="317"/>
        <v>6.845506476839783</v>
      </c>
      <c r="DL128" s="199">
        <f t="shared" si="318"/>
        <v>0</v>
      </c>
      <c r="DM128" s="199">
        <f t="shared" si="319"/>
        <v>3.5525582514537795</v>
      </c>
      <c r="DN128" s="199">
        <f t="shared" si="320"/>
        <v>2.8693739723280527</v>
      </c>
      <c r="DO128" s="199">
        <f t="shared" si="321"/>
        <v>0</v>
      </c>
      <c r="DP128" s="199">
        <f t="shared" si="322"/>
        <v>10.794311610186483</v>
      </c>
      <c r="DQ128" s="199">
        <f t="shared" si="323"/>
        <v>0</v>
      </c>
      <c r="DR128" s="199">
        <f t="shared" si="324"/>
        <v>1.801804692199719</v>
      </c>
      <c r="DS128" s="199">
        <f t="shared" si="325"/>
        <v>0</v>
      </c>
      <c r="DT128" s="199">
        <f t="shared" si="326"/>
        <v>43.043112091437735</v>
      </c>
      <c r="DU128" s="199">
        <f t="shared" si="327"/>
        <v>0</v>
      </c>
      <c r="DV128" s="199">
        <f t="shared" si="328"/>
        <v>0</v>
      </c>
      <c r="DW128" s="199">
        <f t="shared" si="329"/>
        <v>0</v>
      </c>
      <c r="DX128" s="199">
        <f t="shared" si="330"/>
        <v>0.48975854341287345</v>
      </c>
      <c r="DY128" s="199">
        <f t="shared" si="331"/>
        <v>4.4271008622418275</v>
      </c>
      <c r="DZ128" s="199">
        <f t="shared" si="332"/>
        <v>0.023562266693402847</v>
      </c>
      <c r="EA128" s="199">
        <f t="shared" si="333"/>
        <v>68.14375876198459</v>
      </c>
      <c r="EB128" s="199">
        <f t="shared" si="334"/>
        <v>8.561684338927835</v>
      </c>
      <c r="EC128" s="202">
        <f t="shared" si="184"/>
        <v>436.27404460081203</v>
      </c>
      <c r="ED128" s="202">
        <f>SUM(CV128:DI128,DS128:DT128,DW128,DY128,EA128:EB128)</f>
        <v>406.0713368245939</v>
      </c>
      <c r="EE128" s="203">
        <f t="shared" si="235"/>
        <v>67.21815779636135</v>
      </c>
      <c r="EF128" s="199"/>
      <c r="EI128" s="1">
        <f t="shared" si="335"/>
        <v>0.5699766927982697</v>
      </c>
      <c r="EJ128" s="1">
        <f t="shared" si="336"/>
        <v>0.010606863429336002</v>
      </c>
      <c r="EK128" s="1">
        <f t="shared" si="337"/>
        <v>0.24682268761392</v>
      </c>
      <c r="EL128" s="1">
        <f t="shared" si="338"/>
        <v>0.24682268761392</v>
      </c>
      <c r="EM128" s="1">
        <f t="shared" si="339"/>
        <v>0</v>
      </c>
      <c r="EN128" s="1">
        <f t="shared" si="340"/>
        <v>0</v>
      </c>
      <c r="EO128" s="1">
        <f t="shared" si="341"/>
        <v>0.2644897670328</v>
      </c>
      <c r="EP128" s="1">
        <f t="shared" si="342"/>
        <v>0</v>
      </c>
      <c r="EQ128" s="1">
        <f t="shared" si="343"/>
        <v>0.21621849683808003</v>
      </c>
      <c r="ER128" s="1">
        <f t="shared" si="344"/>
        <v>0</v>
      </c>
      <c r="ES128" s="1">
        <f t="shared" si="345"/>
        <v>0</v>
      </c>
      <c r="ET128" s="1">
        <f t="shared" si="346"/>
        <v>0.14589546715944002</v>
      </c>
      <c r="EU128" s="1">
        <f t="shared" si="347"/>
        <v>0</v>
      </c>
      <c r="EV128" s="1">
        <f t="shared" si="348"/>
        <v>0</v>
      </c>
      <c r="EW128" s="1">
        <f t="shared" si="349"/>
        <v>0.059350736407200004</v>
      </c>
      <c r="EX128" s="1">
        <f t="shared" si="350"/>
        <v>0.10099701098903999</v>
      </c>
      <c r="EY128" s="1">
        <f t="shared" si="351"/>
        <v>0</v>
      </c>
      <c r="EZ128" s="1">
        <f t="shared" si="352"/>
        <v>0.059350736407200004</v>
      </c>
      <c r="FA128" s="1">
        <f t="shared" si="353"/>
        <v>0.059350736407200004</v>
      </c>
      <c r="FB128" s="1">
        <f t="shared" si="354"/>
        <v>0</v>
      </c>
      <c r="FC128" s="1">
        <f t="shared" si="355"/>
        <v>0.10099701098903999</v>
      </c>
      <c r="FD128" s="1">
        <f t="shared" si="356"/>
        <v>0</v>
      </c>
      <c r="FE128" s="1">
        <f t="shared" si="357"/>
        <v>0.059350736407200004</v>
      </c>
      <c r="FF128" s="1">
        <f t="shared" si="358"/>
        <v>0</v>
      </c>
      <c r="FG128" s="1">
        <f t="shared" si="359"/>
        <v>0.059350736407200004</v>
      </c>
      <c r="FH128" s="1">
        <f t="shared" si="360"/>
        <v>0</v>
      </c>
      <c r="FI128" s="1">
        <f t="shared" si="361"/>
        <v>0</v>
      </c>
      <c r="FJ128" s="1">
        <f t="shared" si="362"/>
        <v>0</v>
      </c>
      <c r="FK128" s="1">
        <f t="shared" si="363"/>
        <v>0</v>
      </c>
      <c r="FL128" s="1">
        <f t="shared" si="364"/>
        <v>4.263919336981805</v>
      </c>
      <c r="FM128" s="1">
        <f t="shared" si="365"/>
        <v>0.0057571153094400015</v>
      </c>
      <c r="FN128" s="1">
        <f t="shared" si="366"/>
        <v>7.46760736344</v>
      </c>
      <c r="FO128" s="1">
        <f>IF(O128=0,0,SUM(EI128:FN128))</f>
        <v>13.93686418223109</v>
      </c>
    </row>
    <row r="129" spans="1:171" s="45" customFormat="1" ht="12.75">
      <c r="A129" s="24">
        <v>19</v>
      </c>
      <c r="B129" s="46" t="s">
        <v>317</v>
      </c>
      <c r="C129" s="25" t="s">
        <v>318</v>
      </c>
      <c r="D129" s="26" t="s">
        <v>310</v>
      </c>
      <c r="E129" s="26">
        <v>5</v>
      </c>
      <c r="F129" s="26" t="s">
        <v>299</v>
      </c>
      <c r="G129" s="26" t="s">
        <v>74</v>
      </c>
      <c r="H129" s="26" t="s">
        <v>75</v>
      </c>
      <c r="I129" s="26">
        <v>1</v>
      </c>
      <c r="J129" s="26"/>
      <c r="K129" s="26">
        <f t="shared" si="268"/>
        <v>1</v>
      </c>
      <c r="L129" s="26">
        <f t="shared" si="269"/>
        <v>1</v>
      </c>
      <c r="M129" s="24">
        <v>334750</v>
      </c>
      <c r="N129" s="24">
        <v>1181400</v>
      </c>
      <c r="O129" s="27">
        <f t="shared" si="270"/>
        <v>98500</v>
      </c>
      <c r="P129" s="28">
        <v>98500</v>
      </c>
      <c r="Q129" s="28">
        <v>103500</v>
      </c>
      <c r="R129" s="28">
        <v>62000</v>
      </c>
      <c r="S129" s="29">
        <v>40000</v>
      </c>
      <c r="T129" s="29">
        <v>0</v>
      </c>
      <c r="U129" s="29">
        <v>0</v>
      </c>
      <c r="V129" s="29">
        <v>0</v>
      </c>
      <c r="W129" s="28">
        <v>36000</v>
      </c>
      <c r="X129" s="29">
        <v>0</v>
      </c>
      <c r="Y129" s="29">
        <v>32000</v>
      </c>
      <c r="Z129" s="28">
        <v>0</v>
      </c>
      <c r="AA129" s="29">
        <v>0</v>
      </c>
      <c r="AB129" s="28">
        <v>0</v>
      </c>
      <c r="AC129" s="29">
        <v>34000</v>
      </c>
      <c r="AD129" s="28">
        <v>0</v>
      </c>
      <c r="AE129" s="28">
        <v>35000</v>
      </c>
      <c r="AF129" s="29">
        <v>100000</v>
      </c>
      <c r="AG129" s="29">
        <v>21000</v>
      </c>
      <c r="AH129" s="29">
        <v>18000</v>
      </c>
      <c r="AI129" s="29">
        <v>0</v>
      </c>
      <c r="AJ129" s="29">
        <v>0</v>
      </c>
      <c r="AK129" s="29">
        <v>37000</v>
      </c>
      <c r="AL129" s="28">
        <v>0</v>
      </c>
      <c r="AM129" s="30">
        <v>12500</v>
      </c>
      <c r="AN129" s="31">
        <v>0</v>
      </c>
      <c r="AO129" s="30">
        <v>0</v>
      </c>
      <c r="AP129" s="31">
        <v>4000</v>
      </c>
      <c r="AQ129" s="31">
        <v>0</v>
      </c>
      <c r="AR129" s="31">
        <v>0</v>
      </c>
      <c r="AS129" s="31">
        <v>10000</v>
      </c>
      <c r="AT129" s="31">
        <v>15</v>
      </c>
      <c r="AU129" s="30">
        <v>280</v>
      </c>
      <c r="AW129" s="1"/>
      <c r="AX129" s="2">
        <f t="shared" si="271"/>
        <v>82280</v>
      </c>
      <c r="AY129" s="32">
        <f t="shared" si="289"/>
        <v>78305.12077294686</v>
      </c>
      <c r="AZ129" s="186">
        <f t="shared" si="290"/>
        <v>0.4729261498050349</v>
      </c>
      <c r="BA129" s="186">
        <f t="shared" si="291"/>
        <v>0.08236513549671251</v>
      </c>
      <c r="BB129" s="186">
        <f t="shared" si="292"/>
        <v>0.2846822842738975</v>
      </c>
      <c r="BC129" s="53">
        <f t="shared" si="272"/>
        <v>98500</v>
      </c>
      <c r="BD129" s="53">
        <f t="shared" si="189"/>
        <v>44087.74349397311</v>
      </c>
      <c r="BE129" s="53">
        <f t="shared" si="190"/>
        <v>7678.350981696427</v>
      </c>
      <c r="BF129" s="53">
        <f t="shared" si="191"/>
        <v>26539.026297277313</v>
      </c>
      <c r="BG129" s="53"/>
      <c r="BH129" s="53">
        <f t="shared" si="273"/>
        <v>5</v>
      </c>
      <c r="BI129" s="53">
        <f t="shared" si="274"/>
        <v>5</v>
      </c>
      <c r="BJ129" s="53">
        <f t="shared" si="275"/>
        <v>3</v>
      </c>
      <c r="BK129" s="53">
        <f t="shared" si="276"/>
        <v>3</v>
      </c>
      <c r="BL129" s="53"/>
      <c r="BM129" s="53">
        <f t="shared" si="277"/>
        <v>2</v>
      </c>
      <c r="BN129" s="53">
        <f t="shared" si="278"/>
        <v>2</v>
      </c>
      <c r="BO129" s="53">
        <f t="shared" si="279"/>
        <v>2</v>
      </c>
      <c r="BP129" s="53">
        <f t="shared" si="280"/>
        <v>0</v>
      </c>
      <c r="BQ129" s="53"/>
      <c r="BR129" s="53">
        <f t="shared" si="281"/>
        <v>6.5</v>
      </c>
      <c r="BS129" s="53">
        <f t="shared" si="282"/>
        <v>34.2</v>
      </c>
      <c r="BT129" s="53">
        <f t="shared" si="283"/>
        <v>11</v>
      </c>
      <c r="BU129" s="53">
        <f t="shared" si="293"/>
        <v>24816</v>
      </c>
      <c r="BV129" s="53"/>
      <c r="BW129" s="53">
        <f t="shared" si="367"/>
        <v>15600</v>
      </c>
      <c r="BX129" s="53">
        <f t="shared" si="285"/>
        <v>-21036</v>
      </c>
      <c r="BY129" s="53">
        <f t="shared" si="294"/>
        <v>-18814.91095745311</v>
      </c>
      <c r="BZ129" s="240">
        <f t="shared" si="286"/>
        <v>5.791300000000001</v>
      </c>
      <c r="CC129" s="1">
        <f t="shared" si="295"/>
        <v>0</v>
      </c>
      <c r="CD129" s="195">
        <f t="shared" si="296"/>
        <v>5746.4</v>
      </c>
      <c r="CE129" s="195">
        <f t="shared" si="297"/>
        <v>5746.4</v>
      </c>
      <c r="CF129" s="239">
        <f t="shared" si="298"/>
        <v>2.9</v>
      </c>
      <c r="CG129" s="239">
        <f t="shared" si="298"/>
        <v>19.92</v>
      </c>
      <c r="CH129" s="1">
        <f t="shared" si="287"/>
        <v>9561.6</v>
      </c>
      <c r="CI129" s="1"/>
      <c r="CJ129" s="1"/>
      <c r="CK129" s="211">
        <f t="shared" si="299"/>
        <v>0</v>
      </c>
      <c r="CL129" s="211">
        <f t="shared" si="300"/>
        <v>0</v>
      </c>
      <c r="CM129" s="211">
        <f t="shared" si="301"/>
        <v>0</v>
      </c>
      <c r="CN129" s="1"/>
      <c r="CO129" s="1"/>
      <c r="CP129" s="1"/>
      <c r="CQ129" s="1">
        <f t="shared" si="288"/>
        <v>1</v>
      </c>
      <c r="CR129" s="195">
        <f t="shared" si="201"/>
        <v>10000</v>
      </c>
      <c r="CS129" s="195"/>
      <c r="CT129" s="195"/>
      <c r="CU129" s="1"/>
      <c r="CV129" s="199">
        <f t="shared" si="302"/>
        <v>52.57891317425305</v>
      </c>
      <c r="CW129" s="199">
        <f t="shared" si="303"/>
        <v>18.618648486063762</v>
      </c>
      <c r="CX129" s="199">
        <f t="shared" si="304"/>
        <v>78.74553839983957</v>
      </c>
      <c r="CY129" s="199">
        <f t="shared" si="305"/>
        <v>0</v>
      </c>
      <c r="CZ129" s="199">
        <f t="shared" si="306"/>
        <v>0</v>
      </c>
      <c r="DA129" s="199">
        <f t="shared" si="307"/>
        <v>0</v>
      </c>
      <c r="DB129" s="199">
        <f t="shared" si="308"/>
        <v>9.36938439943854</v>
      </c>
      <c r="DC129" s="199">
        <f t="shared" si="309"/>
        <v>0</v>
      </c>
      <c r="DD129" s="199">
        <f t="shared" si="310"/>
        <v>9.716398636454782</v>
      </c>
      <c r="DE129" s="199">
        <f t="shared" si="311"/>
        <v>0</v>
      </c>
      <c r="DF129" s="199">
        <f t="shared" si="312"/>
        <v>0</v>
      </c>
      <c r="DG129" s="199">
        <f t="shared" si="313"/>
        <v>0</v>
      </c>
      <c r="DH129" s="199">
        <f t="shared" si="314"/>
        <v>45.09516743533186</v>
      </c>
      <c r="DI129" s="199">
        <f t="shared" si="315"/>
        <v>0</v>
      </c>
      <c r="DJ129" s="199">
        <f t="shared" si="316"/>
        <v>4.782289953880087</v>
      </c>
      <c r="DK129" s="199">
        <f t="shared" si="317"/>
        <v>13.663685582514535</v>
      </c>
      <c r="DL129" s="199">
        <f t="shared" si="318"/>
        <v>2.8693739723280527</v>
      </c>
      <c r="DM129" s="199">
        <f t="shared" si="319"/>
        <v>2.4594634048526167</v>
      </c>
      <c r="DN129" s="199">
        <f t="shared" si="320"/>
        <v>0</v>
      </c>
      <c r="DO129" s="199">
        <f t="shared" si="321"/>
        <v>0</v>
      </c>
      <c r="DP129" s="199">
        <f t="shared" si="322"/>
        <v>5.055563665530379</v>
      </c>
      <c r="DQ129" s="199">
        <f t="shared" si="323"/>
        <v>0</v>
      </c>
      <c r="DR129" s="199">
        <f t="shared" si="324"/>
        <v>1.8768798877080406</v>
      </c>
      <c r="DS129" s="199">
        <f t="shared" si="325"/>
        <v>0</v>
      </c>
      <c r="DT129" s="199">
        <f t="shared" si="326"/>
        <v>0</v>
      </c>
      <c r="DU129" s="199">
        <f t="shared" si="327"/>
        <v>0.001167836374573892</v>
      </c>
      <c r="DV129" s="199">
        <f t="shared" si="328"/>
        <v>0</v>
      </c>
      <c r="DW129" s="199">
        <f t="shared" si="329"/>
        <v>0</v>
      </c>
      <c r="DX129" s="199">
        <f t="shared" si="330"/>
        <v>0.6473150190495287</v>
      </c>
      <c r="DY129" s="199">
        <f t="shared" si="331"/>
        <v>0.6206216162021254</v>
      </c>
      <c r="DZ129" s="199">
        <f t="shared" si="332"/>
        <v>0.018124820533386807</v>
      </c>
      <c r="EA129" s="199">
        <f t="shared" si="333"/>
        <v>45.46250541029866</v>
      </c>
      <c r="EB129" s="199">
        <f t="shared" si="334"/>
        <v>5.545448119274364</v>
      </c>
      <c r="EC129" s="202">
        <f t="shared" si="184"/>
        <v>297.1264898199279</v>
      </c>
      <c r="ED129" s="202">
        <f>SUM(CV129:DI129,DS129:DT129,DW129,DY129,EA129:EB129)</f>
        <v>265.7526256771567</v>
      </c>
      <c r="EE129" s="203">
        <f t="shared" si="235"/>
        <v>43.9907974476926</v>
      </c>
      <c r="EF129" s="199"/>
      <c r="EI129" s="1">
        <f t="shared" si="335"/>
        <v>0.5699766927982697</v>
      </c>
      <c r="EJ129" s="1">
        <f t="shared" si="336"/>
        <v>0.010606863429336002</v>
      </c>
      <c r="EK129" s="1">
        <f t="shared" si="337"/>
        <v>0.24682268761392</v>
      </c>
      <c r="EL129" s="1">
        <f t="shared" si="338"/>
        <v>0</v>
      </c>
      <c r="EM129" s="1">
        <f t="shared" si="339"/>
        <v>0</v>
      </c>
      <c r="EN129" s="1">
        <f t="shared" si="340"/>
        <v>0</v>
      </c>
      <c r="EO129" s="1">
        <f t="shared" si="341"/>
        <v>0.2644897670328</v>
      </c>
      <c r="EP129" s="1">
        <f t="shared" si="342"/>
        <v>0</v>
      </c>
      <c r="EQ129" s="1">
        <f t="shared" si="343"/>
        <v>0.21621849683808003</v>
      </c>
      <c r="ER129" s="1">
        <f t="shared" si="344"/>
        <v>0</v>
      </c>
      <c r="ES129" s="1">
        <f t="shared" si="345"/>
        <v>0</v>
      </c>
      <c r="ET129" s="1">
        <f t="shared" si="346"/>
        <v>0</v>
      </c>
      <c r="EU129" s="1">
        <f t="shared" si="347"/>
        <v>0.14589546715944002</v>
      </c>
      <c r="EV129" s="1">
        <f t="shared" si="348"/>
        <v>0</v>
      </c>
      <c r="EW129" s="1">
        <f t="shared" si="349"/>
        <v>0.059350736407200004</v>
      </c>
      <c r="EX129" s="1">
        <f t="shared" si="350"/>
        <v>0.10099701098903999</v>
      </c>
      <c r="EY129" s="1">
        <f t="shared" si="351"/>
        <v>0.059350736407200004</v>
      </c>
      <c r="EZ129" s="1">
        <f t="shared" si="352"/>
        <v>0.059350736407200004</v>
      </c>
      <c r="FA129" s="1">
        <f t="shared" si="353"/>
        <v>0</v>
      </c>
      <c r="FB129" s="1">
        <f t="shared" si="354"/>
        <v>0</v>
      </c>
      <c r="FC129" s="1">
        <f t="shared" si="355"/>
        <v>0.10099701098903999</v>
      </c>
      <c r="FD129" s="1">
        <f t="shared" si="356"/>
        <v>0</v>
      </c>
      <c r="FE129" s="1">
        <f t="shared" si="357"/>
        <v>0.059350736407200004</v>
      </c>
      <c r="FF129" s="1">
        <f t="shared" si="358"/>
        <v>0</v>
      </c>
      <c r="FG129" s="1">
        <f t="shared" si="359"/>
        <v>0</v>
      </c>
      <c r="FH129" s="1">
        <f t="shared" si="360"/>
        <v>0</v>
      </c>
      <c r="FI129" s="1">
        <f t="shared" si="361"/>
        <v>0</v>
      </c>
      <c r="FJ129" s="1">
        <f t="shared" si="362"/>
        <v>0</v>
      </c>
      <c r="FK129" s="1">
        <f t="shared" si="363"/>
        <v>0</v>
      </c>
      <c r="FL129" s="1">
        <f t="shared" si="364"/>
        <v>4.263919336981805</v>
      </c>
      <c r="FM129" s="1">
        <f t="shared" si="365"/>
        <v>0.0057571153094400015</v>
      </c>
      <c r="FN129" s="1">
        <f t="shared" si="366"/>
        <v>7.46760736344</v>
      </c>
      <c r="FO129" s="1">
        <f>IF(O129=0,0,SUM(EI129:FN129))</f>
        <v>13.630690758209969</v>
      </c>
    </row>
    <row r="130" spans="1:171" s="45" customFormat="1" ht="12.75">
      <c r="A130" s="24">
        <v>19.5</v>
      </c>
      <c r="B130" s="25" t="s">
        <v>319</v>
      </c>
      <c r="C130" s="25" t="s">
        <v>320</v>
      </c>
      <c r="D130" s="26" t="s">
        <v>310</v>
      </c>
      <c r="E130" s="35">
        <v>5</v>
      </c>
      <c r="F130" s="26" t="s">
        <v>299</v>
      </c>
      <c r="G130" s="35" t="s">
        <v>74</v>
      </c>
      <c r="H130" s="35" t="s">
        <v>75</v>
      </c>
      <c r="I130" s="35">
        <v>1</v>
      </c>
      <c r="J130" s="35"/>
      <c r="K130" s="26">
        <f t="shared" si="268"/>
        <v>0</v>
      </c>
      <c r="L130" s="26">
        <f t="shared" si="269"/>
        <v>0</v>
      </c>
      <c r="M130" s="34"/>
      <c r="N130" s="34"/>
      <c r="O130" s="27">
        <f t="shared" si="270"/>
        <v>26000</v>
      </c>
      <c r="P130" s="48">
        <v>26000</v>
      </c>
      <c r="Q130" s="30">
        <v>40000</v>
      </c>
      <c r="R130" s="30">
        <v>24000</v>
      </c>
      <c r="S130" s="31">
        <v>0</v>
      </c>
      <c r="T130" s="31">
        <v>0</v>
      </c>
      <c r="U130" s="31">
        <v>0</v>
      </c>
      <c r="V130" s="31">
        <v>0</v>
      </c>
      <c r="W130" s="30">
        <v>0</v>
      </c>
      <c r="X130" s="31">
        <v>0</v>
      </c>
      <c r="Y130" s="31">
        <v>0</v>
      </c>
      <c r="Z130" s="30">
        <v>0</v>
      </c>
      <c r="AA130" s="31">
        <v>0</v>
      </c>
      <c r="AB130" s="30">
        <v>0</v>
      </c>
      <c r="AC130" s="31">
        <v>0</v>
      </c>
      <c r="AD130" s="30">
        <v>0</v>
      </c>
      <c r="AE130" s="30">
        <v>0</v>
      </c>
      <c r="AF130" s="31">
        <v>0</v>
      </c>
      <c r="AG130" s="31">
        <v>0</v>
      </c>
      <c r="AH130" s="31">
        <v>0</v>
      </c>
      <c r="AI130" s="31">
        <v>0</v>
      </c>
      <c r="AJ130" s="31">
        <v>0</v>
      </c>
      <c r="AK130" s="31">
        <v>0</v>
      </c>
      <c r="AL130" s="30">
        <v>0</v>
      </c>
      <c r="AM130" s="30">
        <v>0</v>
      </c>
      <c r="AN130" s="31">
        <v>0</v>
      </c>
      <c r="AO130" s="30">
        <v>16000</v>
      </c>
      <c r="AP130" s="31">
        <v>0</v>
      </c>
      <c r="AQ130" s="31">
        <v>0</v>
      </c>
      <c r="AR130" s="31">
        <v>0</v>
      </c>
      <c r="AS130" s="31">
        <v>0</v>
      </c>
      <c r="AT130" s="31">
        <v>0</v>
      </c>
      <c r="AU130" s="30">
        <v>0</v>
      </c>
      <c r="AW130" s="1"/>
      <c r="AX130" s="2">
        <f t="shared" si="271"/>
        <v>21120</v>
      </c>
      <c r="AY130" s="32">
        <f t="shared" si="289"/>
        <v>13728</v>
      </c>
      <c r="AZ130" s="186">
        <f t="shared" si="290"/>
        <v>0.4729261498050349</v>
      </c>
      <c r="BA130" s="186">
        <f t="shared" si="291"/>
        <v>0.08236513549671251</v>
      </c>
      <c r="BB130" s="186">
        <f t="shared" si="292"/>
        <v>0.2846822842738975</v>
      </c>
      <c r="BC130" s="53">
        <f t="shared" si="272"/>
        <v>26000</v>
      </c>
      <c r="BD130" s="53">
        <f t="shared" si="189"/>
        <v>7729.207703289339</v>
      </c>
      <c r="BE130" s="53">
        <f t="shared" si="190"/>
        <v>1346.1239984849808</v>
      </c>
      <c r="BF130" s="53">
        <f t="shared" si="191"/>
        <v>4652.668298225679</v>
      </c>
      <c r="BG130" s="53"/>
      <c r="BH130" s="53">
        <f t="shared" si="273"/>
        <v>2</v>
      </c>
      <c r="BI130" s="53">
        <f t="shared" si="274"/>
        <v>3</v>
      </c>
      <c r="BJ130" s="53">
        <f t="shared" si="275"/>
        <v>3</v>
      </c>
      <c r="BK130" s="53">
        <f t="shared" si="276"/>
        <v>2</v>
      </c>
      <c r="BL130" s="53"/>
      <c r="BM130" s="53">
        <f t="shared" si="277"/>
        <v>1</v>
      </c>
      <c r="BN130" s="53">
        <f t="shared" si="278"/>
        <v>2</v>
      </c>
      <c r="BO130" s="53">
        <f t="shared" si="279"/>
        <v>2</v>
      </c>
      <c r="BP130" s="53">
        <f t="shared" si="280"/>
        <v>0</v>
      </c>
      <c r="BQ130" s="53"/>
      <c r="BR130" s="53">
        <f t="shared" si="281"/>
        <v>3.25</v>
      </c>
      <c r="BS130" s="53">
        <f t="shared" si="282"/>
        <v>34.2</v>
      </c>
      <c r="BT130" s="53">
        <f t="shared" si="283"/>
        <v>11</v>
      </c>
      <c r="BU130" s="53">
        <f t="shared" si="293"/>
        <v>23256</v>
      </c>
      <c r="BV130" s="53"/>
      <c r="BW130" s="53">
        <f t="shared" si="367"/>
        <v>13000</v>
      </c>
      <c r="BX130" s="53">
        <f t="shared" si="285"/>
        <v>-20106</v>
      </c>
      <c r="BY130" s="53">
        <f t="shared" si="294"/>
        <v>-18255.092464544257</v>
      </c>
      <c r="BZ130" s="240">
        <f t="shared" si="286"/>
        <v>5.5020500000000006</v>
      </c>
      <c r="CC130" s="1">
        <f t="shared" si="295"/>
        <v>0</v>
      </c>
      <c r="CD130" s="195">
        <f t="shared" si="296"/>
        <v>2873.2</v>
      </c>
      <c r="CE130" s="195">
        <f t="shared" si="297"/>
        <v>2873.2</v>
      </c>
      <c r="CF130" s="239">
        <f t="shared" si="298"/>
        <v>1.45</v>
      </c>
      <c r="CG130" s="239">
        <f t="shared" si="298"/>
        <v>9.96</v>
      </c>
      <c r="CH130" s="1">
        <f t="shared" si="287"/>
        <v>4780.8</v>
      </c>
      <c r="CI130" s="1"/>
      <c r="CJ130" s="1"/>
      <c r="CK130" s="211">
        <f t="shared" si="299"/>
        <v>0</v>
      </c>
      <c r="CL130" s="211">
        <f t="shared" si="300"/>
        <v>0</v>
      </c>
      <c r="CM130" s="211">
        <f t="shared" si="301"/>
        <v>0</v>
      </c>
      <c r="CN130" s="1"/>
      <c r="CO130" s="1"/>
      <c r="CP130" s="1"/>
      <c r="CQ130" s="1">
        <f t="shared" si="288"/>
        <v>1</v>
      </c>
      <c r="CR130" s="195">
        <f t="shared" si="201"/>
        <v>10000</v>
      </c>
      <c r="CS130" s="195"/>
      <c r="CT130" s="195"/>
      <c r="CU130" s="1"/>
      <c r="CV130" s="199">
        <f t="shared" si="302"/>
        <v>20.32035291758572</v>
      </c>
      <c r="CW130" s="199">
        <f t="shared" si="303"/>
        <v>7.207218768798876</v>
      </c>
      <c r="CX130" s="199">
        <f t="shared" si="304"/>
        <v>0</v>
      </c>
      <c r="CY130" s="199">
        <f t="shared" si="305"/>
        <v>0</v>
      </c>
      <c r="CZ130" s="199">
        <f t="shared" si="306"/>
        <v>0</v>
      </c>
      <c r="DA130" s="199">
        <f t="shared" si="307"/>
        <v>0</v>
      </c>
      <c r="DB130" s="199">
        <f t="shared" si="308"/>
        <v>0</v>
      </c>
      <c r="DC130" s="199">
        <f t="shared" si="309"/>
        <v>0</v>
      </c>
      <c r="DD130" s="199">
        <f t="shared" si="310"/>
        <v>0</v>
      </c>
      <c r="DE130" s="199">
        <f t="shared" si="311"/>
        <v>0</v>
      </c>
      <c r="DF130" s="199">
        <f t="shared" si="312"/>
        <v>0</v>
      </c>
      <c r="DG130" s="199">
        <f t="shared" si="313"/>
        <v>0</v>
      </c>
      <c r="DH130" s="199">
        <f t="shared" si="314"/>
        <v>0</v>
      </c>
      <c r="DI130" s="199">
        <f t="shared" si="315"/>
        <v>0</v>
      </c>
      <c r="DJ130" s="199">
        <f t="shared" si="316"/>
        <v>0</v>
      </c>
      <c r="DK130" s="199">
        <f t="shared" si="317"/>
        <v>0</v>
      </c>
      <c r="DL130" s="199">
        <f t="shared" si="318"/>
        <v>0</v>
      </c>
      <c r="DM130" s="199">
        <f t="shared" si="319"/>
        <v>0</v>
      </c>
      <c r="DN130" s="199">
        <f t="shared" si="320"/>
        <v>0</v>
      </c>
      <c r="DO130" s="199">
        <f t="shared" si="321"/>
        <v>0</v>
      </c>
      <c r="DP130" s="199">
        <f t="shared" si="322"/>
        <v>0</v>
      </c>
      <c r="DQ130" s="199">
        <f t="shared" si="323"/>
        <v>0</v>
      </c>
      <c r="DR130" s="199">
        <f t="shared" si="324"/>
        <v>0</v>
      </c>
      <c r="DS130" s="199">
        <f t="shared" si="325"/>
        <v>0</v>
      </c>
      <c r="DT130" s="199">
        <f t="shared" si="326"/>
        <v>45.91265289753358</v>
      </c>
      <c r="DU130" s="199">
        <f t="shared" si="327"/>
        <v>0</v>
      </c>
      <c r="DV130" s="199">
        <f t="shared" si="328"/>
        <v>0</v>
      </c>
      <c r="DW130" s="199">
        <f t="shared" si="329"/>
        <v>0</v>
      </c>
      <c r="DX130" s="199">
        <f t="shared" si="330"/>
        <v>0</v>
      </c>
      <c r="DY130" s="199">
        <f t="shared" si="331"/>
        <v>0</v>
      </c>
      <c r="DZ130" s="199">
        <f t="shared" si="332"/>
        <v>0</v>
      </c>
      <c r="EA130" s="199">
        <f t="shared" si="333"/>
        <v>7.97022299578905</v>
      </c>
      <c r="EB130" s="199">
        <f t="shared" si="334"/>
        <v>1.2460587222779225</v>
      </c>
      <c r="EC130" s="202">
        <f t="shared" si="184"/>
        <v>82.65650630198515</v>
      </c>
      <c r="ED130" s="202">
        <f>SUM(CV130:DI130,DS130:DT130,DW130,DY130,EA130:EB130)</f>
        <v>82.65650630198515</v>
      </c>
      <c r="EE130" s="203">
        <f t="shared" si="235"/>
        <v>13.682369523911373</v>
      </c>
      <c r="EF130" s="199"/>
      <c r="EI130" s="1">
        <f t="shared" si="335"/>
        <v>0.18495710758393283</v>
      </c>
      <c r="EJ130" s="1">
        <f t="shared" si="336"/>
        <v>0.002442336444552</v>
      </c>
      <c r="EK130" s="1">
        <f t="shared" si="337"/>
        <v>0</v>
      </c>
      <c r="EL130" s="1">
        <f t="shared" si="338"/>
        <v>0</v>
      </c>
      <c r="EM130" s="1">
        <f t="shared" si="339"/>
        <v>0</v>
      </c>
      <c r="EN130" s="1">
        <f t="shared" si="340"/>
        <v>0</v>
      </c>
      <c r="EO130" s="1">
        <f t="shared" si="341"/>
        <v>0</v>
      </c>
      <c r="EP130" s="1">
        <f t="shared" si="342"/>
        <v>0</v>
      </c>
      <c r="EQ130" s="1">
        <f t="shared" si="343"/>
        <v>0</v>
      </c>
      <c r="ER130" s="1">
        <f t="shared" si="344"/>
        <v>0</v>
      </c>
      <c r="ES130" s="1">
        <f t="shared" si="345"/>
        <v>0</v>
      </c>
      <c r="ET130" s="1">
        <f t="shared" si="346"/>
        <v>0</v>
      </c>
      <c r="EU130" s="1">
        <f t="shared" si="347"/>
        <v>0</v>
      </c>
      <c r="EV130" s="1">
        <f t="shared" si="348"/>
        <v>0</v>
      </c>
      <c r="EW130" s="1">
        <f t="shared" si="349"/>
        <v>0</v>
      </c>
      <c r="EX130" s="1">
        <f t="shared" si="350"/>
        <v>0</v>
      </c>
      <c r="EY130" s="1">
        <f t="shared" si="351"/>
        <v>0</v>
      </c>
      <c r="EZ130" s="1">
        <f t="shared" si="352"/>
        <v>0</v>
      </c>
      <c r="FA130" s="1">
        <f t="shared" si="353"/>
        <v>0</v>
      </c>
      <c r="FB130" s="1">
        <f t="shared" si="354"/>
        <v>0</v>
      </c>
      <c r="FC130" s="1">
        <f t="shared" si="355"/>
        <v>0</v>
      </c>
      <c r="FD130" s="1">
        <f t="shared" si="356"/>
        <v>0</v>
      </c>
      <c r="FE130" s="1">
        <f t="shared" si="357"/>
        <v>0</v>
      </c>
      <c r="FF130" s="1">
        <f t="shared" si="358"/>
        <v>0</v>
      </c>
      <c r="FG130" s="1">
        <f t="shared" si="359"/>
        <v>0.059350736407200004</v>
      </c>
      <c r="FH130" s="1">
        <f t="shared" si="360"/>
        <v>0</v>
      </c>
      <c r="FI130" s="1">
        <f t="shared" si="361"/>
        <v>0</v>
      </c>
      <c r="FJ130" s="1">
        <f t="shared" si="362"/>
        <v>0</v>
      </c>
      <c r="FK130" s="1">
        <f t="shared" si="363"/>
        <v>0</v>
      </c>
      <c r="FL130" s="1">
        <f t="shared" si="364"/>
        <v>0</v>
      </c>
      <c r="FM130" s="1">
        <f t="shared" si="365"/>
        <v>0</v>
      </c>
      <c r="FN130" s="1">
        <f t="shared" si="366"/>
        <v>4.472293968912</v>
      </c>
      <c r="FO130" s="1">
        <f>IF(O130=0,0,SUM(EI130:FN130))</f>
        <v>4.719044149347685</v>
      </c>
    </row>
    <row r="131" spans="1:171" s="45" customFormat="1" ht="12.75">
      <c r="A131" s="24">
        <v>20</v>
      </c>
      <c r="B131" s="25" t="s">
        <v>115</v>
      </c>
      <c r="C131" s="25" t="s">
        <v>321</v>
      </c>
      <c r="D131" s="26" t="s">
        <v>310</v>
      </c>
      <c r="E131" s="35">
        <v>5</v>
      </c>
      <c r="F131" s="26" t="s">
        <v>299</v>
      </c>
      <c r="G131" s="35" t="s">
        <v>74</v>
      </c>
      <c r="H131" s="35" t="s">
        <v>75</v>
      </c>
      <c r="I131" s="35">
        <v>1</v>
      </c>
      <c r="J131" s="35"/>
      <c r="K131" s="26">
        <f t="shared" si="268"/>
        <v>1</v>
      </c>
      <c r="L131" s="26">
        <f t="shared" si="269"/>
        <v>1</v>
      </c>
      <c r="M131" s="33">
        <v>335050</v>
      </c>
      <c r="N131" s="33">
        <v>1181901</v>
      </c>
      <c r="O131" s="27">
        <f t="shared" si="270"/>
        <v>149500</v>
      </c>
      <c r="P131" s="30">
        <v>149500</v>
      </c>
      <c r="Q131" s="30">
        <v>155800</v>
      </c>
      <c r="R131" s="30">
        <v>102300</v>
      </c>
      <c r="S131" s="31">
        <v>54600</v>
      </c>
      <c r="T131" s="31">
        <v>0</v>
      </c>
      <c r="U131" s="31">
        <v>0</v>
      </c>
      <c r="V131" s="31">
        <v>0</v>
      </c>
      <c r="W131" s="30">
        <v>100000</v>
      </c>
      <c r="X131" s="31">
        <v>0</v>
      </c>
      <c r="Y131" s="31">
        <v>21900</v>
      </c>
      <c r="Z131" s="30">
        <v>0</v>
      </c>
      <c r="AA131" s="31">
        <v>0</v>
      </c>
      <c r="AB131" s="30">
        <v>0</v>
      </c>
      <c r="AC131" s="31">
        <v>20000</v>
      </c>
      <c r="AD131" s="30">
        <v>0</v>
      </c>
      <c r="AE131" s="30">
        <v>24700</v>
      </c>
      <c r="AF131" s="31">
        <v>0</v>
      </c>
      <c r="AG131" s="31">
        <v>0</v>
      </c>
      <c r="AH131" s="31">
        <v>18300</v>
      </c>
      <c r="AI131" s="31">
        <v>0</v>
      </c>
      <c r="AJ131" s="31">
        <v>0</v>
      </c>
      <c r="AK131" s="31">
        <v>106500</v>
      </c>
      <c r="AL131" s="30">
        <v>0</v>
      </c>
      <c r="AM131" s="30">
        <v>24200</v>
      </c>
      <c r="AN131" s="31">
        <v>0</v>
      </c>
      <c r="AO131" s="30">
        <v>0</v>
      </c>
      <c r="AP131" s="31">
        <v>0</v>
      </c>
      <c r="AQ131" s="31">
        <v>0</v>
      </c>
      <c r="AR131" s="31">
        <v>0</v>
      </c>
      <c r="AS131" s="31">
        <v>17725</v>
      </c>
      <c r="AT131" s="31">
        <v>138</v>
      </c>
      <c r="AU131" s="30">
        <v>400</v>
      </c>
      <c r="AW131" s="1"/>
      <c r="AX131" s="2">
        <f t="shared" si="271"/>
        <v>121506</v>
      </c>
      <c r="AY131" s="32">
        <f t="shared" si="289"/>
        <v>116592.72785622593</v>
      </c>
      <c r="AZ131" s="186">
        <f t="shared" si="290"/>
        <v>0.4729261498050349</v>
      </c>
      <c r="BA131" s="186">
        <f t="shared" si="291"/>
        <v>0.08236513549671251</v>
      </c>
      <c r="BB131" s="186">
        <f t="shared" si="292"/>
        <v>0.2846822842738975</v>
      </c>
      <c r="BC131" s="53">
        <f t="shared" si="272"/>
        <v>149500</v>
      </c>
      <c r="BD131" s="53">
        <f t="shared" si="189"/>
        <v>65644.62487571816</v>
      </c>
      <c r="BE131" s="53">
        <f t="shared" si="190"/>
        <v>11432.711903853005</v>
      </c>
      <c r="BF131" s="53">
        <f t="shared" si="191"/>
        <v>39515.391076654756</v>
      </c>
      <c r="BG131" s="53"/>
      <c r="BH131" s="53">
        <f t="shared" si="273"/>
        <v>6</v>
      </c>
      <c r="BI131" s="53">
        <f t="shared" si="274"/>
        <v>6</v>
      </c>
      <c r="BJ131" s="53">
        <f t="shared" si="275"/>
        <v>4</v>
      </c>
      <c r="BK131" s="53">
        <f t="shared" si="276"/>
        <v>4</v>
      </c>
      <c r="BL131" s="53"/>
      <c r="BM131" s="53">
        <f t="shared" si="277"/>
        <v>3</v>
      </c>
      <c r="BN131" s="53">
        <f t="shared" si="278"/>
        <v>3</v>
      </c>
      <c r="BO131" s="53">
        <f t="shared" si="279"/>
        <v>2</v>
      </c>
      <c r="BP131" s="53">
        <f t="shared" si="280"/>
        <v>0</v>
      </c>
      <c r="BQ131" s="53"/>
      <c r="BR131" s="53">
        <f t="shared" si="281"/>
        <v>9.75</v>
      </c>
      <c r="BS131" s="53">
        <f t="shared" si="282"/>
        <v>51.300000000000004</v>
      </c>
      <c r="BT131" s="53">
        <f t="shared" si="283"/>
        <v>11</v>
      </c>
      <c r="BU131" s="53">
        <f t="shared" si="293"/>
        <v>34584.00000000001</v>
      </c>
      <c r="BV131" s="53"/>
      <c r="BW131" s="53">
        <f t="shared" si="367"/>
        <v>20800</v>
      </c>
      <c r="BX131" s="53">
        <f t="shared" si="285"/>
        <v>-29544.000000000007</v>
      </c>
      <c r="BY131" s="53">
        <f t="shared" si="294"/>
        <v>-26582.54794327082</v>
      </c>
      <c r="BZ131" s="240">
        <f t="shared" si="286"/>
        <v>7.944450000000001</v>
      </c>
      <c r="CC131" s="1">
        <f t="shared" si="295"/>
        <v>0</v>
      </c>
      <c r="CD131" s="195">
        <f t="shared" si="296"/>
        <v>5746.4</v>
      </c>
      <c r="CE131" s="195">
        <f t="shared" si="297"/>
        <v>5746.4</v>
      </c>
      <c r="CF131" s="239">
        <f t="shared" si="298"/>
        <v>2.9</v>
      </c>
      <c r="CG131" s="239">
        <f t="shared" si="298"/>
        <v>19.92</v>
      </c>
      <c r="CH131" s="1">
        <f t="shared" si="287"/>
        <v>9561.6</v>
      </c>
      <c r="CI131" s="1"/>
      <c r="CJ131" s="1"/>
      <c r="CK131" s="211">
        <f t="shared" si="299"/>
        <v>0</v>
      </c>
      <c r="CL131" s="211">
        <f t="shared" si="300"/>
        <v>0</v>
      </c>
      <c r="CM131" s="211">
        <f t="shared" si="301"/>
        <v>0</v>
      </c>
      <c r="CN131" s="1"/>
      <c r="CO131" s="1"/>
      <c r="CP131" s="1"/>
      <c r="CQ131" s="1">
        <f t="shared" si="288"/>
        <v>1</v>
      </c>
      <c r="CR131" s="195">
        <f t="shared" si="201"/>
        <v>10000</v>
      </c>
      <c r="CS131" s="195"/>
      <c r="CT131" s="195"/>
      <c r="CU131" s="1"/>
      <c r="CV131" s="199">
        <f t="shared" si="302"/>
        <v>79.14777461399639</v>
      </c>
      <c r="CW131" s="199">
        <f t="shared" si="303"/>
        <v>30.720770002005214</v>
      </c>
      <c r="CX131" s="199">
        <f t="shared" si="304"/>
        <v>107.48765991578102</v>
      </c>
      <c r="CY131" s="199">
        <f t="shared" si="305"/>
        <v>0</v>
      </c>
      <c r="CZ131" s="199">
        <f t="shared" si="306"/>
        <v>0</v>
      </c>
      <c r="DA131" s="199">
        <f t="shared" si="307"/>
        <v>0</v>
      </c>
      <c r="DB131" s="199">
        <f t="shared" si="308"/>
        <v>26.026067776218166</v>
      </c>
      <c r="DC131" s="199">
        <f t="shared" si="309"/>
        <v>0</v>
      </c>
      <c r="DD131" s="199">
        <f t="shared" si="310"/>
        <v>6.649660316823741</v>
      </c>
      <c r="DE131" s="199">
        <f t="shared" si="311"/>
        <v>0</v>
      </c>
      <c r="DF131" s="199">
        <f t="shared" si="312"/>
        <v>0</v>
      </c>
      <c r="DG131" s="199">
        <f t="shared" si="313"/>
        <v>0</v>
      </c>
      <c r="DH131" s="199">
        <f t="shared" si="314"/>
        <v>26.526569079606976</v>
      </c>
      <c r="DI131" s="199">
        <f t="shared" si="315"/>
        <v>0</v>
      </c>
      <c r="DJ131" s="199">
        <f t="shared" si="316"/>
        <v>3.3749303388810903</v>
      </c>
      <c r="DK131" s="199">
        <f t="shared" si="317"/>
        <v>0</v>
      </c>
      <c r="DL131" s="199">
        <f t="shared" si="318"/>
        <v>0</v>
      </c>
      <c r="DM131" s="199">
        <f t="shared" si="319"/>
        <v>2.5004544616001603</v>
      </c>
      <c r="DN131" s="199">
        <f t="shared" si="320"/>
        <v>0</v>
      </c>
      <c r="DO131" s="199">
        <f t="shared" si="321"/>
        <v>0</v>
      </c>
      <c r="DP131" s="199">
        <f t="shared" si="322"/>
        <v>14.55182514537798</v>
      </c>
      <c r="DQ131" s="199">
        <f t="shared" si="323"/>
        <v>0</v>
      </c>
      <c r="DR131" s="199">
        <f t="shared" si="324"/>
        <v>3.633639462602767</v>
      </c>
      <c r="DS131" s="199">
        <f t="shared" si="325"/>
        <v>0</v>
      </c>
      <c r="DT131" s="199">
        <f t="shared" si="326"/>
        <v>0</v>
      </c>
      <c r="DU131" s="199">
        <f t="shared" si="327"/>
        <v>0</v>
      </c>
      <c r="DV131" s="199">
        <f t="shared" si="328"/>
        <v>0</v>
      </c>
      <c r="DW131" s="199">
        <f t="shared" si="329"/>
        <v>0</v>
      </c>
      <c r="DX131" s="199">
        <f t="shared" si="330"/>
        <v>1.1473658712652897</v>
      </c>
      <c r="DY131" s="199">
        <f t="shared" si="331"/>
        <v>5.709718869059555</v>
      </c>
      <c r="DZ131" s="199">
        <f t="shared" si="332"/>
        <v>0.02589260076198115</v>
      </c>
      <c r="EA131" s="199">
        <f t="shared" si="333"/>
        <v>67.69158221892967</v>
      </c>
      <c r="EB131" s="199">
        <f t="shared" si="334"/>
        <v>8.345931445831047</v>
      </c>
      <c r="EC131" s="202">
        <f t="shared" si="184"/>
        <v>383.53984211874103</v>
      </c>
      <c r="ED131" s="202">
        <f>SUM(CV131:DI131,DS131:DT131,DW131,DY131,EA131:EB131)</f>
        <v>358.3057342382518</v>
      </c>
      <c r="EE131" s="203">
        <f t="shared" si="235"/>
        <v>59.31138004397365</v>
      </c>
      <c r="EF131" s="199"/>
      <c r="EI131" s="1">
        <f t="shared" si="335"/>
        <v>0.5699766927982697</v>
      </c>
      <c r="EJ131" s="1">
        <f t="shared" si="336"/>
        <v>0.010606863429336002</v>
      </c>
      <c r="EK131" s="1">
        <f t="shared" si="337"/>
        <v>0.24682268761392</v>
      </c>
      <c r="EL131" s="1">
        <f t="shared" si="338"/>
        <v>0</v>
      </c>
      <c r="EM131" s="1">
        <f t="shared" si="339"/>
        <v>0</v>
      </c>
      <c r="EN131" s="1">
        <f t="shared" si="340"/>
        <v>0</v>
      </c>
      <c r="EO131" s="1">
        <f t="shared" si="341"/>
        <v>0.2644897670328</v>
      </c>
      <c r="EP131" s="1">
        <f t="shared" si="342"/>
        <v>0</v>
      </c>
      <c r="EQ131" s="1">
        <f t="shared" si="343"/>
        <v>0.21621849683808003</v>
      </c>
      <c r="ER131" s="1">
        <f t="shared" si="344"/>
        <v>0</v>
      </c>
      <c r="ES131" s="1">
        <f t="shared" si="345"/>
        <v>0</v>
      </c>
      <c r="ET131" s="1">
        <f t="shared" si="346"/>
        <v>0</v>
      </c>
      <c r="EU131" s="1">
        <f t="shared" si="347"/>
        <v>0.14589546715944002</v>
      </c>
      <c r="EV131" s="1">
        <f t="shared" si="348"/>
        <v>0</v>
      </c>
      <c r="EW131" s="1">
        <f t="shared" si="349"/>
        <v>0.059350736407200004</v>
      </c>
      <c r="EX131" s="1">
        <f t="shared" si="350"/>
        <v>0</v>
      </c>
      <c r="EY131" s="1">
        <f t="shared" si="351"/>
        <v>0</v>
      </c>
      <c r="EZ131" s="1">
        <f t="shared" si="352"/>
        <v>0.059350736407200004</v>
      </c>
      <c r="FA131" s="1">
        <f t="shared" si="353"/>
        <v>0</v>
      </c>
      <c r="FB131" s="1">
        <f t="shared" si="354"/>
        <v>0</v>
      </c>
      <c r="FC131" s="1">
        <f t="shared" si="355"/>
        <v>0.10099701098903999</v>
      </c>
      <c r="FD131" s="1">
        <f t="shared" si="356"/>
        <v>0</v>
      </c>
      <c r="FE131" s="1">
        <f t="shared" si="357"/>
        <v>0.059350736407200004</v>
      </c>
      <c r="FF131" s="1">
        <f t="shared" si="358"/>
        <v>0</v>
      </c>
      <c r="FG131" s="1">
        <f t="shared" si="359"/>
        <v>0</v>
      </c>
      <c r="FH131" s="1">
        <f t="shared" si="360"/>
        <v>0</v>
      </c>
      <c r="FI131" s="1">
        <f t="shared" si="361"/>
        <v>0</v>
      </c>
      <c r="FJ131" s="1">
        <f t="shared" si="362"/>
        <v>0</v>
      </c>
      <c r="FK131" s="1">
        <f t="shared" si="363"/>
        <v>0</v>
      </c>
      <c r="FL131" s="1">
        <f t="shared" si="364"/>
        <v>4.263919336981805</v>
      </c>
      <c r="FM131" s="1">
        <f t="shared" si="365"/>
        <v>0.0057571153094400015</v>
      </c>
      <c r="FN131" s="1">
        <f t="shared" si="366"/>
        <v>7.46760736344</v>
      </c>
      <c r="FO131" s="1">
        <f>IF(O131=0,0,SUM(EI131:FN131))</f>
        <v>13.47034301081373</v>
      </c>
    </row>
    <row r="132" spans="1:171" s="45" customFormat="1" ht="12.75">
      <c r="A132" s="24">
        <v>22</v>
      </c>
      <c r="B132" s="25" t="s">
        <v>322</v>
      </c>
      <c r="C132" s="25" t="s">
        <v>323</v>
      </c>
      <c r="D132" s="26" t="s">
        <v>310</v>
      </c>
      <c r="E132" s="26">
        <v>5</v>
      </c>
      <c r="F132" s="26" t="s">
        <v>299</v>
      </c>
      <c r="G132" s="26" t="s">
        <v>74</v>
      </c>
      <c r="H132" s="26" t="s">
        <v>79</v>
      </c>
      <c r="I132" s="26">
        <v>2</v>
      </c>
      <c r="J132" s="26"/>
      <c r="K132" s="26">
        <f t="shared" si="268"/>
        <v>0</v>
      </c>
      <c r="L132" s="26">
        <f t="shared" si="269"/>
        <v>0</v>
      </c>
      <c r="M132" s="24">
        <v>345500</v>
      </c>
      <c r="N132" s="24">
        <v>1203100</v>
      </c>
      <c r="O132" s="27">
        <f t="shared" si="270"/>
        <v>9500</v>
      </c>
      <c r="P132" s="28">
        <v>9500</v>
      </c>
      <c r="Q132" s="28">
        <v>10000</v>
      </c>
      <c r="R132" s="28">
        <v>10000</v>
      </c>
      <c r="S132" s="29">
        <v>0</v>
      </c>
      <c r="T132" s="29">
        <v>0</v>
      </c>
      <c r="U132" s="29">
        <v>0</v>
      </c>
      <c r="V132" s="29">
        <v>0</v>
      </c>
      <c r="W132" s="28">
        <v>0</v>
      </c>
      <c r="X132" s="29">
        <v>0</v>
      </c>
      <c r="Y132" s="29">
        <v>0</v>
      </c>
      <c r="Z132" s="28">
        <v>0</v>
      </c>
      <c r="AA132" s="29">
        <v>0</v>
      </c>
      <c r="AB132" s="28">
        <v>0</v>
      </c>
      <c r="AC132" s="31">
        <v>0</v>
      </c>
      <c r="AD132" s="30">
        <v>0</v>
      </c>
      <c r="AE132" s="30">
        <v>0</v>
      </c>
      <c r="AF132" s="31">
        <v>0</v>
      </c>
      <c r="AG132" s="31">
        <v>0</v>
      </c>
      <c r="AH132" s="31">
        <v>0</v>
      </c>
      <c r="AI132" s="31">
        <v>0</v>
      </c>
      <c r="AJ132" s="31">
        <v>0</v>
      </c>
      <c r="AK132" s="31">
        <v>0</v>
      </c>
      <c r="AL132" s="30">
        <v>0</v>
      </c>
      <c r="AM132" s="30">
        <v>0</v>
      </c>
      <c r="AN132" s="31">
        <v>0</v>
      </c>
      <c r="AO132" s="30">
        <v>6000</v>
      </c>
      <c r="AP132" s="31">
        <v>0</v>
      </c>
      <c r="AQ132" s="31">
        <v>0</v>
      </c>
      <c r="AR132" s="31">
        <v>0</v>
      </c>
      <c r="AS132" s="31">
        <v>0</v>
      </c>
      <c r="AT132" s="31">
        <v>0</v>
      </c>
      <c r="AU132" s="30">
        <v>0</v>
      </c>
      <c r="AW132" s="1"/>
      <c r="AX132" s="2">
        <f t="shared" si="271"/>
        <v>3520</v>
      </c>
      <c r="AY132" s="32">
        <f t="shared" si="289"/>
        <v>3344</v>
      </c>
      <c r="AZ132" s="186">
        <f t="shared" si="290"/>
        <v>0.4729261498050349</v>
      </c>
      <c r="BA132" s="186">
        <f t="shared" si="291"/>
        <v>0.08236513549671251</v>
      </c>
      <c r="BB132" s="186">
        <f t="shared" si="292"/>
        <v>0.2846822842738975</v>
      </c>
      <c r="BC132" s="53">
        <f t="shared" si="272"/>
        <v>9500</v>
      </c>
      <c r="BD132" s="53">
        <f t="shared" si="189"/>
        <v>1882.7557225961211</v>
      </c>
      <c r="BE132" s="53">
        <f t="shared" si="190"/>
        <v>327.9019996309569</v>
      </c>
      <c r="BF132" s="53">
        <f t="shared" si="191"/>
        <v>1133.3422777729218</v>
      </c>
      <c r="BG132" s="53"/>
      <c r="BH132" s="53">
        <f t="shared" si="273"/>
        <v>2</v>
      </c>
      <c r="BI132" s="53">
        <f t="shared" si="274"/>
        <v>3</v>
      </c>
      <c r="BJ132" s="53">
        <f t="shared" si="275"/>
        <v>3</v>
      </c>
      <c r="BK132" s="53">
        <f t="shared" si="276"/>
        <v>2</v>
      </c>
      <c r="BL132" s="53"/>
      <c r="BM132" s="53">
        <f t="shared" si="277"/>
        <v>0</v>
      </c>
      <c r="BN132" s="53">
        <f t="shared" si="278"/>
        <v>2</v>
      </c>
      <c r="BO132" s="53">
        <f t="shared" si="279"/>
        <v>2</v>
      </c>
      <c r="BP132" s="53">
        <f t="shared" si="280"/>
        <v>0</v>
      </c>
      <c r="BQ132" s="53"/>
      <c r="BR132" s="53">
        <f t="shared" si="281"/>
        <v>0</v>
      </c>
      <c r="BS132" s="53">
        <f t="shared" si="282"/>
        <v>34.2</v>
      </c>
      <c r="BT132" s="53">
        <f t="shared" si="283"/>
        <v>11</v>
      </c>
      <c r="BU132" s="53">
        <f t="shared" si="293"/>
        <v>21696</v>
      </c>
      <c r="BV132" s="53"/>
      <c r="BW132" s="53">
        <f t="shared" si="367"/>
        <v>10400</v>
      </c>
      <c r="BX132" s="53">
        <f t="shared" si="285"/>
        <v>-19176</v>
      </c>
      <c r="BY132" s="53">
        <f t="shared" si="294"/>
        <v>-17695.273971635408</v>
      </c>
      <c r="BZ132" s="240">
        <f t="shared" si="286"/>
        <v>5.2128000000000005</v>
      </c>
      <c r="CC132" s="1">
        <f t="shared" si="295"/>
        <v>0</v>
      </c>
      <c r="CD132" s="195">
        <f t="shared" si="296"/>
        <v>2873.2</v>
      </c>
      <c r="CE132" s="195">
        <f t="shared" si="297"/>
        <v>2873.2</v>
      </c>
      <c r="CF132" s="239">
        <f t="shared" si="298"/>
        <v>1.45</v>
      </c>
      <c r="CG132" s="239">
        <f t="shared" si="298"/>
        <v>9.96</v>
      </c>
      <c r="CH132" s="1">
        <f t="shared" si="287"/>
        <v>4780.8</v>
      </c>
      <c r="CI132" s="1"/>
      <c r="CJ132" s="1"/>
      <c r="CK132" s="211">
        <f t="shared" si="299"/>
        <v>0</v>
      </c>
      <c r="CL132" s="211">
        <f t="shared" si="300"/>
        <v>0</v>
      </c>
      <c r="CM132" s="211">
        <f t="shared" si="301"/>
        <v>0</v>
      </c>
      <c r="CN132" s="1"/>
      <c r="CO132" s="1"/>
      <c r="CP132" s="1"/>
      <c r="CQ132" s="1">
        <f t="shared" si="288"/>
        <v>0</v>
      </c>
      <c r="CR132" s="195">
        <f t="shared" si="201"/>
        <v>0</v>
      </c>
      <c r="CS132" s="195"/>
      <c r="CT132" s="195"/>
      <c r="CU132" s="1"/>
      <c r="CV132" s="199">
        <f t="shared" si="302"/>
        <v>5.08008822939643</v>
      </c>
      <c r="CW132" s="199">
        <f t="shared" si="303"/>
        <v>3.0030078203328654</v>
      </c>
      <c r="CX132" s="199">
        <f t="shared" si="304"/>
        <v>0</v>
      </c>
      <c r="CY132" s="199">
        <f t="shared" si="305"/>
        <v>0</v>
      </c>
      <c r="CZ132" s="199">
        <f t="shared" si="306"/>
        <v>0</v>
      </c>
      <c r="DA132" s="199">
        <f t="shared" si="307"/>
        <v>0</v>
      </c>
      <c r="DB132" s="199">
        <f t="shared" si="308"/>
        <v>0</v>
      </c>
      <c r="DC132" s="199">
        <f t="shared" si="309"/>
        <v>0</v>
      </c>
      <c r="DD132" s="199">
        <f t="shared" si="310"/>
        <v>0</v>
      </c>
      <c r="DE132" s="199">
        <f t="shared" si="311"/>
        <v>0</v>
      </c>
      <c r="DF132" s="199">
        <f t="shared" si="312"/>
        <v>0</v>
      </c>
      <c r="DG132" s="199">
        <f t="shared" si="313"/>
        <v>0</v>
      </c>
      <c r="DH132" s="199">
        <f t="shared" si="314"/>
        <v>0</v>
      </c>
      <c r="DI132" s="199">
        <f t="shared" si="315"/>
        <v>0</v>
      </c>
      <c r="DJ132" s="199">
        <f t="shared" si="316"/>
        <v>0</v>
      </c>
      <c r="DK132" s="199">
        <f t="shared" si="317"/>
        <v>0</v>
      </c>
      <c r="DL132" s="199">
        <f t="shared" si="318"/>
        <v>0</v>
      </c>
      <c r="DM132" s="199">
        <f t="shared" si="319"/>
        <v>0</v>
      </c>
      <c r="DN132" s="199">
        <f t="shared" si="320"/>
        <v>0</v>
      </c>
      <c r="DO132" s="199">
        <f t="shared" si="321"/>
        <v>0</v>
      </c>
      <c r="DP132" s="199">
        <f t="shared" si="322"/>
        <v>0</v>
      </c>
      <c r="DQ132" s="199">
        <f t="shared" si="323"/>
        <v>0</v>
      </c>
      <c r="DR132" s="199">
        <f t="shared" si="324"/>
        <v>0</v>
      </c>
      <c r="DS132" s="199">
        <f t="shared" si="325"/>
        <v>0</v>
      </c>
      <c r="DT132" s="199">
        <f t="shared" si="326"/>
        <v>17.217244836575095</v>
      </c>
      <c r="DU132" s="199">
        <f t="shared" si="327"/>
        <v>0</v>
      </c>
      <c r="DV132" s="199">
        <f t="shared" si="328"/>
        <v>0</v>
      </c>
      <c r="DW132" s="199">
        <f t="shared" si="329"/>
        <v>0</v>
      </c>
      <c r="DX132" s="199">
        <f t="shared" si="330"/>
        <v>0</v>
      </c>
      <c r="DY132" s="199">
        <f t="shared" si="331"/>
        <v>0</v>
      </c>
      <c r="DZ132" s="199">
        <f t="shared" si="332"/>
        <v>0</v>
      </c>
      <c r="EA132" s="199">
        <f t="shared" si="333"/>
        <v>1.941464575897333</v>
      </c>
      <c r="EB132" s="199">
        <f t="shared" si="334"/>
        <v>0.4028488277521556</v>
      </c>
      <c r="EC132" s="202">
        <f aca="true" t="shared" si="368" ref="EC132:EC155">SUM(CV132:EB132)</f>
        <v>27.644654289953877</v>
      </c>
      <c r="ED132" s="202">
        <f>SUM(CV132:DI132,DS132:DT132,DW132,DY132,EA132:EB132)</f>
        <v>27.644654289953877</v>
      </c>
      <c r="EE132" s="203">
        <f t="shared" si="235"/>
        <v>4.576099236205517</v>
      </c>
      <c r="EF132" s="199"/>
      <c r="EI132" s="1">
        <f t="shared" si="335"/>
        <v>0.18495710758393283</v>
      </c>
      <c r="EJ132" s="1">
        <f t="shared" si="336"/>
        <v>0.002442336444552</v>
      </c>
      <c r="EK132" s="1">
        <f t="shared" si="337"/>
        <v>0</v>
      </c>
      <c r="EL132" s="1">
        <f t="shared" si="338"/>
        <v>0</v>
      </c>
      <c r="EM132" s="1">
        <f t="shared" si="339"/>
        <v>0</v>
      </c>
      <c r="EN132" s="1">
        <f t="shared" si="340"/>
        <v>0</v>
      </c>
      <c r="EO132" s="1">
        <f t="shared" si="341"/>
        <v>0</v>
      </c>
      <c r="EP132" s="1">
        <f t="shared" si="342"/>
        <v>0</v>
      </c>
      <c r="EQ132" s="1">
        <f t="shared" si="343"/>
        <v>0</v>
      </c>
      <c r="ER132" s="1">
        <f t="shared" si="344"/>
        <v>0</v>
      </c>
      <c r="ES132" s="1">
        <f t="shared" si="345"/>
        <v>0</v>
      </c>
      <c r="ET132" s="1">
        <f t="shared" si="346"/>
        <v>0</v>
      </c>
      <c r="EU132" s="1">
        <f t="shared" si="347"/>
        <v>0</v>
      </c>
      <c r="EV132" s="1">
        <f t="shared" si="348"/>
        <v>0</v>
      </c>
      <c r="EW132" s="1">
        <f t="shared" si="349"/>
        <v>0</v>
      </c>
      <c r="EX132" s="1">
        <f t="shared" si="350"/>
        <v>0</v>
      </c>
      <c r="EY132" s="1">
        <f t="shared" si="351"/>
        <v>0</v>
      </c>
      <c r="EZ132" s="1">
        <f t="shared" si="352"/>
        <v>0</v>
      </c>
      <c r="FA132" s="1">
        <f t="shared" si="353"/>
        <v>0</v>
      </c>
      <c r="FB132" s="1">
        <f t="shared" si="354"/>
        <v>0</v>
      </c>
      <c r="FC132" s="1">
        <f t="shared" si="355"/>
        <v>0</v>
      </c>
      <c r="FD132" s="1">
        <f t="shared" si="356"/>
        <v>0</v>
      </c>
      <c r="FE132" s="1">
        <f t="shared" si="357"/>
        <v>0</v>
      </c>
      <c r="FF132" s="1">
        <f t="shared" si="358"/>
        <v>0</v>
      </c>
      <c r="FG132" s="1">
        <f t="shared" si="359"/>
        <v>0.059350736407200004</v>
      </c>
      <c r="FH132" s="1">
        <f t="shared" si="360"/>
        <v>0</v>
      </c>
      <c r="FI132" s="1">
        <f t="shared" si="361"/>
        <v>0</v>
      </c>
      <c r="FJ132" s="1">
        <f t="shared" si="362"/>
        <v>0</v>
      </c>
      <c r="FK132" s="1">
        <f t="shared" si="363"/>
        <v>0</v>
      </c>
      <c r="FL132" s="1">
        <f t="shared" si="364"/>
        <v>0</v>
      </c>
      <c r="FM132" s="1">
        <f t="shared" si="365"/>
        <v>0</v>
      </c>
      <c r="FN132" s="1">
        <f t="shared" si="366"/>
        <v>4.472293968912</v>
      </c>
      <c r="FO132" s="1">
        <f>IF(O132=0,0,SUM(EI132:FN132))</f>
        <v>4.719044149347685</v>
      </c>
    </row>
    <row r="133" spans="1:171" s="45" customFormat="1" ht="12.75">
      <c r="A133" s="24">
        <v>24</v>
      </c>
      <c r="B133" s="25" t="s">
        <v>324</v>
      </c>
      <c r="C133" s="25" t="s">
        <v>318</v>
      </c>
      <c r="D133" s="26" t="s">
        <v>310</v>
      </c>
      <c r="E133" s="26">
        <v>5</v>
      </c>
      <c r="F133" s="26" t="s">
        <v>299</v>
      </c>
      <c r="G133" s="26" t="s">
        <v>74</v>
      </c>
      <c r="H133" s="26" t="s">
        <v>79</v>
      </c>
      <c r="I133" s="26">
        <v>1</v>
      </c>
      <c r="J133" s="26"/>
      <c r="K133" s="26">
        <f t="shared" si="268"/>
        <v>0</v>
      </c>
      <c r="L133" s="26">
        <f t="shared" si="269"/>
        <v>0</v>
      </c>
      <c r="M133" s="24">
        <v>334557</v>
      </c>
      <c r="N133" s="24">
        <v>1181537</v>
      </c>
      <c r="O133" s="27">
        <f t="shared" si="270"/>
        <v>6200</v>
      </c>
      <c r="P133" s="28">
        <v>6200</v>
      </c>
      <c r="Q133" s="28">
        <v>6500</v>
      </c>
      <c r="R133" s="28">
        <v>5000</v>
      </c>
      <c r="S133" s="29">
        <v>0</v>
      </c>
      <c r="T133" s="29">
        <v>0</v>
      </c>
      <c r="U133" s="29">
        <v>0</v>
      </c>
      <c r="V133" s="29">
        <v>0</v>
      </c>
      <c r="W133" s="28">
        <v>0</v>
      </c>
      <c r="X133" s="29">
        <v>0</v>
      </c>
      <c r="Y133" s="29">
        <v>0</v>
      </c>
      <c r="Z133" s="28">
        <v>0</v>
      </c>
      <c r="AA133" s="29">
        <v>0</v>
      </c>
      <c r="AB133" s="28">
        <v>0</v>
      </c>
      <c r="AC133" s="29">
        <v>0</v>
      </c>
      <c r="AD133" s="28">
        <v>0</v>
      </c>
      <c r="AE133" s="28">
        <v>0</v>
      </c>
      <c r="AF133" s="29">
        <v>0</v>
      </c>
      <c r="AG133" s="29">
        <v>0</v>
      </c>
      <c r="AH133" s="29">
        <v>0</v>
      </c>
      <c r="AI133" s="29">
        <v>0</v>
      </c>
      <c r="AJ133" s="29">
        <v>0</v>
      </c>
      <c r="AK133" s="29">
        <v>0</v>
      </c>
      <c r="AL133" s="30">
        <v>0</v>
      </c>
      <c r="AM133" s="30">
        <v>0</v>
      </c>
      <c r="AN133" s="31">
        <v>0</v>
      </c>
      <c r="AO133" s="30">
        <v>3500</v>
      </c>
      <c r="AP133" s="31">
        <v>0</v>
      </c>
      <c r="AQ133" s="31">
        <v>0</v>
      </c>
      <c r="AR133" s="31">
        <v>0</v>
      </c>
      <c r="AS133" s="31">
        <v>0</v>
      </c>
      <c r="AT133" s="31">
        <v>0</v>
      </c>
      <c r="AU133" s="30">
        <v>0</v>
      </c>
      <c r="AW133" s="1"/>
      <c r="AX133" s="2">
        <f t="shared" si="271"/>
        <v>2640</v>
      </c>
      <c r="AY133" s="32">
        <f aca="true" t="shared" si="369" ref="AY133:AY155">IF(AX133&lt;0,0,AX133)*IF(Q133&gt;0,P133/Q133,0.9)</f>
        <v>2518.153846153846</v>
      </c>
      <c r="AZ133" s="186">
        <f aca="true" t="shared" si="370" ref="AZ133:AZ155">HLOOKUP($F133,yields,3)/100</f>
        <v>0.4729261498050349</v>
      </c>
      <c r="BA133" s="186">
        <f aca="true" t="shared" si="371" ref="BA133:BA155">(HLOOKUP($F133,yields,4)+(HLOOKUP($F133,yields,5)+HLOOKUP($F133,yields,6))/2+HLOOKUP($F133,yields,9)+HLOOKUP($F133,yields,11))/100</f>
        <v>0.08236513549671251</v>
      </c>
      <c r="BB133" s="186">
        <f aca="true" t="shared" si="372" ref="BB133:BB155">((HLOOKUP($F133,yields,5)+HLOOKUP($F133,yields,6))/2+HLOOKUP($F133,yields,7))/100</f>
        <v>0.2846822842738975</v>
      </c>
      <c r="BC133" s="53">
        <f t="shared" si="272"/>
        <v>6200</v>
      </c>
      <c r="BD133" s="53">
        <f aca="true" t="shared" si="373" ref="BD133:BD154">$AY133*AZ133/SUM($AZ133:$BB133)</f>
        <v>1417.7836615501155</v>
      </c>
      <c r="BE133" s="53">
        <f aca="true" t="shared" si="374" ref="BE133:BE154">$AY133*BA133/SUM($AZ133:$BB133)</f>
        <v>246.9221535682509</v>
      </c>
      <c r="BF133" s="53">
        <f aca="true" t="shared" si="375" ref="BF133:BF154">$AY133*BB133/SUM($AZ133:$BB133)</f>
        <v>853.4480310354796</v>
      </c>
      <c r="BG133" s="53"/>
      <c r="BH133" s="53">
        <f t="shared" si="273"/>
        <v>2</v>
      </c>
      <c r="BI133" s="53">
        <f t="shared" si="274"/>
        <v>3</v>
      </c>
      <c r="BJ133" s="53">
        <f t="shared" si="275"/>
        <v>3</v>
      </c>
      <c r="BK133" s="53">
        <f t="shared" si="276"/>
        <v>2</v>
      </c>
      <c r="BL133" s="53"/>
      <c r="BM133" s="53">
        <f t="shared" si="277"/>
        <v>0</v>
      </c>
      <c r="BN133" s="53">
        <f t="shared" si="278"/>
        <v>2</v>
      </c>
      <c r="BO133" s="53">
        <f t="shared" si="279"/>
        <v>2</v>
      </c>
      <c r="BP133" s="53">
        <f t="shared" si="280"/>
        <v>0</v>
      </c>
      <c r="BQ133" s="53"/>
      <c r="BR133" s="53">
        <f t="shared" si="281"/>
        <v>0</v>
      </c>
      <c r="BS133" s="53">
        <f t="shared" si="282"/>
        <v>34.2</v>
      </c>
      <c r="BT133" s="53">
        <f t="shared" si="283"/>
        <v>11</v>
      </c>
      <c r="BU133" s="53">
        <f aca="true" t="shared" si="376" ref="BU133:BU155">SUM(BR133:BT133)*BU$3</f>
        <v>21696</v>
      </c>
      <c r="BV133" s="53"/>
      <c r="BW133" s="53">
        <f t="shared" si="367"/>
        <v>10400</v>
      </c>
      <c r="BX133" s="53">
        <f t="shared" si="285"/>
        <v>-19176</v>
      </c>
      <c r="BY133" s="53">
        <f aca="true" t="shared" si="377" ref="BY133:BY155">BW133*CRF+BX133</f>
        <v>-17695.273971635408</v>
      </c>
      <c r="BZ133" s="240">
        <f t="shared" si="286"/>
        <v>5.2128000000000005</v>
      </c>
      <c r="CC133" s="1">
        <f aca="true" t="shared" si="378" ref="CC133:CC155">IF($O133=0,CT_idle,IF($O133&lt;Small_cutoff,CT_small,IF($O133&gt;Large_cutoff,CT_large,CT_med)))*CC$3</f>
        <v>0</v>
      </c>
      <c r="CD133" s="195">
        <f aca="true" t="shared" si="379" ref="CD133:CD155">IF($O133=0,CT_idle,IF($O133&lt;Small_cutoff,CT_small,IF($O133&gt;Large_cutoff,CT_large,CT_med)))*CD$3-CH133</f>
        <v>2873.2</v>
      </c>
      <c r="CE133" s="195">
        <f aca="true" t="shared" si="380" ref="CE133:CE155">CC133*CRF+CD133</f>
        <v>2873.2</v>
      </c>
      <c r="CF133" s="239">
        <f aca="true" t="shared" si="381" ref="CF133:CG155">IF($O133=0,CT_idle,IF($O133&lt;Small_cutoff,CT_small,IF($O133&gt;Large_cutoff,CT_large,CT_med)))*CF$3</f>
        <v>1.45</v>
      </c>
      <c r="CG133" s="239">
        <f t="shared" si="381"/>
        <v>9.96</v>
      </c>
      <c r="CH133" s="1">
        <f t="shared" si="287"/>
        <v>4780.8</v>
      </c>
      <c r="CI133" s="1"/>
      <c r="CJ133" s="1"/>
      <c r="CK133" s="211">
        <f aca="true" t="shared" si="382" ref="CK133:CK155">IF($O133=0,TCI_idle,IF($O133&lt;Small_cutoff,TCI_small,IF($O133&gt;Large_cutoff,TCI_large,TCI_med)))</f>
        <v>0</v>
      </c>
      <c r="CL133" s="211">
        <f aca="true" t="shared" si="383" ref="CL133:CL155">IF($O133=0,AOC_idle,IF($O133&lt;Small_cutoff,AOC_small,IF($O133&gt;Large_cutoff,AOC_large,AOC_med)))</f>
        <v>0</v>
      </c>
      <c r="CM133" s="211">
        <f aca="true" t="shared" si="384" ref="CM133:CM155">CK133*CRF+CL133</f>
        <v>0</v>
      </c>
      <c r="CN133" s="1"/>
      <c r="CO133" s="1"/>
      <c r="CP133" s="1"/>
      <c r="CQ133" s="1">
        <f t="shared" si="288"/>
        <v>0</v>
      </c>
      <c r="CR133" s="195">
        <f aca="true" t="shared" si="385" ref="CR133:CR154">(CQ$2/CQ$4+CQ$3)*CQ133</f>
        <v>0</v>
      </c>
      <c r="CS133" s="195"/>
      <c r="CT133" s="195"/>
      <c r="CU133" s="1"/>
      <c r="CV133" s="199">
        <f aca="true" t="shared" si="386" ref="CV133:CV155">Q133*CV$2*CV$3*WW_density/1000000</f>
        <v>3.3020573491076792</v>
      </c>
      <c r="CW133" s="199">
        <f aca="true" t="shared" si="387" ref="CW133:CW155">R133*CW$2*CW$3*WW_density/1000000</f>
        <v>1.5015039101664327</v>
      </c>
      <c r="CX133" s="199">
        <f aca="true" t="shared" si="388" ref="CX133:CX155">S133*CX$2*CX$3*WW_density/1000000</f>
        <v>0</v>
      </c>
      <c r="CY133" s="199">
        <f aca="true" t="shared" si="389" ref="CY133:CY155">T133*CY$2*CY$3*WW_density/1000000</f>
        <v>0</v>
      </c>
      <c r="CZ133" s="199">
        <f aca="true" t="shared" si="390" ref="CZ133:CZ155">U133*CZ$2*CZ$3*WW_density/1000000</f>
        <v>0</v>
      </c>
      <c r="DA133" s="199">
        <f aca="true" t="shared" si="391" ref="DA133:DA155">V133*DA$2*DA$3*WW_density/1000000</f>
        <v>0</v>
      </c>
      <c r="DB133" s="199">
        <f aca="true" t="shared" si="392" ref="DB133:DB155">W133*DB$2*DB$3*WW_density/1000000</f>
        <v>0</v>
      </c>
      <c r="DC133" s="199">
        <f aca="true" t="shared" si="393" ref="DC133:DC155">X133*DC$2*DC$3*WW_density/1000000</f>
        <v>0</v>
      </c>
      <c r="DD133" s="199">
        <f aca="true" t="shared" si="394" ref="DD133:DD155">Y133*DD$2*DD$3*WW_density/1000000</f>
        <v>0</v>
      </c>
      <c r="DE133" s="199">
        <f aca="true" t="shared" si="395" ref="DE133:DE155">Z133*DE$2*DE$3*WW_density/1000000</f>
        <v>0</v>
      </c>
      <c r="DF133" s="199">
        <f aca="true" t="shared" si="396" ref="DF133:DF155">AA133*DF$2*DF$3*WW_density/1000000</f>
        <v>0</v>
      </c>
      <c r="DG133" s="199">
        <f aca="true" t="shared" si="397" ref="DG133:DG155">AB133*DG$2*DG$3*WW_density/1000000</f>
        <v>0</v>
      </c>
      <c r="DH133" s="199">
        <f aca="true" t="shared" si="398" ref="DH133:DH155">AC133*DH$2*DH$3*WW_density/1000000</f>
        <v>0</v>
      </c>
      <c r="DI133" s="199">
        <f aca="true" t="shared" si="399" ref="DI133:DI155">AD133*DI$2*DI$3*WW_density/1000000</f>
        <v>0</v>
      </c>
      <c r="DJ133" s="199">
        <f aca="true" t="shared" si="400" ref="DJ133:DJ155">AE133*DJ$2*DJ$3*WW_density/1000000</f>
        <v>0</v>
      </c>
      <c r="DK133" s="199">
        <f aca="true" t="shared" si="401" ref="DK133:DK155">AF133*DK$2*DK$3*WW_density/1000000</f>
        <v>0</v>
      </c>
      <c r="DL133" s="199">
        <f aca="true" t="shared" si="402" ref="DL133:DL155">AG133*DL$2*DL$3*WW_density/1000000</f>
        <v>0</v>
      </c>
      <c r="DM133" s="199">
        <f aca="true" t="shared" si="403" ref="DM133:DM155">AH133*DM$2*DM$3*WW_density/1000000</f>
        <v>0</v>
      </c>
      <c r="DN133" s="199">
        <f aca="true" t="shared" si="404" ref="DN133:DN155">AI133*DN$2*DN$3*WW_density/1000000</f>
        <v>0</v>
      </c>
      <c r="DO133" s="199">
        <f aca="true" t="shared" si="405" ref="DO133:DO155">AJ133*DO$2*DO$3*WW_density/1000000</f>
        <v>0</v>
      </c>
      <c r="DP133" s="199">
        <f aca="true" t="shared" si="406" ref="DP133:DP155">AK133*DP$2*DP$3*WW_density/1000000</f>
        <v>0</v>
      </c>
      <c r="DQ133" s="199">
        <f aca="true" t="shared" si="407" ref="DQ133:DQ155">AL133*DQ$2*DQ$3*WW_density/1000000</f>
        <v>0</v>
      </c>
      <c r="DR133" s="199">
        <f aca="true" t="shared" si="408" ref="DR133:DR155">AM133*DR$2*DR$3*WW_density/1000000</f>
        <v>0</v>
      </c>
      <c r="DS133" s="199">
        <f aca="true" t="shared" si="409" ref="DS133:DS155">AN133*DS$2*DS$3*WW_density/1000000</f>
        <v>0</v>
      </c>
      <c r="DT133" s="199">
        <f aca="true" t="shared" si="410" ref="DT133:DT155">AO133*DT$2*DT$3*WW_density/1000000</f>
        <v>10.043392821335472</v>
      </c>
      <c r="DU133" s="199">
        <f aca="true" t="shared" si="411" ref="DU133:DU155">AP133*DU$2*DU$3*WW_density/1000000</f>
        <v>0</v>
      </c>
      <c r="DV133" s="199">
        <f aca="true" t="shared" si="412" ref="DV133:DV155">AQ133*DV$2*DV$3*WW_density/1000000</f>
        <v>0</v>
      </c>
      <c r="DW133" s="199">
        <f aca="true" t="shared" si="413" ref="DW133:DW155">AR133*DW$2*DW$3*WW_density/1000000</f>
        <v>0</v>
      </c>
      <c r="DX133" s="199">
        <f aca="true" t="shared" si="414" ref="DX133:DX155">AS133*DX$2*DX$3*WW_density/1000000</f>
        <v>0</v>
      </c>
      <c r="DY133" s="199">
        <f aca="true" t="shared" si="415" ref="DY133:DY155">AT133*DY$2*DY$3*WW_density/1000000</f>
        <v>0</v>
      </c>
      <c r="DZ133" s="199">
        <f aca="true" t="shared" si="416" ref="DZ133:DZ155">AU133*DZ$2*DZ$3*WW_density/1000000</f>
        <v>0</v>
      </c>
      <c r="EA133" s="199">
        <f aca="true" t="shared" si="417" ref="EA133:EA155">$AY133*EA$2*EA$3*WW_density/1000000</f>
        <v>1.4619935672749147</v>
      </c>
      <c r="EB133" s="199">
        <f aca="true" t="shared" si="418" ref="EB133:EB155">($AY133+O133)*EB$2*EB$3*WW_density/1000000</f>
        <v>0.2734427014237016</v>
      </c>
      <c r="EC133" s="202">
        <f t="shared" si="368"/>
        <v>16.5823903493082</v>
      </c>
      <c r="ED133" s="202">
        <f>SUM(CV133:DI133,DS133:DT133,DW133,DY133,EA133:EB133)</f>
        <v>16.5823903493082</v>
      </c>
      <c r="EE133" s="203">
        <f aca="true" t="shared" si="419" ref="EE133:EE154">ED133*365/2205</f>
        <v>2.744930828797049</v>
      </c>
      <c r="EF133" s="199"/>
      <c r="EI133" s="1">
        <f aca="true" t="shared" si="420" ref="EI133:EI155">IF(Q133=0,0,IF(Q133&gt;EI$2,EI$4,EI$3))</f>
        <v>0.18495710758393283</v>
      </c>
      <c r="EJ133" s="1">
        <f aca="true" t="shared" si="421" ref="EJ133:EJ155">IF(R133=0,0,IF(R133&gt;EJ$2,EJ$4,EJ$3))</f>
        <v>0.002442336444552</v>
      </c>
      <c r="EK133" s="1">
        <f aca="true" t="shared" si="422" ref="EK133:EK155">IF(S133=0,0,IF(S133&gt;EK$2,EK$4,EK$3))</f>
        <v>0</v>
      </c>
      <c r="EL133" s="1">
        <f aca="true" t="shared" si="423" ref="EL133:EL155">IF(T133=0,0,IF(T133&gt;EL$2,EL$4,EL$3))</f>
        <v>0</v>
      </c>
      <c r="EM133" s="1">
        <f aca="true" t="shared" si="424" ref="EM133:EM155">IF(U133=0,0,IF(U133&gt;EM$2,EM$4,EM$3))</f>
        <v>0</v>
      </c>
      <c r="EN133" s="1">
        <f aca="true" t="shared" si="425" ref="EN133:EN155">IF(V133=0,0,IF(V133&gt;EN$2,EN$4,EN$3))</f>
        <v>0</v>
      </c>
      <c r="EO133" s="1">
        <f aca="true" t="shared" si="426" ref="EO133:EO155">IF(W133=0,0,IF(W133&gt;EO$2,EO$4,EO$3))</f>
        <v>0</v>
      </c>
      <c r="EP133" s="1">
        <f aca="true" t="shared" si="427" ref="EP133:EP155">IF(X133=0,0,IF(X133&gt;EP$2,EP$4,EP$3))</f>
        <v>0</v>
      </c>
      <c r="EQ133" s="1">
        <f aca="true" t="shared" si="428" ref="EQ133:EQ155">IF(SUM(Y133:AA133)=0,0,IF(SUM(Y133:AA133)&gt;EQ$2,EQ$4,EQ$3))</f>
        <v>0</v>
      </c>
      <c r="ER133" s="1">
        <f aca="true" t="shared" si="429" ref="ER133:ER155">IF(Z133=0,0,IF(Z133&gt;ER$2,ER$4,ER$3))</f>
        <v>0</v>
      </c>
      <c r="ES133" s="1">
        <f aca="true" t="shared" si="430" ref="ES133:ES155">IF(AA133=0,0,IF(AA133&gt;ES$2,ES$4,ES$3))</f>
        <v>0</v>
      </c>
      <c r="ET133" s="1">
        <f aca="true" t="shared" si="431" ref="ET133:ET155">IF(AB133=0,0,IF(AB133&gt;ET$2,ET$4,ET$3))</f>
        <v>0</v>
      </c>
      <c r="EU133" s="1">
        <f aca="true" t="shared" si="432" ref="EU133:EU155">IF(AC133=0,0,IF(AC133&gt;EU$2,EU$4,EU$3))</f>
        <v>0</v>
      </c>
      <c r="EV133" s="1">
        <f aca="true" t="shared" si="433" ref="EV133:EV155">IF(AD133=0,0,IF(AD133&gt;EV$2,EV$4,EV$3))</f>
        <v>0</v>
      </c>
      <c r="EW133" s="1">
        <f aca="true" t="shared" si="434" ref="EW133:EW155">IF(AE133=0,0,IF(AE133&gt;EW$2,EW$4,EW$3))</f>
        <v>0</v>
      </c>
      <c r="EX133" s="1">
        <f aca="true" t="shared" si="435" ref="EX133:EX155">IF(AF133=0,0,IF(AF133&gt;EX$2,EX$4,EX$3))</f>
        <v>0</v>
      </c>
      <c r="EY133" s="1">
        <f aca="true" t="shared" si="436" ref="EY133:EY155">IF(AG133=0,0,IF(AG133&gt;EY$2,EY$4,EY$3))</f>
        <v>0</v>
      </c>
      <c r="EZ133" s="1">
        <f aca="true" t="shared" si="437" ref="EZ133:EZ155">IF(AH133=0,0,IF(AH133&gt;EZ$2,EZ$4,EZ$3))</f>
        <v>0</v>
      </c>
      <c r="FA133" s="1">
        <f aca="true" t="shared" si="438" ref="FA133:FA155">IF(AI133=0,0,IF(AI133&gt;FA$2,FA$4,FA$3))</f>
        <v>0</v>
      </c>
      <c r="FB133" s="1">
        <f aca="true" t="shared" si="439" ref="FB133:FB155">IF(AJ133=0,0,IF(AJ133&gt;FB$2,FB$4,FB$3))</f>
        <v>0</v>
      </c>
      <c r="FC133" s="1">
        <f aca="true" t="shared" si="440" ref="FC133:FC155">IF(AK133=0,0,IF(AK133&gt;FC$2,FC$4,FC$3))</f>
        <v>0</v>
      </c>
      <c r="FD133" s="1">
        <f aca="true" t="shared" si="441" ref="FD133:FD155">IF(AL133=0,0,IF(AL133&gt;FD$2,FD$4,FD$3))</f>
        <v>0</v>
      </c>
      <c r="FE133" s="1">
        <f aca="true" t="shared" si="442" ref="FE133:FE155">IF(AM133=0,0,IF(AM133&gt;FE$2,FE$4,FE$3))</f>
        <v>0</v>
      </c>
      <c r="FF133" s="1">
        <f aca="true" t="shared" si="443" ref="FF133:FF155">IF(AN133=0,0,IF(AN133&gt;FF$2,FF$4,FF$3))</f>
        <v>0</v>
      </c>
      <c r="FG133" s="1">
        <f aca="true" t="shared" si="444" ref="FG133:FG155">IF(AO133=0,0,IF(AO133&gt;FG$2,FG$4,FG$3))</f>
        <v>0.059350736407200004</v>
      </c>
      <c r="FH133" s="1">
        <f aca="true" t="shared" si="445" ref="FH133:FH155">IF(AP133=0,0,IF(AP133&gt;FH$2,FH$4,FH$3))</f>
        <v>0</v>
      </c>
      <c r="FI133" s="1">
        <f aca="true" t="shared" si="446" ref="FI133:FI155">IF(AQ133=0,0,IF(AQ133&gt;FI$2,FI$4,FI$3))</f>
        <v>0</v>
      </c>
      <c r="FJ133" s="1">
        <f aca="true" t="shared" si="447" ref="FJ133:FJ155">IF(AR133=0,0,IF(AR133&gt;FJ$2,FJ$4,FJ$3))</f>
        <v>0</v>
      </c>
      <c r="FK133" s="1">
        <f aca="true" t="shared" si="448" ref="FK133:FK155">IF(AS133=0,0,IF(AS133&gt;FK$2,FK$4,FK$3))</f>
        <v>0</v>
      </c>
      <c r="FL133" s="1">
        <f aca="true" t="shared" si="449" ref="FL133:FL155">IF(AT133=0,0,IF(AT133&gt;FL$2,FL$4,FL$3))</f>
        <v>0</v>
      </c>
      <c r="FM133" s="1">
        <f aca="true" t="shared" si="450" ref="FM133:FM155">IF(AU133=0,0,IF(AU133&gt;FM$2,FM$4,FM$3))</f>
        <v>0</v>
      </c>
      <c r="FN133" s="1">
        <f aca="true" t="shared" si="451" ref="FN133:FN155">IF(O133=0,0,IF(O133&gt;FN$2,FN$4,FN$3))</f>
        <v>4.472293968912</v>
      </c>
      <c r="FO133" s="1">
        <f>IF(O133=0,0,SUM(EI133:FN133))</f>
        <v>4.719044149347685</v>
      </c>
    </row>
    <row r="134" spans="1:171" s="45" customFormat="1" ht="12.75">
      <c r="A134" s="24">
        <v>25</v>
      </c>
      <c r="B134" s="25" t="s">
        <v>325</v>
      </c>
      <c r="C134" s="25" t="s">
        <v>314</v>
      </c>
      <c r="D134" s="26" t="s">
        <v>310</v>
      </c>
      <c r="E134" s="26">
        <v>5</v>
      </c>
      <c r="F134" s="26" t="s">
        <v>299</v>
      </c>
      <c r="G134" s="26" t="s">
        <v>74</v>
      </c>
      <c r="H134" s="26" t="s">
        <v>75</v>
      </c>
      <c r="I134" s="26">
        <v>1</v>
      </c>
      <c r="J134" s="26"/>
      <c r="K134" s="26">
        <f aca="true" t="shared" si="452" ref="K134:K155">IF(SUM(S134:AA134)&gt;0,1,0)</f>
        <v>0</v>
      </c>
      <c r="L134" s="26">
        <f aca="true" t="shared" si="453" ref="L134:L155">IF(AB134+AC134+AN134&gt;0,1,0)</f>
        <v>1</v>
      </c>
      <c r="M134" s="24">
        <v>351730</v>
      </c>
      <c r="N134" s="24">
        <v>1185500</v>
      </c>
      <c r="O134" s="27">
        <f aca="true" t="shared" si="454" ref="O134:O155">IF(Q134&gt;0,P134,IF(R134&gt;0,R134,W134+AE134)*0.9)</f>
        <v>26000</v>
      </c>
      <c r="P134" s="28">
        <v>26000</v>
      </c>
      <c r="Q134" s="28">
        <v>27000</v>
      </c>
      <c r="R134" s="28">
        <v>0</v>
      </c>
      <c r="S134" s="29">
        <v>0</v>
      </c>
      <c r="T134" s="29">
        <v>0</v>
      </c>
      <c r="U134" s="29">
        <v>0</v>
      </c>
      <c r="V134" s="29">
        <v>0</v>
      </c>
      <c r="W134" s="28">
        <v>0</v>
      </c>
      <c r="X134" s="29">
        <v>0</v>
      </c>
      <c r="Y134" s="29">
        <v>0</v>
      </c>
      <c r="Z134" s="28">
        <v>0</v>
      </c>
      <c r="AA134" s="29">
        <v>0</v>
      </c>
      <c r="AB134" s="28">
        <v>0</v>
      </c>
      <c r="AC134" s="31">
        <v>3300</v>
      </c>
      <c r="AD134" s="30">
        <v>0</v>
      </c>
      <c r="AE134" s="30">
        <v>5000</v>
      </c>
      <c r="AF134" s="31">
        <v>0</v>
      </c>
      <c r="AG134" s="31">
        <v>0</v>
      </c>
      <c r="AH134" s="31">
        <v>0</v>
      </c>
      <c r="AI134" s="31">
        <v>9000</v>
      </c>
      <c r="AJ134" s="31">
        <v>0</v>
      </c>
      <c r="AK134" s="31">
        <v>0</v>
      </c>
      <c r="AL134" s="30">
        <v>0</v>
      </c>
      <c r="AM134" s="30">
        <v>0</v>
      </c>
      <c r="AN134" s="31">
        <v>0</v>
      </c>
      <c r="AO134" s="30">
        <v>0</v>
      </c>
      <c r="AP134" s="31">
        <v>0</v>
      </c>
      <c r="AQ134" s="31">
        <v>0</v>
      </c>
      <c r="AR134" s="31">
        <v>0</v>
      </c>
      <c r="AS134" s="31">
        <v>0</v>
      </c>
      <c r="AT134" s="31">
        <v>0</v>
      </c>
      <c r="AU134" s="30">
        <v>5</v>
      </c>
      <c r="AW134" s="1"/>
      <c r="AX134" s="2">
        <f aca="true" t="shared" si="455" ref="AX134:AX155">IF(Q134+R134&gt;0,0.88*(IF(Q134=0,R134,Q134)-(AR134+AS134+AO134+AN134)),IF(W134=0,SUM(AE134:AI134),0.6*(W134+X134))+AM134)</f>
        <v>23760</v>
      </c>
      <c r="AY134" s="32">
        <f t="shared" si="369"/>
        <v>22880</v>
      </c>
      <c r="AZ134" s="186">
        <f t="shared" si="370"/>
        <v>0.4729261498050349</v>
      </c>
      <c r="BA134" s="186">
        <f t="shared" si="371"/>
        <v>0.08236513549671251</v>
      </c>
      <c r="BB134" s="186">
        <f t="shared" si="372"/>
        <v>0.2846822842738975</v>
      </c>
      <c r="BC134" s="53">
        <f aca="true" t="shared" si="456" ref="BC134:BC155">P134</f>
        <v>26000</v>
      </c>
      <c r="BD134" s="53">
        <f t="shared" si="373"/>
        <v>12882.012838815566</v>
      </c>
      <c r="BE134" s="53">
        <f t="shared" si="374"/>
        <v>2243.539997474968</v>
      </c>
      <c r="BF134" s="53">
        <f t="shared" si="375"/>
        <v>7754.447163709466</v>
      </c>
      <c r="BG134" s="53"/>
      <c r="BH134" s="53">
        <f aca="true" t="shared" si="457" ref="BH134:BH155">ROUNDUP(BC134/BH$3,0)+IF(P134=0,0,1)</f>
        <v>2</v>
      </c>
      <c r="BI134" s="53">
        <f aca="true" t="shared" si="458" ref="BI134:BI155">ROUNDUP(BD134/BI$3,0)+IF($AY134=0,0,2)</f>
        <v>3</v>
      </c>
      <c r="BJ134" s="53">
        <f aca="true" t="shared" si="459" ref="BJ134:BJ155">ROUNDUP(BE134/BJ$3,0)+IF($O134=0,0,2)</f>
        <v>3</v>
      </c>
      <c r="BK134" s="53">
        <f aca="true" t="shared" si="460" ref="BK134:BK155">ROUNDUP(BF134/BK$3,0)+IF($AY134=0,0,1)</f>
        <v>2</v>
      </c>
      <c r="BL134" s="53"/>
      <c r="BM134" s="53">
        <f aca="true" t="shared" si="461" ref="BM134:BM155">IF(H134="yes",0,ROUNDUP(BH134*$BM$3,0))</f>
        <v>1</v>
      </c>
      <c r="BN134" s="53">
        <f aca="true" t="shared" si="462" ref="BN134:BN155">ROUNDUP(BI134*BN$3,0)</f>
        <v>2</v>
      </c>
      <c r="BO134" s="53">
        <f aca="true" t="shared" si="463" ref="BO134:BO155">ROUNDUP(BJ134*BO$3,0)</f>
        <v>2</v>
      </c>
      <c r="BP134" s="53">
        <f aca="true" t="shared" si="464" ref="BP134:BP155">ROUNDUP(BK134*BP$3,0)</f>
        <v>0</v>
      </c>
      <c r="BQ134" s="53"/>
      <c r="BR134" s="53">
        <f aca="true" t="shared" si="465" ref="BR134:BR155">BR$3/2000*BM134</f>
        <v>3.25</v>
      </c>
      <c r="BS134" s="53">
        <f aca="true" t="shared" si="466" ref="BS134:BS155">BS$3/2000*BN134</f>
        <v>34.2</v>
      </c>
      <c r="BT134" s="53">
        <f aca="true" t="shared" si="467" ref="BT134:BT155">BT$3/2000*BO134</f>
        <v>11</v>
      </c>
      <c r="BU134" s="53">
        <f t="shared" si="376"/>
        <v>23256</v>
      </c>
      <c r="BV134" s="53"/>
      <c r="BW134" s="53">
        <f aca="true" t="shared" si="468" ref="BW134:BW155">SUM($BM134:$BO134)*BW$3</f>
        <v>13000</v>
      </c>
      <c r="BX134" s="53">
        <f aca="true" t="shared" si="469" ref="BX134:BX155">SUM($BM134:$BO134)*BX$3-BU134</f>
        <v>-20106</v>
      </c>
      <c r="BY134" s="53">
        <f t="shared" si="377"/>
        <v>-18255.092464544257</v>
      </c>
      <c r="BZ134" s="240">
        <f aca="true" t="shared" si="470" ref="BZ134:BZ155">BR134*BR$158+BS134*BS$158+BT134*BT$158</f>
        <v>5.5020500000000006</v>
      </c>
      <c r="CC134" s="1">
        <f t="shared" si="378"/>
        <v>0</v>
      </c>
      <c r="CD134" s="195">
        <f t="shared" si="379"/>
        <v>2873.2</v>
      </c>
      <c r="CE134" s="195">
        <f t="shared" si="380"/>
        <v>2873.2</v>
      </c>
      <c r="CF134" s="239">
        <f t="shared" si="381"/>
        <v>1.45</v>
      </c>
      <c r="CG134" s="239">
        <f t="shared" si="381"/>
        <v>9.96</v>
      </c>
      <c r="CH134" s="1">
        <f aca="true" t="shared" si="471" ref="CH134:CH155">$BU$3*CG134</f>
        <v>4780.8</v>
      </c>
      <c r="CI134" s="1"/>
      <c r="CJ134" s="1"/>
      <c r="CK134" s="211">
        <f t="shared" si="382"/>
        <v>0</v>
      </c>
      <c r="CL134" s="211">
        <f t="shared" si="383"/>
        <v>0</v>
      </c>
      <c r="CM134" s="211">
        <f t="shared" si="384"/>
        <v>0</v>
      </c>
      <c r="CN134" s="1"/>
      <c r="CO134" s="1"/>
      <c r="CP134" s="1"/>
      <c r="CQ134" s="1">
        <f aca="true" t="shared" si="472" ref="CQ134:CQ155">IF(EE134&lt;10,0,1)</f>
        <v>0</v>
      </c>
      <c r="CR134" s="195">
        <f t="shared" si="385"/>
        <v>0</v>
      </c>
      <c r="CS134" s="195"/>
      <c r="CT134" s="195"/>
      <c r="CU134" s="1"/>
      <c r="CV134" s="199">
        <f t="shared" si="386"/>
        <v>13.71623821937036</v>
      </c>
      <c r="CW134" s="199">
        <f t="shared" si="387"/>
        <v>0</v>
      </c>
      <c r="CX134" s="199">
        <f t="shared" si="388"/>
        <v>0</v>
      </c>
      <c r="CY134" s="199">
        <f t="shared" si="389"/>
        <v>0</v>
      </c>
      <c r="CZ134" s="199">
        <f t="shared" si="390"/>
        <v>0</v>
      </c>
      <c r="DA134" s="199">
        <f t="shared" si="391"/>
        <v>0</v>
      </c>
      <c r="DB134" s="199">
        <f t="shared" si="392"/>
        <v>0</v>
      </c>
      <c r="DC134" s="199">
        <f t="shared" si="393"/>
        <v>0</v>
      </c>
      <c r="DD134" s="199">
        <f t="shared" si="394"/>
        <v>0</v>
      </c>
      <c r="DE134" s="199">
        <f t="shared" si="395"/>
        <v>0</v>
      </c>
      <c r="DF134" s="199">
        <f t="shared" si="396"/>
        <v>0</v>
      </c>
      <c r="DG134" s="199">
        <f t="shared" si="397"/>
        <v>0</v>
      </c>
      <c r="DH134" s="199">
        <f t="shared" si="398"/>
        <v>4.3768838981351506</v>
      </c>
      <c r="DI134" s="199">
        <f t="shared" si="399"/>
        <v>0</v>
      </c>
      <c r="DJ134" s="199">
        <f t="shared" si="400"/>
        <v>0.6831842791257268</v>
      </c>
      <c r="DK134" s="199">
        <f t="shared" si="401"/>
        <v>0</v>
      </c>
      <c r="DL134" s="199">
        <f t="shared" si="402"/>
        <v>0</v>
      </c>
      <c r="DM134" s="199">
        <f t="shared" si="403"/>
        <v>0</v>
      </c>
      <c r="DN134" s="199">
        <f t="shared" si="404"/>
        <v>1.2297317024263084</v>
      </c>
      <c r="DO134" s="199">
        <f t="shared" si="405"/>
        <v>0</v>
      </c>
      <c r="DP134" s="199">
        <f t="shared" si="406"/>
        <v>0</v>
      </c>
      <c r="DQ134" s="199">
        <f t="shared" si="407"/>
        <v>0</v>
      </c>
      <c r="DR134" s="199">
        <f t="shared" si="408"/>
        <v>0</v>
      </c>
      <c r="DS134" s="199">
        <f t="shared" si="409"/>
        <v>0</v>
      </c>
      <c r="DT134" s="199">
        <f t="shared" si="410"/>
        <v>0</v>
      </c>
      <c r="DU134" s="199">
        <f t="shared" si="411"/>
        <v>0</v>
      </c>
      <c r="DV134" s="199">
        <f t="shared" si="412"/>
        <v>0</v>
      </c>
      <c r="DW134" s="199">
        <f t="shared" si="413"/>
        <v>0</v>
      </c>
      <c r="DX134" s="199">
        <f t="shared" si="414"/>
        <v>0</v>
      </c>
      <c r="DY134" s="199">
        <f t="shared" si="415"/>
        <v>0</v>
      </c>
      <c r="DZ134" s="199">
        <f t="shared" si="416"/>
        <v>0.00032365750952476443</v>
      </c>
      <c r="EA134" s="199">
        <f t="shared" si="417"/>
        <v>13.28370499298175</v>
      </c>
      <c r="EB134" s="199">
        <f t="shared" si="418"/>
        <v>1.5331088991377582</v>
      </c>
      <c r="EC134" s="202">
        <f t="shared" si="368"/>
        <v>34.823175648686586</v>
      </c>
      <c r="ED134" s="202">
        <f>SUM(CV134:DI134,DS134:DT134,DW134,DY134,EA134:EB134)</f>
        <v>32.90993600962502</v>
      </c>
      <c r="EE134" s="203">
        <f t="shared" si="419"/>
        <v>5.447676482318881</v>
      </c>
      <c r="EF134" s="199"/>
      <c r="EI134" s="1">
        <f t="shared" si="420"/>
        <v>0.18495710758393283</v>
      </c>
      <c r="EJ134" s="1">
        <f t="shared" si="421"/>
        <v>0</v>
      </c>
      <c r="EK134" s="1">
        <f t="shared" si="422"/>
        <v>0</v>
      </c>
      <c r="EL134" s="1">
        <f t="shared" si="423"/>
        <v>0</v>
      </c>
      <c r="EM134" s="1">
        <f t="shared" si="424"/>
        <v>0</v>
      </c>
      <c r="EN134" s="1">
        <f t="shared" si="425"/>
        <v>0</v>
      </c>
      <c r="EO134" s="1">
        <f t="shared" si="426"/>
        <v>0</v>
      </c>
      <c r="EP134" s="1">
        <f t="shared" si="427"/>
        <v>0</v>
      </c>
      <c r="EQ134" s="1">
        <f t="shared" si="428"/>
        <v>0</v>
      </c>
      <c r="ER134" s="1">
        <f t="shared" si="429"/>
        <v>0</v>
      </c>
      <c r="ES134" s="1">
        <f t="shared" si="430"/>
        <v>0</v>
      </c>
      <c r="ET134" s="1">
        <f t="shared" si="431"/>
        <v>0</v>
      </c>
      <c r="EU134" s="1">
        <f t="shared" si="432"/>
        <v>0.07346601658824001</v>
      </c>
      <c r="EV134" s="1">
        <f t="shared" si="433"/>
        <v>0</v>
      </c>
      <c r="EW134" s="1">
        <f t="shared" si="434"/>
        <v>0.059350736407200004</v>
      </c>
      <c r="EX134" s="1">
        <f t="shared" si="435"/>
        <v>0</v>
      </c>
      <c r="EY134" s="1">
        <f t="shared" si="436"/>
        <v>0</v>
      </c>
      <c r="EZ134" s="1">
        <f t="shared" si="437"/>
        <v>0</v>
      </c>
      <c r="FA134" s="1">
        <f t="shared" si="438"/>
        <v>0.059350736407200004</v>
      </c>
      <c r="FB134" s="1">
        <f t="shared" si="439"/>
        <v>0</v>
      </c>
      <c r="FC134" s="1">
        <f t="shared" si="440"/>
        <v>0</v>
      </c>
      <c r="FD134" s="1">
        <f t="shared" si="441"/>
        <v>0</v>
      </c>
      <c r="FE134" s="1">
        <f t="shared" si="442"/>
        <v>0</v>
      </c>
      <c r="FF134" s="1">
        <f t="shared" si="443"/>
        <v>0</v>
      </c>
      <c r="FG134" s="1">
        <f t="shared" si="444"/>
        <v>0</v>
      </c>
      <c r="FH134" s="1">
        <f t="shared" si="445"/>
        <v>0</v>
      </c>
      <c r="FI134" s="1">
        <f t="shared" si="446"/>
        <v>0</v>
      </c>
      <c r="FJ134" s="1">
        <f t="shared" si="447"/>
        <v>0</v>
      </c>
      <c r="FK134" s="1">
        <f t="shared" si="448"/>
        <v>0</v>
      </c>
      <c r="FL134" s="1">
        <f t="shared" si="449"/>
        <v>0</v>
      </c>
      <c r="FM134" s="1">
        <f t="shared" si="450"/>
        <v>0.0034234991863440005</v>
      </c>
      <c r="FN134" s="1">
        <f t="shared" si="451"/>
        <v>4.472293968912</v>
      </c>
      <c r="FO134" s="1">
        <f>IF(O134=0,0,SUM(EI134:FN134))</f>
        <v>4.852842065084917</v>
      </c>
    </row>
    <row r="135" spans="1:171" s="45" customFormat="1" ht="12.75">
      <c r="A135" s="24">
        <v>26</v>
      </c>
      <c r="B135" s="25" t="s">
        <v>326</v>
      </c>
      <c r="C135" s="25" t="s">
        <v>327</v>
      </c>
      <c r="D135" s="26" t="s">
        <v>310</v>
      </c>
      <c r="E135" s="26">
        <v>5</v>
      </c>
      <c r="F135" s="26" t="s">
        <v>299</v>
      </c>
      <c r="G135" s="26" t="s">
        <v>74</v>
      </c>
      <c r="H135" s="26" t="s">
        <v>75</v>
      </c>
      <c r="I135" s="26">
        <v>1</v>
      </c>
      <c r="J135" s="26"/>
      <c r="K135" s="26">
        <f t="shared" si="452"/>
        <v>0</v>
      </c>
      <c r="L135" s="26">
        <f t="shared" si="453"/>
        <v>1</v>
      </c>
      <c r="M135" s="24">
        <v>335408</v>
      </c>
      <c r="N135" s="24">
        <v>1180945</v>
      </c>
      <c r="O135" s="27">
        <f t="shared" si="454"/>
        <v>50000</v>
      </c>
      <c r="P135" s="28">
        <v>50000</v>
      </c>
      <c r="Q135" s="28">
        <v>53000</v>
      </c>
      <c r="R135" s="28">
        <v>30000</v>
      </c>
      <c r="S135" s="29">
        <v>0</v>
      </c>
      <c r="T135" s="29">
        <v>0</v>
      </c>
      <c r="U135" s="29">
        <v>0</v>
      </c>
      <c r="V135" s="29">
        <v>0</v>
      </c>
      <c r="W135" s="28">
        <v>0</v>
      </c>
      <c r="X135" s="29">
        <v>0</v>
      </c>
      <c r="Y135" s="29">
        <v>0</v>
      </c>
      <c r="Z135" s="28">
        <v>0</v>
      </c>
      <c r="AA135" s="29">
        <v>0</v>
      </c>
      <c r="AB135" s="28">
        <v>0</v>
      </c>
      <c r="AC135" s="31">
        <v>8500</v>
      </c>
      <c r="AD135" s="30">
        <v>0</v>
      </c>
      <c r="AE135" s="30">
        <v>9500</v>
      </c>
      <c r="AF135" s="31">
        <v>0</v>
      </c>
      <c r="AG135" s="31">
        <v>0</v>
      </c>
      <c r="AH135" s="31">
        <v>8000</v>
      </c>
      <c r="AI135" s="31">
        <v>0</v>
      </c>
      <c r="AJ135" s="31">
        <v>0</v>
      </c>
      <c r="AK135" s="31">
        <v>10800</v>
      </c>
      <c r="AL135" s="30">
        <v>0</v>
      </c>
      <c r="AM135" s="30">
        <v>0</v>
      </c>
      <c r="AN135" s="31">
        <v>0</v>
      </c>
      <c r="AO135" s="30">
        <v>16500</v>
      </c>
      <c r="AP135" s="31">
        <v>0</v>
      </c>
      <c r="AQ135" s="31">
        <v>0</v>
      </c>
      <c r="AR135" s="31">
        <v>0</v>
      </c>
      <c r="AS135" s="31">
        <v>0</v>
      </c>
      <c r="AT135" s="31">
        <v>0</v>
      </c>
      <c r="AU135" s="30">
        <v>40</v>
      </c>
      <c r="AW135" s="1"/>
      <c r="AX135" s="2">
        <f t="shared" si="455"/>
        <v>32120</v>
      </c>
      <c r="AY135" s="32">
        <f t="shared" si="369"/>
        <v>30301.88679245283</v>
      </c>
      <c r="AZ135" s="186">
        <f t="shared" si="370"/>
        <v>0.4729261498050349</v>
      </c>
      <c r="BA135" s="186">
        <f t="shared" si="371"/>
        <v>0.08236513549671251</v>
      </c>
      <c r="BB135" s="186">
        <f t="shared" si="372"/>
        <v>0.2846822842738975</v>
      </c>
      <c r="BC135" s="53">
        <f t="shared" si="456"/>
        <v>50000</v>
      </c>
      <c r="BD135" s="53">
        <f t="shared" si="373"/>
        <v>17060.72092223397</v>
      </c>
      <c r="BE135" s="53">
        <f t="shared" si="374"/>
        <v>2971.306600429475</v>
      </c>
      <c r="BF135" s="53">
        <f t="shared" si="375"/>
        <v>10269.859269789387</v>
      </c>
      <c r="BG135" s="53"/>
      <c r="BH135" s="53">
        <f t="shared" si="457"/>
        <v>3</v>
      </c>
      <c r="BI135" s="53">
        <f t="shared" si="458"/>
        <v>3</v>
      </c>
      <c r="BJ135" s="53">
        <f t="shared" si="459"/>
        <v>3</v>
      </c>
      <c r="BK135" s="53">
        <f t="shared" si="460"/>
        <v>2</v>
      </c>
      <c r="BL135" s="53"/>
      <c r="BM135" s="53">
        <f t="shared" si="461"/>
        <v>2</v>
      </c>
      <c r="BN135" s="53">
        <f t="shared" si="462"/>
        <v>2</v>
      </c>
      <c r="BO135" s="53">
        <f t="shared" si="463"/>
        <v>2</v>
      </c>
      <c r="BP135" s="53">
        <f t="shared" si="464"/>
        <v>0</v>
      </c>
      <c r="BQ135" s="53"/>
      <c r="BR135" s="53">
        <f t="shared" si="465"/>
        <v>6.5</v>
      </c>
      <c r="BS135" s="53">
        <f t="shared" si="466"/>
        <v>34.2</v>
      </c>
      <c r="BT135" s="53">
        <f t="shared" si="467"/>
        <v>11</v>
      </c>
      <c r="BU135" s="53">
        <f t="shared" si="376"/>
        <v>24816</v>
      </c>
      <c r="BV135" s="53"/>
      <c r="BW135" s="53">
        <f t="shared" si="468"/>
        <v>15600</v>
      </c>
      <c r="BX135" s="53">
        <f t="shared" si="469"/>
        <v>-21036</v>
      </c>
      <c r="BY135" s="53">
        <f t="shared" si="377"/>
        <v>-18814.91095745311</v>
      </c>
      <c r="BZ135" s="240">
        <f t="shared" si="470"/>
        <v>5.791300000000001</v>
      </c>
      <c r="CC135" s="1">
        <f t="shared" si="378"/>
        <v>0</v>
      </c>
      <c r="CD135" s="195">
        <f t="shared" si="379"/>
        <v>2873.2</v>
      </c>
      <c r="CE135" s="195">
        <f t="shared" si="380"/>
        <v>2873.2</v>
      </c>
      <c r="CF135" s="239">
        <f t="shared" si="381"/>
        <v>1.45</v>
      </c>
      <c r="CG135" s="239">
        <f t="shared" si="381"/>
        <v>9.96</v>
      </c>
      <c r="CH135" s="1">
        <f t="shared" si="471"/>
        <v>4780.8</v>
      </c>
      <c r="CI135" s="1"/>
      <c r="CJ135" s="1"/>
      <c r="CK135" s="211">
        <f t="shared" si="382"/>
        <v>0</v>
      </c>
      <c r="CL135" s="211">
        <f t="shared" si="383"/>
        <v>0</v>
      </c>
      <c r="CM135" s="211">
        <f t="shared" si="384"/>
        <v>0</v>
      </c>
      <c r="CN135" s="1"/>
      <c r="CO135" s="1"/>
      <c r="CP135" s="1"/>
      <c r="CQ135" s="1">
        <f t="shared" si="472"/>
        <v>1</v>
      </c>
      <c r="CR135" s="195">
        <f t="shared" si="385"/>
        <v>10000</v>
      </c>
      <c r="CS135" s="195"/>
      <c r="CT135" s="195"/>
      <c r="CU135" s="1"/>
      <c r="CV135" s="199">
        <f t="shared" si="386"/>
        <v>26.92446761580108</v>
      </c>
      <c r="CW135" s="199">
        <f t="shared" si="387"/>
        <v>9.009023460998595</v>
      </c>
      <c r="CX135" s="199">
        <f t="shared" si="388"/>
        <v>0</v>
      </c>
      <c r="CY135" s="199">
        <f t="shared" si="389"/>
        <v>0</v>
      </c>
      <c r="CZ135" s="199">
        <f t="shared" si="390"/>
        <v>0</v>
      </c>
      <c r="DA135" s="199">
        <f t="shared" si="391"/>
        <v>0</v>
      </c>
      <c r="DB135" s="199">
        <f t="shared" si="392"/>
        <v>0</v>
      </c>
      <c r="DC135" s="199">
        <f t="shared" si="393"/>
        <v>0</v>
      </c>
      <c r="DD135" s="199">
        <f t="shared" si="394"/>
        <v>0</v>
      </c>
      <c r="DE135" s="199">
        <f t="shared" si="395"/>
        <v>0</v>
      </c>
      <c r="DF135" s="199">
        <f t="shared" si="396"/>
        <v>0</v>
      </c>
      <c r="DG135" s="199">
        <f t="shared" si="397"/>
        <v>0</v>
      </c>
      <c r="DH135" s="199">
        <f t="shared" si="398"/>
        <v>11.273791858832965</v>
      </c>
      <c r="DI135" s="199">
        <f t="shared" si="399"/>
        <v>0</v>
      </c>
      <c r="DJ135" s="199">
        <f t="shared" si="400"/>
        <v>1.298050130338881</v>
      </c>
      <c r="DK135" s="199">
        <f t="shared" si="401"/>
        <v>0</v>
      </c>
      <c r="DL135" s="199">
        <f t="shared" si="402"/>
        <v>0</v>
      </c>
      <c r="DM135" s="199">
        <f t="shared" si="403"/>
        <v>1.0930948466011627</v>
      </c>
      <c r="DN135" s="199">
        <f t="shared" si="404"/>
        <v>0</v>
      </c>
      <c r="DO135" s="199">
        <f t="shared" si="405"/>
        <v>0</v>
      </c>
      <c r="DP135" s="199">
        <f t="shared" si="406"/>
        <v>1.4756780429115701</v>
      </c>
      <c r="DQ135" s="199">
        <f t="shared" si="407"/>
        <v>0</v>
      </c>
      <c r="DR135" s="199">
        <f t="shared" si="408"/>
        <v>0</v>
      </c>
      <c r="DS135" s="199">
        <f t="shared" si="409"/>
        <v>0</v>
      </c>
      <c r="DT135" s="199">
        <f t="shared" si="410"/>
        <v>47.34742330058151</v>
      </c>
      <c r="DU135" s="199">
        <f t="shared" si="411"/>
        <v>0</v>
      </c>
      <c r="DV135" s="199">
        <f t="shared" si="412"/>
        <v>0</v>
      </c>
      <c r="DW135" s="199">
        <f t="shared" si="413"/>
        <v>0</v>
      </c>
      <c r="DX135" s="199">
        <f t="shared" si="414"/>
        <v>0</v>
      </c>
      <c r="DY135" s="199">
        <f t="shared" si="415"/>
        <v>0</v>
      </c>
      <c r="DZ135" s="199">
        <f t="shared" si="416"/>
        <v>0.0025892600761981154</v>
      </c>
      <c r="EA135" s="199">
        <f t="shared" si="417"/>
        <v>17.59271524832489</v>
      </c>
      <c r="EB135" s="199">
        <f t="shared" si="418"/>
        <v>2.5186484709300787</v>
      </c>
      <c r="EC135" s="202">
        <f t="shared" si="368"/>
        <v>118.53548223539691</v>
      </c>
      <c r="ED135" s="202">
        <f>SUM(CV135:DI135,DS135:DT135,DW135,DY135,EA135:EB135)</f>
        <v>114.66606995546911</v>
      </c>
      <c r="EE135" s="203">
        <f t="shared" si="419"/>
        <v>18.981004777209172</v>
      </c>
      <c r="EF135" s="199"/>
      <c r="EI135" s="1">
        <f t="shared" si="420"/>
        <v>0.5699766927982697</v>
      </c>
      <c r="EJ135" s="1">
        <f t="shared" si="421"/>
        <v>0.010606863429336002</v>
      </c>
      <c r="EK135" s="1">
        <f t="shared" si="422"/>
        <v>0</v>
      </c>
      <c r="EL135" s="1">
        <f t="shared" si="423"/>
        <v>0</v>
      </c>
      <c r="EM135" s="1">
        <f t="shared" si="424"/>
        <v>0</v>
      </c>
      <c r="EN135" s="1">
        <f t="shared" si="425"/>
        <v>0</v>
      </c>
      <c r="EO135" s="1">
        <f t="shared" si="426"/>
        <v>0</v>
      </c>
      <c r="EP135" s="1">
        <f t="shared" si="427"/>
        <v>0</v>
      </c>
      <c r="EQ135" s="1">
        <f t="shared" si="428"/>
        <v>0</v>
      </c>
      <c r="ER135" s="1">
        <f t="shared" si="429"/>
        <v>0</v>
      </c>
      <c r="ES135" s="1">
        <f t="shared" si="430"/>
        <v>0</v>
      </c>
      <c r="ET135" s="1">
        <f t="shared" si="431"/>
        <v>0</v>
      </c>
      <c r="EU135" s="1">
        <f t="shared" si="432"/>
        <v>0.07346601658824001</v>
      </c>
      <c r="EV135" s="1">
        <f t="shared" si="433"/>
        <v>0</v>
      </c>
      <c r="EW135" s="1">
        <f t="shared" si="434"/>
        <v>0.059350736407200004</v>
      </c>
      <c r="EX135" s="1">
        <f t="shared" si="435"/>
        <v>0</v>
      </c>
      <c r="EY135" s="1">
        <f t="shared" si="436"/>
        <v>0</v>
      </c>
      <c r="EZ135" s="1">
        <f t="shared" si="437"/>
        <v>0.059350736407200004</v>
      </c>
      <c r="FA135" s="1">
        <f t="shared" si="438"/>
        <v>0</v>
      </c>
      <c r="FB135" s="1">
        <f t="shared" si="439"/>
        <v>0</v>
      </c>
      <c r="FC135" s="1">
        <f t="shared" si="440"/>
        <v>0.059350736407200004</v>
      </c>
      <c r="FD135" s="1">
        <f t="shared" si="441"/>
        <v>0</v>
      </c>
      <c r="FE135" s="1">
        <f t="shared" si="442"/>
        <v>0</v>
      </c>
      <c r="FF135" s="1">
        <f t="shared" si="443"/>
        <v>0</v>
      </c>
      <c r="FG135" s="1">
        <f t="shared" si="444"/>
        <v>0.059350736407200004</v>
      </c>
      <c r="FH135" s="1">
        <f t="shared" si="445"/>
        <v>0</v>
      </c>
      <c r="FI135" s="1">
        <f t="shared" si="446"/>
        <v>0</v>
      </c>
      <c r="FJ135" s="1">
        <f t="shared" si="447"/>
        <v>0</v>
      </c>
      <c r="FK135" s="1">
        <f t="shared" si="448"/>
        <v>0</v>
      </c>
      <c r="FL135" s="1">
        <f t="shared" si="449"/>
        <v>0</v>
      </c>
      <c r="FM135" s="1">
        <f t="shared" si="450"/>
        <v>0.0034234991863440005</v>
      </c>
      <c r="FN135" s="1">
        <f t="shared" si="451"/>
        <v>4.472293968912</v>
      </c>
      <c r="FO135" s="1">
        <f>IF(O135=0,0,SUM(EI135:FN135))</f>
        <v>5.36716998654299</v>
      </c>
    </row>
    <row r="136" spans="1:171" s="45" customFormat="1" ht="12.75">
      <c r="A136" s="24">
        <v>27</v>
      </c>
      <c r="B136" s="25" t="s">
        <v>328</v>
      </c>
      <c r="C136" s="25" t="s">
        <v>314</v>
      </c>
      <c r="D136" s="26" t="s">
        <v>310</v>
      </c>
      <c r="E136" s="26">
        <v>5</v>
      </c>
      <c r="F136" s="26" t="s">
        <v>299</v>
      </c>
      <c r="G136" s="26" t="s">
        <v>74</v>
      </c>
      <c r="H136" s="26" t="s">
        <v>75</v>
      </c>
      <c r="I136" s="26">
        <v>1</v>
      </c>
      <c r="J136" s="26"/>
      <c r="K136" s="26">
        <f t="shared" si="452"/>
        <v>1</v>
      </c>
      <c r="L136" s="26">
        <f t="shared" si="453"/>
        <v>1</v>
      </c>
      <c r="M136" s="24">
        <v>352348</v>
      </c>
      <c r="N136" s="24">
        <v>1190247</v>
      </c>
      <c r="O136" s="27">
        <f t="shared" si="454"/>
        <v>15000</v>
      </c>
      <c r="P136" s="28">
        <v>15000</v>
      </c>
      <c r="Q136" s="28">
        <v>25000</v>
      </c>
      <c r="R136" s="28">
        <v>14300</v>
      </c>
      <c r="S136" s="29">
        <v>0</v>
      </c>
      <c r="T136" s="29">
        <v>0</v>
      </c>
      <c r="U136" s="29">
        <v>5000</v>
      </c>
      <c r="V136" s="29">
        <v>0</v>
      </c>
      <c r="W136" s="28">
        <v>0</v>
      </c>
      <c r="X136" s="29">
        <v>0</v>
      </c>
      <c r="Y136" s="29">
        <v>0</v>
      </c>
      <c r="Z136" s="28">
        <v>0</v>
      </c>
      <c r="AA136" s="29">
        <v>0</v>
      </c>
      <c r="AB136" s="28">
        <v>0</v>
      </c>
      <c r="AC136" s="29">
        <v>0</v>
      </c>
      <c r="AD136" s="28">
        <v>0</v>
      </c>
      <c r="AE136" s="28">
        <v>0</v>
      </c>
      <c r="AF136" s="29">
        <v>0</v>
      </c>
      <c r="AG136" s="29">
        <v>0</v>
      </c>
      <c r="AH136" s="29">
        <v>0</v>
      </c>
      <c r="AI136" s="29">
        <v>3000</v>
      </c>
      <c r="AJ136" s="29">
        <v>0</v>
      </c>
      <c r="AK136" s="29">
        <v>0</v>
      </c>
      <c r="AL136" s="28">
        <v>0</v>
      </c>
      <c r="AM136" s="30">
        <v>0</v>
      </c>
      <c r="AN136" s="31">
        <v>1500</v>
      </c>
      <c r="AO136" s="30">
        <v>8000</v>
      </c>
      <c r="AP136" s="31">
        <v>0</v>
      </c>
      <c r="AQ136" s="31">
        <v>0</v>
      </c>
      <c r="AR136" s="31">
        <v>5800</v>
      </c>
      <c r="AS136" s="31">
        <v>0</v>
      </c>
      <c r="AT136" s="31">
        <v>4</v>
      </c>
      <c r="AU136" s="30">
        <v>3</v>
      </c>
      <c r="AW136" s="1"/>
      <c r="AX136" s="2">
        <f t="shared" si="455"/>
        <v>8536</v>
      </c>
      <c r="AY136" s="32">
        <f t="shared" si="369"/>
        <v>5121.599999999999</v>
      </c>
      <c r="AZ136" s="186">
        <f t="shared" si="370"/>
        <v>0.4729261498050349</v>
      </c>
      <c r="BA136" s="186">
        <f t="shared" si="371"/>
        <v>0.08236513549671251</v>
      </c>
      <c r="BB136" s="186">
        <f t="shared" si="372"/>
        <v>0.2846822842738975</v>
      </c>
      <c r="BC136" s="53">
        <f t="shared" si="456"/>
        <v>15000</v>
      </c>
      <c r="BD136" s="53">
        <f t="shared" si="373"/>
        <v>2883.589027765638</v>
      </c>
      <c r="BE136" s="53">
        <f t="shared" si="374"/>
        <v>502.2077994347812</v>
      </c>
      <c r="BF136" s="53">
        <f t="shared" si="375"/>
        <v>1735.8031727995801</v>
      </c>
      <c r="BG136" s="53"/>
      <c r="BH136" s="53">
        <f t="shared" si="457"/>
        <v>2</v>
      </c>
      <c r="BI136" s="53">
        <f t="shared" si="458"/>
        <v>3</v>
      </c>
      <c r="BJ136" s="53">
        <f t="shared" si="459"/>
        <v>3</v>
      </c>
      <c r="BK136" s="53">
        <f t="shared" si="460"/>
        <v>2</v>
      </c>
      <c r="BL136" s="53"/>
      <c r="BM136" s="53">
        <f t="shared" si="461"/>
        <v>1</v>
      </c>
      <c r="BN136" s="53">
        <f t="shared" si="462"/>
        <v>2</v>
      </c>
      <c r="BO136" s="53">
        <f t="shared" si="463"/>
        <v>2</v>
      </c>
      <c r="BP136" s="53">
        <f t="shared" si="464"/>
        <v>0</v>
      </c>
      <c r="BQ136" s="53"/>
      <c r="BR136" s="53">
        <f t="shared" si="465"/>
        <v>3.25</v>
      </c>
      <c r="BS136" s="53">
        <f t="shared" si="466"/>
        <v>34.2</v>
      </c>
      <c r="BT136" s="53">
        <f t="shared" si="467"/>
        <v>11</v>
      </c>
      <c r="BU136" s="53">
        <f t="shared" si="376"/>
        <v>23256</v>
      </c>
      <c r="BV136" s="53"/>
      <c r="BW136" s="53">
        <f t="shared" si="468"/>
        <v>13000</v>
      </c>
      <c r="BX136" s="53">
        <f t="shared" si="469"/>
        <v>-20106</v>
      </c>
      <c r="BY136" s="53">
        <f t="shared" si="377"/>
        <v>-18255.092464544257</v>
      </c>
      <c r="BZ136" s="240">
        <f t="shared" si="470"/>
        <v>5.5020500000000006</v>
      </c>
      <c r="CC136" s="1">
        <f t="shared" si="378"/>
        <v>0</v>
      </c>
      <c r="CD136" s="195">
        <f t="shared" si="379"/>
        <v>2873.2</v>
      </c>
      <c r="CE136" s="195">
        <f t="shared" si="380"/>
        <v>2873.2</v>
      </c>
      <c r="CF136" s="239">
        <f t="shared" si="381"/>
        <v>1.45</v>
      </c>
      <c r="CG136" s="239">
        <f t="shared" si="381"/>
        <v>9.96</v>
      </c>
      <c r="CH136" s="1">
        <f t="shared" si="471"/>
        <v>4780.8</v>
      </c>
      <c r="CI136" s="1"/>
      <c r="CJ136" s="1"/>
      <c r="CK136" s="211">
        <f t="shared" si="382"/>
        <v>0</v>
      </c>
      <c r="CL136" s="211">
        <f t="shared" si="383"/>
        <v>0</v>
      </c>
      <c r="CM136" s="211">
        <f t="shared" si="384"/>
        <v>0</v>
      </c>
      <c r="CN136" s="1"/>
      <c r="CO136" s="1"/>
      <c r="CP136" s="1"/>
      <c r="CQ136" s="1">
        <f t="shared" si="472"/>
        <v>1</v>
      </c>
      <c r="CR136" s="195">
        <f t="shared" si="385"/>
        <v>10000</v>
      </c>
      <c r="CS136" s="195"/>
      <c r="CT136" s="195"/>
      <c r="CU136" s="1"/>
      <c r="CV136" s="199">
        <f t="shared" si="386"/>
        <v>12.700220573491077</v>
      </c>
      <c r="CW136" s="199">
        <f t="shared" si="387"/>
        <v>4.294301183075997</v>
      </c>
      <c r="CX136" s="199">
        <f t="shared" si="388"/>
        <v>0</v>
      </c>
      <c r="CY136" s="199">
        <f t="shared" si="389"/>
        <v>0</v>
      </c>
      <c r="CZ136" s="199">
        <f t="shared" si="390"/>
        <v>11.84519751353519</v>
      </c>
      <c r="DA136" s="199">
        <f t="shared" si="391"/>
        <v>0</v>
      </c>
      <c r="DB136" s="199">
        <f t="shared" si="392"/>
        <v>0</v>
      </c>
      <c r="DC136" s="199">
        <f t="shared" si="393"/>
        <v>0</v>
      </c>
      <c r="DD136" s="199">
        <f t="shared" si="394"/>
        <v>0</v>
      </c>
      <c r="DE136" s="199">
        <f t="shared" si="395"/>
        <v>0</v>
      </c>
      <c r="DF136" s="199">
        <f t="shared" si="396"/>
        <v>0</v>
      </c>
      <c r="DG136" s="199">
        <f t="shared" si="397"/>
        <v>0</v>
      </c>
      <c r="DH136" s="199">
        <f t="shared" si="398"/>
        <v>0</v>
      </c>
      <c r="DI136" s="199">
        <f t="shared" si="399"/>
        <v>0</v>
      </c>
      <c r="DJ136" s="199">
        <f t="shared" si="400"/>
        <v>0</v>
      </c>
      <c r="DK136" s="199">
        <f t="shared" si="401"/>
        <v>0</v>
      </c>
      <c r="DL136" s="199">
        <f t="shared" si="402"/>
        <v>0</v>
      </c>
      <c r="DM136" s="199">
        <f t="shared" si="403"/>
        <v>0</v>
      </c>
      <c r="DN136" s="199">
        <f t="shared" si="404"/>
        <v>0.4099105674754361</v>
      </c>
      <c r="DO136" s="199">
        <f t="shared" si="405"/>
        <v>0</v>
      </c>
      <c r="DP136" s="199">
        <f t="shared" si="406"/>
        <v>0</v>
      </c>
      <c r="DQ136" s="199">
        <f t="shared" si="407"/>
        <v>0</v>
      </c>
      <c r="DR136" s="199">
        <f t="shared" si="408"/>
        <v>0</v>
      </c>
      <c r="DS136" s="199">
        <f t="shared" si="409"/>
        <v>3.9789853619410467</v>
      </c>
      <c r="DT136" s="199">
        <f t="shared" si="410"/>
        <v>22.95632644876679</v>
      </c>
      <c r="DU136" s="199">
        <f t="shared" si="411"/>
        <v>0</v>
      </c>
      <c r="DV136" s="199">
        <f t="shared" si="412"/>
        <v>0</v>
      </c>
      <c r="DW136" s="199">
        <f t="shared" si="413"/>
        <v>4.838179266091839</v>
      </c>
      <c r="DX136" s="199">
        <f t="shared" si="414"/>
        <v>0</v>
      </c>
      <c r="DY136" s="199">
        <f t="shared" si="415"/>
        <v>0.16549909765390014</v>
      </c>
      <c r="DZ136" s="199">
        <f t="shared" si="416"/>
        <v>0.00019419450571485863</v>
      </c>
      <c r="EA136" s="199">
        <f t="shared" si="417"/>
        <v>2.9735062715059146</v>
      </c>
      <c r="EB136" s="199">
        <f t="shared" si="418"/>
        <v>0.6311089203128132</v>
      </c>
      <c r="EC136" s="202">
        <f t="shared" si="368"/>
        <v>64.79342939835573</v>
      </c>
      <c r="ED136" s="202">
        <f>SUM(CV136:DI136,DS136:DT136,DW136,DY136,EA136:EB136)</f>
        <v>64.38332463637458</v>
      </c>
      <c r="EE136" s="203">
        <f t="shared" si="419"/>
        <v>10.657557139354523</v>
      </c>
      <c r="EF136" s="199"/>
      <c r="EI136" s="1">
        <f t="shared" si="420"/>
        <v>0.18495710758393283</v>
      </c>
      <c r="EJ136" s="1">
        <f t="shared" si="421"/>
        <v>0.002442336444552</v>
      </c>
      <c r="EK136" s="1">
        <f t="shared" si="422"/>
        <v>0</v>
      </c>
      <c r="EL136" s="1">
        <f t="shared" si="423"/>
        <v>0</v>
      </c>
      <c r="EM136" s="1">
        <f t="shared" si="424"/>
        <v>0.10849373124888</v>
      </c>
      <c r="EN136" s="1">
        <f t="shared" si="425"/>
        <v>0</v>
      </c>
      <c r="EO136" s="1">
        <f t="shared" si="426"/>
        <v>0</v>
      </c>
      <c r="EP136" s="1">
        <f t="shared" si="427"/>
        <v>0</v>
      </c>
      <c r="EQ136" s="1">
        <f t="shared" si="428"/>
        <v>0</v>
      </c>
      <c r="ER136" s="1">
        <f t="shared" si="429"/>
        <v>0</v>
      </c>
      <c r="ES136" s="1">
        <f t="shared" si="430"/>
        <v>0</v>
      </c>
      <c r="ET136" s="1">
        <f t="shared" si="431"/>
        <v>0</v>
      </c>
      <c r="EU136" s="1">
        <f t="shared" si="432"/>
        <v>0</v>
      </c>
      <c r="EV136" s="1">
        <f t="shared" si="433"/>
        <v>0</v>
      </c>
      <c r="EW136" s="1">
        <f t="shared" si="434"/>
        <v>0</v>
      </c>
      <c r="EX136" s="1">
        <f t="shared" si="435"/>
        <v>0</v>
      </c>
      <c r="EY136" s="1">
        <f t="shared" si="436"/>
        <v>0</v>
      </c>
      <c r="EZ136" s="1">
        <f t="shared" si="437"/>
        <v>0</v>
      </c>
      <c r="FA136" s="1">
        <f t="shared" si="438"/>
        <v>0.059350736407200004</v>
      </c>
      <c r="FB136" s="1">
        <f t="shared" si="439"/>
        <v>0</v>
      </c>
      <c r="FC136" s="1">
        <f t="shared" si="440"/>
        <v>0</v>
      </c>
      <c r="FD136" s="1">
        <f t="shared" si="441"/>
        <v>0</v>
      </c>
      <c r="FE136" s="1">
        <f t="shared" si="442"/>
        <v>0</v>
      </c>
      <c r="FF136" s="1">
        <f t="shared" si="443"/>
        <v>0.059350736407200004</v>
      </c>
      <c r="FG136" s="1">
        <f t="shared" si="444"/>
        <v>0.059350736407200004</v>
      </c>
      <c r="FH136" s="1">
        <f t="shared" si="445"/>
        <v>0</v>
      </c>
      <c r="FI136" s="1">
        <f t="shared" si="446"/>
        <v>0</v>
      </c>
      <c r="FJ136" s="1">
        <f t="shared" si="447"/>
        <v>0</v>
      </c>
      <c r="FK136" s="1">
        <f t="shared" si="448"/>
        <v>0</v>
      </c>
      <c r="FL136" s="1">
        <f t="shared" si="449"/>
        <v>4.300268812675172</v>
      </c>
      <c r="FM136" s="1">
        <f t="shared" si="450"/>
        <v>0.0034234991863440005</v>
      </c>
      <c r="FN136" s="1">
        <f t="shared" si="451"/>
        <v>4.472293968912</v>
      </c>
      <c r="FO136" s="1">
        <f>IF(O136=0,0,SUM(EI136:FN136))</f>
        <v>9.24993166527248</v>
      </c>
    </row>
    <row r="137" spans="1:171" s="45" customFormat="1" ht="12.75">
      <c r="A137" s="24">
        <v>28</v>
      </c>
      <c r="B137" s="25" t="s">
        <v>329</v>
      </c>
      <c r="C137" s="25" t="s">
        <v>330</v>
      </c>
      <c r="D137" s="26" t="s">
        <v>310</v>
      </c>
      <c r="E137" s="26">
        <v>5</v>
      </c>
      <c r="F137" s="26" t="s">
        <v>299</v>
      </c>
      <c r="G137" s="26" t="s">
        <v>74</v>
      </c>
      <c r="H137" s="26" t="s">
        <v>75</v>
      </c>
      <c r="I137" s="26">
        <v>2</v>
      </c>
      <c r="J137" s="26"/>
      <c r="K137" s="26">
        <f t="shared" si="452"/>
        <v>0</v>
      </c>
      <c r="L137" s="26">
        <f t="shared" si="453"/>
        <v>0</v>
      </c>
      <c r="M137" s="24">
        <v>341400</v>
      </c>
      <c r="N137" s="24">
        <v>1191100</v>
      </c>
      <c r="O137" s="27">
        <f t="shared" si="454"/>
        <v>2800</v>
      </c>
      <c r="P137" s="28">
        <v>2800</v>
      </c>
      <c r="Q137" s="28">
        <v>4000</v>
      </c>
      <c r="R137" s="28">
        <v>0</v>
      </c>
      <c r="S137" s="29">
        <v>0</v>
      </c>
      <c r="T137" s="29">
        <v>0</v>
      </c>
      <c r="U137" s="29">
        <v>0</v>
      </c>
      <c r="V137" s="29">
        <v>0</v>
      </c>
      <c r="W137" s="28">
        <v>0</v>
      </c>
      <c r="X137" s="29">
        <v>0</v>
      </c>
      <c r="Y137" s="29">
        <v>0</v>
      </c>
      <c r="Z137" s="28">
        <v>0</v>
      </c>
      <c r="AA137" s="29">
        <v>0</v>
      </c>
      <c r="AB137" s="28">
        <v>0</v>
      </c>
      <c r="AC137" s="29">
        <v>0</v>
      </c>
      <c r="AD137" s="28">
        <v>0</v>
      </c>
      <c r="AE137" s="28">
        <v>0</v>
      </c>
      <c r="AF137" s="29">
        <v>0</v>
      </c>
      <c r="AG137" s="29">
        <v>0</v>
      </c>
      <c r="AH137" s="29">
        <v>0</v>
      </c>
      <c r="AI137" s="29">
        <v>0</v>
      </c>
      <c r="AJ137" s="29">
        <v>0</v>
      </c>
      <c r="AK137" s="29">
        <v>0</v>
      </c>
      <c r="AL137" s="28">
        <v>0</v>
      </c>
      <c r="AM137" s="30">
        <v>0</v>
      </c>
      <c r="AN137" s="31">
        <v>0</v>
      </c>
      <c r="AO137" s="30">
        <v>1600</v>
      </c>
      <c r="AP137" s="31">
        <v>0</v>
      </c>
      <c r="AQ137" s="31">
        <v>0</v>
      </c>
      <c r="AR137" s="31">
        <v>0</v>
      </c>
      <c r="AS137" s="31">
        <v>0</v>
      </c>
      <c r="AT137" s="31">
        <v>0</v>
      </c>
      <c r="AU137" s="30">
        <v>0</v>
      </c>
      <c r="AW137" s="1"/>
      <c r="AX137" s="2">
        <f t="shared" si="455"/>
        <v>2112</v>
      </c>
      <c r="AY137" s="32">
        <f t="shared" si="369"/>
        <v>1478.3999999999999</v>
      </c>
      <c r="AZ137" s="186">
        <f t="shared" si="370"/>
        <v>0.4729261498050349</v>
      </c>
      <c r="BA137" s="186">
        <f t="shared" si="371"/>
        <v>0.08236513549671251</v>
      </c>
      <c r="BB137" s="186">
        <f t="shared" si="372"/>
        <v>0.2846822842738975</v>
      </c>
      <c r="BC137" s="53">
        <f t="shared" si="456"/>
        <v>2800</v>
      </c>
      <c r="BD137" s="53">
        <f t="shared" si="373"/>
        <v>832.3762142003903</v>
      </c>
      <c r="BE137" s="53">
        <f t="shared" si="374"/>
        <v>144.96719983684406</v>
      </c>
      <c r="BF137" s="53">
        <f t="shared" si="375"/>
        <v>501.0565859627654</v>
      </c>
      <c r="BG137" s="53"/>
      <c r="BH137" s="53">
        <f t="shared" si="457"/>
        <v>2</v>
      </c>
      <c r="BI137" s="53">
        <f t="shared" si="458"/>
        <v>3</v>
      </c>
      <c r="BJ137" s="53">
        <f t="shared" si="459"/>
        <v>3</v>
      </c>
      <c r="BK137" s="53">
        <f t="shared" si="460"/>
        <v>2</v>
      </c>
      <c r="BL137" s="53"/>
      <c r="BM137" s="53">
        <f t="shared" si="461"/>
        <v>1</v>
      </c>
      <c r="BN137" s="53">
        <f t="shared" si="462"/>
        <v>2</v>
      </c>
      <c r="BO137" s="53">
        <f t="shared" si="463"/>
        <v>2</v>
      </c>
      <c r="BP137" s="53">
        <f t="shared" si="464"/>
        <v>0</v>
      </c>
      <c r="BQ137" s="53"/>
      <c r="BR137" s="53">
        <f t="shared" si="465"/>
        <v>3.25</v>
      </c>
      <c r="BS137" s="53">
        <f t="shared" si="466"/>
        <v>34.2</v>
      </c>
      <c r="BT137" s="53">
        <f t="shared" si="467"/>
        <v>11</v>
      </c>
      <c r="BU137" s="53">
        <f t="shared" si="376"/>
        <v>23256</v>
      </c>
      <c r="BV137" s="53"/>
      <c r="BW137" s="53">
        <f t="shared" si="468"/>
        <v>13000</v>
      </c>
      <c r="BX137" s="53">
        <f t="shared" si="469"/>
        <v>-20106</v>
      </c>
      <c r="BY137" s="53">
        <f t="shared" si="377"/>
        <v>-18255.092464544257</v>
      </c>
      <c r="BZ137" s="240">
        <f t="shared" si="470"/>
        <v>5.5020500000000006</v>
      </c>
      <c r="CC137" s="1">
        <f t="shared" si="378"/>
        <v>0</v>
      </c>
      <c r="CD137" s="195">
        <f t="shared" si="379"/>
        <v>2873.2</v>
      </c>
      <c r="CE137" s="195">
        <f t="shared" si="380"/>
        <v>2873.2</v>
      </c>
      <c r="CF137" s="239">
        <f t="shared" si="381"/>
        <v>1.45</v>
      </c>
      <c r="CG137" s="239">
        <f t="shared" si="381"/>
        <v>9.96</v>
      </c>
      <c r="CH137" s="1">
        <f t="shared" si="471"/>
        <v>4780.8</v>
      </c>
      <c r="CI137" s="1"/>
      <c r="CJ137" s="1"/>
      <c r="CK137" s="211">
        <f t="shared" si="382"/>
        <v>0</v>
      </c>
      <c r="CL137" s="211">
        <f t="shared" si="383"/>
        <v>0</v>
      </c>
      <c r="CM137" s="211">
        <f t="shared" si="384"/>
        <v>0</v>
      </c>
      <c r="CN137" s="1"/>
      <c r="CO137" s="1"/>
      <c r="CP137" s="1"/>
      <c r="CQ137" s="1">
        <f t="shared" si="472"/>
        <v>0</v>
      </c>
      <c r="CR137" s="195">
        <f t="shared" si="385"/>
        <v>0</v>
      </c>
      <c r="CS137" s="195"/>
      <c r="CT137" s="195"/>
      <c r="CU137" s="1"/>
      <c r="CV137" s="199">
        <f t="shared" si="386"/>
        <v>2.032035291758572</v>
      </c>
      <c r="CW137" s="199">
        <f t="shared" si="387"/>
        <v>0</v>
      </c>
      <c r="CX137" s="199">
        <f t="shared" si="388"/>
        <v>0</v>
      </c>
      <c r="CY137" s="199">
        <f t="shared" si="389"/>
        <v>0</v>
      </c>
      <c r="CZ137" s="199">
        <f t="shared" si="390"/>
        <v>0</v>
      </c>
      <c r="DA137" s="199">
        <f t="shared" si="391"/>
        <v>0</v>
      </c>
      <c r="DB137" s="199">
        <f t="shared" si="392"/>
        <v>0</v>
      </c>
      <c r="DC137" s="199">
        <f t="shared" si="393"/>
        <v>0</v>
      </c>
      <c r="DD137" s="199">
        <f t="shared" si="394"/>
        <v>0</v>
      </c>
      <c r="DE137" s="199">
        <f t="shared" si="395"/>
        <v>0</v>
      </c>
      <c r="DF137" s="199">
        <f t="shared" si="396"/>
        <v>0</v>
      </c>
      <c r="DG137" s="199">
        <f t="shared" si="397"/>
        <v>0</v>
      </c>
      <c r="DH137" s="199">
        <f t="shared" si="398"/>
        <v>0</v>
      </c>
      <c r="DI137" s="199">
        <f t="shared" si="399"/>
        <v>0</v>
      </c>
      <c r="DJ137" s="199">
        <f t="shared" si="400"/>
        <v>0</v>
      </c>
      <c r="DK137" s="199">
        <f t="shared" si="401"/>
        <v>0</v>
      </c>
      <c r="DL137" s="199">
        <f t="shared" si="402"/>
        <v>0</v>
      </c>
      <c r="DM137" s="199">
        <f t="shared" si="403"/>
        <v>0</v>
      </c>
      <c r="DN137" s="199">
        <f t="shared" si="404"/>
        <v>0</v>
      </c>
      <c r="DO137" s="199">
        <f t="shared" si="405"/>
        <v>0</v>
      </c>
      <c r="DP137" s="199">
        <f t="shared" si="406"/>
        <v>0</v>
      </c>
      <c r="DQ137" s="199">
        <f t="shared" si="407"/>
        <v>0</v>
      </c>
      <c r="DR137" s="199">
        <f t="shared" si="408"/>
        <v>0</v>
      </c>
      <c r="DS137" s="199">
        <f t="shared" si="409"/>
        <v>0</v>
      </c>
      <c r="DT137" s="199">
        <f t="shared" si="410"/>
        <v>4.591265289753358</v>
      </c>
      <c r="DU137" s="199">
        <f t="shared" si="411"/>
        <v>0</v>
      </c>
      <c r="DV137" s="199">
        <f t="shared" si="412"/>
        <v>0</v>
      </c>
      <c r="DW137" s="199">
        <f t="shared" si="413"/>
        <v>0</v>
      </c>
      <c r="DX137" s="199">
        <f t="shared" si="414"/>
        <v>0</v>
      </c>
      <c r="DY137" s="199">
        <f t="shared" si="415"/>
        <v>0</v>
      </c>
      <c r="DZ137" s="199">
        <f t="shared" si="416"/>
        <v>0</v>
      </c>
      <c r="EA137" s="199">
        <f t="shared" si="417"/>
        <v>0.8583317072388207</v>
      </c>
      <c r="EB137" s="199">
        <f t="shared" si="418"/>
        <v>0.1341909393222378</v>
      </c>
      <c r="EC137" s="202">
        <f t="shared" si="368"/>
        <v>7.61582322807299</v>
      </c>
      <c r="ED137" s="202">
        <f>SUM(CV137:DI137,DS137:DT137,DW137,DY137,EA137:EB137)</f>
        <v>7.61582322807299</v>
      </c>
      <c r="EE137" s="203">
        <f t="shared" si="419"/>
        <v>1.2606691511322636</v>
      </c>
      <c r="EF137" s="199"/>
      <c r="EI137" s="1">
        <f t="shared" si="420"/>
        <v>0.18495710758393283</v>
      </c>
      <c r="EJ137" s="1">
        <f t="shared" si="421"/>
        <v>0</v>
      </c>
      <c r="EK137" s="1">
        <f t="shared" si="422"/>
        <v>0</v>
      </c>
      <c r="EL137" s="1">
        <f t="shared" si="423"/>
        <v>0</v>
      </c>
      <c r="EM137" s="1">
        <f t="shared" si="424"/>
        <v>0</v>
      </c>
      <c r="EN137" s="1">
        <f t="shared" si="425"/>
        <v>0</v>
      </c>
      <c r="EO137" s="1">
        <f t="shared" si="426"/>
        <v>0</v>
      </c>
      <c r="EP137" s="1">
        <f t="shared" si="427"/>
        <v>0</v>
      </c>
      <c r="EQ137" s="1">
        <f t="shared" si="428"/>
        <v>0</v>
      </c>
      <c r="ER137" s="1">
        <f t="shared" si="429"/>
        <v>0</v>
      </c>
      <c r="ES137" s="1">
        <f t="shared" si="430"/>
        <v>0</v>
      </c>
      <c r="ET137" s="1">
        <f t="shared" si="431"/>
        <v>0</v>
      </c>
      <c r="EU137" s="1">
        <f t="shared" si="432"/>
        <v>0</v>
      </c>
      <c r="EV137" s="1">
        <f t="shared" si="433"/>
        <v>0</v>
      </c>
      <c r="EW137" s="1">
        <f t="shared" si="434"/>
        <v>0</v>
      </c>
      <c r="EX137" s="1">
        <f t="shared" si="435"/>
        <v>0</v>
      </c>
      <c r="EY137" s="1">
        <f t="shared" si="436"/>
        <v>0</v>
      </c>
      <c r="EZ137" s="1">
        <f t="shared" si="437"/>
        <v>0</v>
      </c>
      <c r="FA137" s="1">
        <f t="shared" si="438"/>
        <v>0</v>
      </c>
      <c r="FB137" s="1">
        <f t="shared" si="439"/>
        <v>0</v>
      </c>
      <c r="FC137" s="1">
        <f t="shared" si="440"/>
        <v>0</v>
      </c>
      <c r="FD137" s="1">
        <f t="shared" si="441"/>
        <v>0</v>
      </c>
      <c r="FE137" s="1">
        <f t="shared" si="442"/>
        <v>0</v>
      </c>
      <c r="FF137" s="1">
        <f t="shared" si="443"/>
        <v>0</v>
      </c>
      <c r="FG137" s="1">
        <f t="shared" si="444"/>
        <v>0.059350736407200004</v>
      </c>
      <c r="FH137" s="1">
        <f t="shared" si="445"/>
        <v>0</v>
      </c>
      <c r="FI137" s="1">
        <f t="shared" si="446"/>
        <v>0</v>
      </c>
      <c r="FJ137" s="1">
        <f t="shared" si="447"/>
        <v>0</v>
      </c>
      <c r="FK137" s="1">
        <f t="shared" si="448"/>
        <v>0</v>
      </c>
      <c r="FL137" s="1">
        <f t="shared" si="449"/>
        <v>0</v>
      </c>
      <c r="FM137" s="1">
        <f t="shared" si="450"/>
        <v>0</v>
      </c>
      <c r="FN137" s="1">
        <f t="shared" si="451"/>
        <v>4.472293968912</v>
      </c>
      <c r="FO137" s="1">
        <f>IF(O137=0,0,SUM(EI137:FN137))</f>
        <v>4.716601812903133</v>
      </c>
    </row>
    <row r="138" spans="1:171" s="45" customFormat="1" ht="12.75">
      <c r="A138" s="24">
        <v>29</v>
      </c>
      <c r="B138" s="25" t="s">
        <v>331</v>
      </c>
      <c r="C138" s="25" t="s">
        <v>332</v>
      </c>
      <c r="D138" s="26" t="s">
        <v>310</v>
      </c>
      <c r="E138" s="26">
        <v>5</v>
      </c>
      <c r="F138" s="26" t="s">
        <v>299</v>
      </c>
      <c r="G138" s="26" t="s">
        <v>74</v>
      </c>
      <c r="H138" s="26" t="s">
        <v>75</v>
      </c>
      <c r="I138" s="26">
        <v>1</v>
      </c>
      <c r="J138" s="26"/>
      <c r="K138" s="26">
        <f t="shared" si="452"/>
        <v>1</v>
      </c>
      <c r="L138" s="26">
        <f t="shared" si="453"/>
        <v>1</v>
      </c>
      <c r="M138" s="24">
        <v>334816</v>
      </c>
      <c r="N138" s="24">
        <v>1181408</v>
      </c>
      <c r="O138" s="27">
        <f t="shared" si="454"/>
        <v>139000</v>
      </c>
      <c r="P138" s="28">
        <v>139000</v>
      </c>
      <c r="Q138" s="28">
        <v>147000</v>
      </c>
      <c r="R138" s="28">
        <v>82250</v>
      </c>
      <c r="S138" s="29">
        <v>52200</v>
      </c>
      <c r="T138" s="29">
        <v>0</v>
      </c>
      <c r="U138" s="29">
        <v>0</v>
      </c>
      <c r="V138" s="29">
        <v>0</v>
      </c>
      <c r="W138" s="28">
        <v>50280</v>
      </c>
      <c r="X138" s="29">
        <v>0</v>
      </c>
      <c r="Y138" s="29">
        <v>26600</v>
      </c>
      <c r="Z138" s="28">
        <v>0</v>
      </c>
      <c r="AA138" s="29">
        <v>0</v>
      </c>
      <c r="AB138" s="28">
        <v>0</v>
      </c>
      <c r="AC138" s="29">
        <v>36750</v>
      </c>
      <c r="AD138" s="28">
        <v>0</v>
      </c>
      <c r="AE138" s="28">
        <v>51790</v>
      </c>
      <c r="AF138" s="29">
        <v>0</v>
      </c>
      <c r="AG138" s="29">
        <v>12930</v>
      </c>
      <c r="AH138" s="29">
        <v>36000</v>
      </c>
      <c r="AI138" s="29">
        <v>0</v>
      </c>
      <c r="AJ138" s="29">
        <v>0</v>
      </c>
      <c r="AK138" s="29">
        <v>52000</v>
      </c>
      <c r="AL138" s="28">
        <v>0</v>
      </c>
      <c r="AM138" s="30">
        <v>9900</v>
      </c>
      <c r="AN138" s="31">
        <v>0</v>
      </c>
      <c r="AO138" s="30">
        <v>0</v>
      </c>
      <c r="AP138" s="31">
        <v>3100</v>
      </c>
      <c r="AQ138" s="31">
        <v>12800</v>
      </c>
      <c r="AR138" s="31">
        <v>0</v>
      </c>
      <c r="AS138" s="31">
        <v>16800</v>
      </c>
      <c r="AT138" s="31">
        <v>105</v>
      </c>
      <c r="AU138" s="30">
        <v>370</v>
      </c>
      <c r="AW138" s="1"/>
      <c r="AX138" s="2">
        <f t="shared" si="455"/>
        <v>114576</v>
      </c>
      <c r="AY138" s="32">
        <f t="shared" si="369"/>
        <v>108340.57142857143</v>
      </c>
      <c r="AZ138" s="186">
        <f t="shared" si="370"/>
        <v>0.4729261498050349</v>
      </c>
      <c r="BA138" s="186">
        <f t="shared" si="371"/>
        <v>0.08236513549671251</v>
      </c>
      <c r="BB138" s="186">
        <f t="shared" si="372"/>
        <v>0.2846822842738975</v>
      </c>
      <c r="BC138" s="53">
        <f t="shared" si="456"/>
        <v>139000</v>
      </c>
      <c r="BD138" s="53">
        <f t="shared" si="373"/>
        <v>60998.4542005014</v>
      </c>
      <c r="BE138" s="53">
        <f t="shared" si="374"/>
        <v>10623.53170232927</v>
      </c>
      <c r="BF138" s="53">
        <f t="shared" si="375"/>
        <v>36718.58552574076</v>
      </c>
      <c r="BG138" s="53"/>
      <c r="BH138" s="53">
        <f t="shared" si="457"/>
        <v>6</v>
      </c>
      <c r="BI138" s="53">
        <f t="shared" si="458"/>
        <v>6</v>
      </c>
      <c r="BJ138" s="53">
        <f t="shared" si="459"/>
        <v>4</v>
      </c>
      <c r="BK138" s="53">
        <f t="shared" si="460"/>
        <v>4</v>
      </c>
      <c r="BL138" s="53"/>
      <c r="BM138" s="53">
        <f t="shared" si="461"/>
        <v>3</v>
      </c>
      <c r="BN138" s="53">
        <f t="shared" si="462"/>
        <v>3</v>
      </c>
      <c r="BO138" s="53">
        <f t="shared" si="463"/>
        <v>2</v>
      </c>
      <c r="BP138" s="53">
        <f t="shared" si="464"/>
        <v>0</v>
      </c>
      <c r="BQ138" s="53"/>
      <c r="BR138" s="53">
        <f t="shared" si="465"/>
        <v>9.75</v>
      </c>
      <c r="BS138" s="53">
        <f t="shared" si="466"/>
        <v>51.300000000000004</v>
      </c>
      <c r="BT138" s="53">
        <f t="shared" si="467"/>
        <v>11</v>
      </c>
      <c r="BU138" s="53">
        <f t="shared" si="376"/>
        <v>34584.00000000001</v>
      </c>
      <c r="BV138" s="53"/>
      <c r="BW138" s="53">
        <f t="shared" si="468"/>
        <v>20800</v>
      </c>
      <c r="BX138" s="53">
        <f t="shared" si="469"/>
        <v>-29544.000000000007</v>
      </c>
      <c r="BY138" s="53">
        <f t="shared" si="377"/>
        <v>-26582.54794327082</v>
      </c>
      <c r="BZ138" s="240">
        <f t="shared" si="470"/>
        <v>7.944450000000001</v>
      </c>
      <c r="CC138" s="1">
        <f t="shared" si="378"/>
        <v>0</v>
      </c>
      <c r="CD138" s="195">
        <f t="shared" si="379"/>
        <v>5746.4</v>
      </c>
      <c r="CE138" s="195">
        <f t="shared" si="380"/>
        <v>5746.4</v>
      </c>
      <c r="CF138" s="239">
        <f t="shared" si="381"/>
        <v>2.9</v>
      </c>
      <c r="CG138" s="239">
        <f t="shared" si="381"/>
        <v>19.92</v>
      </c>
      <c r="CH138" s="1">
        <f t="shared" si="471"/>
        <v>9561.6</v>
      </c>
      <c r="CI138" s="1"/>
      <c r="CJ138" s="1"/>
      <c r="CK138" s="211">
        <f t="shared" si="382"/>
        <v>0</v>
      </c>
      <c r="CL138" s="211">
        <f t="shared" si="383"/>
        <v>0</v>
      </c>
      <c r="CM138" s="211">
        <f t="shared" si="384"/>
        <v>0</v>
      </c>
      <c r="CN138" s="1"/>
      <c r="CO138" s="1"/>
      <c r="CP138" s="1"/>
      <c r="CQ138" s="1">
        <f t="shared" si="472"/>
        <v>1</v>
      </c>
      <c r="CR138" s="195">
        <f t="shared" si="385"/>
        <v>10000</v>
      </c>
      <c r="CS138" s="195"/>
      <c r="CT138" s="195"/>
      <c r="CU138" s="1"/>
      <c r="CV138" s="199">
        <f t="shared" si="386"/>
        <v>74.67729697212752</v>
      </c>
      <c r="CW138" s="199">
        <f t="shared" si="387"/>
        <v>24.699739322237814</v>
      </c>
      <c r="CX138" s="199">
        <f t="shared" si="388"/>
        <v>102.76292761179064</v>
      </c>
      <c r="CY138" s="199">
        <f t="shared" si="389"/>
        <v>0</v>
      </c>
      <c r="CZ138" s="199">
        <f t="shared" si="390"/>
        <v>0</v>
      </c>
      <c r="DA138" s="199">
        <f t="shared" si="391"/>
        <v>0</v>
      </c>
      <c r="DB138" s="199">
        <f t="shared" si="392"/>
        <v>13.085906877882493</v>
      </c>
      <c r="DC138" s="199">
        <f t="shared" si="393"/>
        <v>0</v>
      </c>
      <c r="DD138" s="199">
        <f t="shared" si="394"/>
        <v>8.076756366553038</v>
      </c>
      <c r="DE138" s="199">
        <f t="shared" si="395"/>
        <v>0</v>
      </c>
      <c r="DF138" s="199">
        <f t="shared" si="396"/>
        <v>0</v>
      </c>
      <c r="DG138" s="199">
        <f t="shared" si="397"/>
        <v>0</v>
      </c>
      <c r="DH138" s="199">
        <f t="shared" si="398"/>
        <v>48.742570683777814</v>
      </c>
      <c r="DI138" s="199">
        <f t="shared" si="399"/>
        <v>0</v>
      </c>
      <c r="DJ138" s="199">
        <f t="shared" si="400"/>
        <v>7.076422763184278</v>
      </c>
      <c r="DK138" s="199">
        <f t="shared" si="401"/>
        <v>0</v>
      </c>
      <c r="DL138" s="199">
        <f t="shared" si="402"/>
        <v>1.7667145458191296</v>
      </c>
      <c r="DM138" s="199">
        <f t="shared" si="403"/>
        <v>4.918926809705233</v>
      </c>
      <c r="DN138" s="199">
        <f t="shared" si="404"/>
        <v>0</v>
      </c>
      <c r="DO138" s="199">
        <f t="shared" si="405"/>
        <v>0</v>
      </c>
      <c r="DP138" s="199">
        <f t="shared" si="406"/>
        <v>7.105116502907559</v>
      </c>
      <c r="DQ138" s="199">
        <f t="shared" si="407"/>
        <v>0</v>
      </c>
      <c r="DR138" s="199">
        <f t="shared" si="408"/>
        <v>1.4864888710647681</v>
      </c>
      <c r="DS138" s="199">
        <f t="shared" si="409"/>
        <v>0</v>
      </c>
      <c r="DT138" s="199">
        <f t="shared" si="410"/>
        <v>0</v>
      </c>
      <c r="DU138" s="199">
        <f t="shared" si="411"/>
        <v>0.0009050731902947663</v>
      </c>
      <c r="DV138" s="199">
        <f t="shared" si="412"/>
        <v>0.0037370763986364543</v>
      </c>
      <c r="DW138" s="199">
        <f t="shared" si="413"/>
        <v>0</v>
      </c>
      <c r="DX138" s="199">
        <f t="shared" si="414"/>
        <v>1.0874892320032084</v>
      </c>
      <c r="DY138" s="199">
        <f t="shared" si="415"/>
        <v>4.344351313414879</v>
      </c>
      <c r="DZ138" s="199">
        <f t="shared" si="416"/>
        <v>0.023950655704832558</v>
      </c>
      <c r="EA138" s="199">
        <f t="shared" si="417"/>
        <v>62.900532763470736</v>
      </c>
      <c r="EB138" s="199">
        <f t="shared" si="418"/>
        <v>7.757774778538484</v>
      </c>
      <c r="EC138" s="202">
        <f t="shared" si="368"/>
        <v>370.5176082197713</v>
      </c>
      <c r="ED138" s="202">
        <f>SUM(CV138:DI138,DS138:DT138,DW138,DY138,EA138:EB138)</f>
        <v>347.04785668979343</v>
      </c>
      <c r="EE138" s="203">
        <f t="shared" si="419"/>
        <v>57.44783115273224</v>
      </c>
      <c r="EF138" s="199"/>
      <c r="EI138" s="1">
        <f t="shared" si="420"/>
        <v>0.5699766927982697</v>
      </c>
      <c r="EJ138" s="1">
        <f t="shared" si="421"/>
        <v>0.010606863429336002</v>
      </c>
      <c r="EK138" s="1">
        <f t="shared" si="422"/>
        <v>0.24682268761392</v>
      </c>
      <c r="EL138" s="1">
        <f t="shared" si="423"/>
        <v>0</v>
      </c>
      <c r="EM138" s="1">
        <f t="shared" si="424"/>
        <v>0</v>
      </c>
      <c r="EN138" s="1">
        <f t="shared" si="425"/>
        <v>0</v>
      </c>
      <c r="EO138" s="1">
        <f t="shared" si="426"/>
        <v>0.2644897670328</v>
      </c>
      <c r="EP138" s="1">
        <f t="shared" si="427"/>
        <v>0</v>
      </c>
      <c r="EQ138" s="1">
        <f t="shared" si="428"/>
        <v>0.21621849683808003</v>
      </c>
      <c r="ER138" s="1">
        <f t="shared" si="429"/>
        <v>0</v>
      </c>
      <c r="ES138" s="1">
        <f t="shared" si="430"/>
        <v>0</v>
      </c>
      <c r="ET138" s="1">
        <f t="shared" si="431"/>
        <v>0</v>
      </c>
      <c r="EU138" s="1">
        <f t="shared" si="432"/>
        <v>0.14589546715944002</v>
      </c>
      <c r="EV138" s="1">
        <f t="shared" si="433"/>
        <v>0</v>
      </c>
      <c r="EW138" s="1">
        <f t="shared" si="434"/>
        <v>0.10099701098903999</v>
      </c>
      <c r="EX138" s="1">
        <f t="shared" si="435"/>
        <v>0</v>
      </c>
      <c r="EY138" s="1">
        <f t="shared" si="436"/>
        <v>0.059350736407200004</v>
      </c>
      <c r="EZ138" s="1">
        <f t="shared" si="437"/>
        <v>0.10099701098903999</v>
      </c>
      <c r="FA138" s="1">
        <f t="shared" si="438"/>
        <v>0</v>
      </c>
      <c r="FB138" s="1">
        <f t="shared" si="439"/>
        <v>0</v>
      </c>
      <c r="FC138" s="1">
        <f t="shared" si="440"/>
        <v>0.10099701098903999</v>
      </c>
      <c r="FD138" s="1">
        <f t="shared" si="441"/>
        <v>0</v>
      </c>
      <c r="FE138" s="1">
        <f t="shared" si="442"/>
        <v>0.059350736407200004</v>
      </c>
      <c r="FF138" s="1">
        <f t="shared" si="443"/>
        <v>0</v>
      </c>
      <c r="FG138" s="1">
        <f t="shared" si="444"/>
        <v>0</v>
      </c>
      <c r="FH138" s="1">
        <f t="shared" si="445"/>
        <v>0</v>
      </c>
      <c r="FI138" s="1">
        <f t="shared" si="446"/>
        <v>0</v>
      </c>
      <c r="FJ138" s="1">
        <f t="shared" si="447"/>
        <v>0</v>
      </c>
      <c r="FK138" s="1">
        <f t="shared" si="448"/>
        <v>0</v>
      </c>
      <c r="FL138" s="1">
        <f t="shared" si="449"/>
        <v>4.263919336981805</v>
      </c>
      <c r="FM138" s="1">
        <f t="shared" si="450"/>
        <v>0.0057571153094400015</v>
      </c>
      <c r="FN138" s="1">
        <f t="shared" si="451"/>
        <v>7.46760736344</v>
      </c>
      <c r="FO138" s="1">
        <f>IF(O138=0,0,SUM(EI138:FN138))</f>
        <v>13.61298629638461</v>
      </c>
    </row>
    <row r="139" spans="1:171" s="45" customFormat="1" ht="12.75">
      <c r="A139" s="24">
        <v>30.1</v>
      </c>
      <c r="B139" s="25" t="s">
        <v>331</v>
      </c>
      <c r="C139" s="25" t="s">
        <v>333</v>
      </c>
      <c r="D139" s="26" t="s">
        <v>310</v>
      </c>
      <c r="E139" s="26">
        <v>5</v>
      </c>
      <c r="F139" s="26" t="s">
        <v>299</v>
      </c>
      <c r="G139" s="26" t="s">
        <v>74</v>
      </c>
      <c r="H139" s="26" t="s">
        <v>75</v>
      </c>
      <c r="I139" s="26">
        <v>1</v>
      </c>
      <c r="J139" s="26"/>
      <c r="K139" s="26">
        <f t="shared" si="452"/>
        <v>1</v>
      </c>
      <c r="L139" s="26">
        <f t="shared" si="453"/>
        <v>1</v>
      </c>
      <c r="M139" s="24">
        <v>380230</v>
      </c>
      <c r="N139" s="24">
        <v>1221530</v>
      </c>
      <c r="O139" s="27">
        <f t="shared" si="454"/>
        <v>76000</v>
      </c>
      <c r="P139" s="28">
        <v>76000</v>
      </c>
      <c r="Q139" s="28">
        <v>80000</v>
      </c>
      <c r="R139" s="28">
        <v>45000</v>
      </c>
      <c r="S139" s="29">
        <v>27000</v>
      </c>
      <c r="T139" s="29">
        <v>0</v>
      </c>
      <c r="U139" s="29">
        <v>0</v>
      </c>
      <c r="V139" s="29">
        <v>0</v>
      </c>
      <c r="W139" s="28">
        <v>0</v>
      </c>
      <c r="X139" s="29">
        <v>0</v>
      </c>
      <c r="Y139" s="29">
        <v>0</v>
      </c>
      <c r="Z139" s="28">
        <v>41000</v>
      </c>
      <c r="AA139" s="29">
        <v>0</v>
      </c>
      <c r="AB139" s="28">
        <v>0</v>
      </c>
      <c r="AC139" s="29">
        <v>32000</v>
      </c>
      <c r="AD139" s="28">
        <v>0</v>
      </c>
      <c r="AE139" s="28">
        <v>27500</v>
      </c>
      <c r="AF139" s="29">
        <v>0</v>
      </c>
      <c r="AG139" s="29">
        <v>0</v>
      </c>
      <c r="AH139" s="29">
        <v>40000</v>
      </c>
      <c r="AI139" s="29">
        <v>0</v>
      </c>
      <c r="AJ139" s="29">
        <v>0</v>
      </c>
      <c r="AK139" s="29">
        <v>0</v>
      </c>
      <c r="AL139" s="28">
        <v>0</v>
      </c>
      <c r="AM139" s="30">
        <v>0</v>
      </c>
      <c r="AN139" s="31">
        <v>0</v>
      </c>
      <c r="AO139" s="30">
        <v>0</v>
      </c>
      <c r="AP139" s="31">
        <v>3500</v>
      </c>
      <c r="AQ139" s="31">
        <v>9400</v>
      </c>
      <c r="AR139" s="31">
        <v>0</v>
      </c>
      <c r="AS139" s="31">
        <v>6000</v>
      </c>
      <c r="AT139" s="31">
        <v>84</v>
      </c>
      <c r="AU139" s="30">
        <v>310</v>
      </c>
      <c r="AW139" s="1"/>
      <c r="AX139" s="2">
        <f t="shared" si="455"/>
        <v>65120</v>
      </c>
      <c r="AY139" s="32">
        <f t="shared" si="369"/>
        <v>61864</v>
      </c>
      <c r="AZ139" s="186">
        <f t="shared" si="370"/>
        <v>0.4729261498050349</v>
      </c>
      <c r="BA139" s="186">
        <f t="shared" si="371"/>
        <v>0.08236513549671251</v>
      </c>
      <c r="BB139" s="186">
        <f t="shared" si="372"/>
        <v>0.2846822842738975</v>
      </c>
      <c r="BC139" s="53">
        <f t="shared" si="456"/>
        <v>76000</v>
      </c>
      <c r="BD139" s="53">
        <f t="shared" si="373"/>
        <v>34830.980868028244</v>
      </c>
      <c r="BE139" s="53">
        <f t="shared" si="374"/>
        <v>6066.1869931727015</v>
      </c>
      <c r="BF139" s="53">
        <f t="shared" si="375"/>
        <v>20966.832138799058</v>
      </c>
      <c r="BG139" s="53"/>
      <c r="BH139" s="53">
        <f t="shared" si="457"/>
        <v>4</v>
      </c>
      <c r="BI139" s="53">
        <f t="shared" si="458"/>
        <v>4</v>
      </c>
      <c r="BJ139" s="53">
        <f t="shared" si="459"/>
        <v>3</v>
      </c>
      <c r="BK139" s="53">
        <f t="shared" si="460"/>
        <v>3</v>
      </c>
      <c r="BL139" s="53"/>
      <c r="BM139" s="53">
        <f t="shared" si="461"/>
        <v>2</v>
      </c>
      <c r="BN139" s="53">
        <f t="shared" si="462"/>
        <v>2</v>
      </c>
      <c r="BO139" s="53">
        <f t="shared" si="463"/>
        <v>2</v>
      </c>
      <c r="BP139" s="53">
        <f t="shared" si="464"/>
        <v>0</v>
      </c>
      <c r="BQ139" s="53"/>
      <c r="BR139" s="53">
        <f t="shared" si="465"/>
        <v>6.5</v>
      </c>
      <c r="BS139" s="53">
        <f t="shared" si="466"/>
        <v>34.2</v>
      </c>
      <c r="BT139" s="53">
        <f t="shared" si="467"/>
        <v>11</v>
      </c>
      <c r="BU139" s="53">
        <f t="shared" si="376"/>
        <v>24816</v>
      </c>
      <c r="BV139" s="53"/>
      <c r="BW139" s="53">
        <f t="shared" si="468"/>
        <v>15600</v>
      </c>
      <c r="BX139" s="53">
        <f t="shared" si="469"/>
        <v>-21036</v>
      </c>
      <c r="BY139" s="53">
        <f t="shared" si="377"/>
        <v>-18814.91095745311</v>
      </c>
      <c r="BZ139" s="240">
        <f t="shared" si="470"/>
        <v>5.791300000000001</v>
      </c>
      <c r="CC139" s="1">
        <f t="shared" si="378"/>
        <v>0</v>
      </c>
      <c r="CD139" s="195">
        <f t="shared" si="379"/>
        <v>5746.4</v>
      </c>
      <c r="CE139" s="195">
        <f t="shared" si="380"/>
        <v>5746.4</v>
      </c>
      <c r="CF139" s="239">
        <f t="shared" si="381"/>
        <v>2.9</v>
      </c>
      <c r="CG139" s="239">
        <f t="shared" si="381"/>
        <v>19.92</v>
      </c>
      <c r="CH139" s="1">
        <f t="shared" si="471"/>
        <v>9561.6</v>
      </c>
      <c r="CI139" s="1"/>
      <c r="CJ139" s="1"/>
      <c r="CK139" s="211">
        <f t="shared" si="382"/>
        <v>0</v>
      </c>
      <c r="CL139" s="211">
        <f t="shared" si="383"/>
        <v>0</v>
      </c>
      <c r="CM139" s="211">
        <f t="shared" si="384"/>
        <v>0</v>
      </c>
      <c r="CN139" s="1"/>
      <c r="CO139" s="1"/>
      <c r="CP139" s="1"/>
      <c r="CQ139" s="1">
        <f t="shared" si="472"/>
        <v>1</v>
      </c>
      <c r="CR139" s="195">
        <f t="shared" si="385"/>
        <v>10000</v>
      </c>
      <c r="CS139" s="195"/>
      <c r="CT139" s="195"/>
      <c r="CU139" s="1"/>
      <c r="CV139" s="199">
        <f t="shared" si="386"/>
        <v>40.64070583517144</v>
      </c>
      <c r="CW139" s="199">
        <f t="shared" si="387"/>
        <v>13.513535191497894</v>
      </c>
      <c r="CX139" s="199">
        <f t="shared" si="388"/>
        <v>53.153238419891714</v>
      </c>
      <c r="CY139" s="199">
        <f t="shared" si="389"/>
        <v>0</v>
      </c>
      <c r="CZ139" s="199">
        <f t="shared" si="390"/>
        <v>0</v>
      </c>
      <c r="DA139" s="199">
        <f t="shared" si="391"/>
        <v>0</v>
      </c>
      <c r="DB139" s="199">
        <f t="shared" si="392"/>
        <v>0</v>
      </c>
      <c r="DC139" s="199">
        <f t="shared" si="393"/>
        <v>0</v>
      </c>
      <c r="DD139" s="199">
        <f t="shared" si="394"/>
        <v>0</v>
      </c>
      <c r="DE139" s="199">
        <f t="shared" si="395"/>
        <v>12.44913575295769</v>
      </c>
      <c r="DF139" s="199">
        <f t="shared" si="396"/>
        <v>0</v>
      </c>
      <c r="DG139" s="199">
        <f t="shared" si="397"/>
        <v>0</v>
      </c>
      <c r="DH139" s="199">
        <f t="shared" si="398"/>
        <v>42.44251052737116</v>
      </c>
      <c r="DI139" s="199">
        <f t="shared" si="399"/>
        <v>0</v>
      </c>
      <c r="DJ139" s="199">
        <f t="shared" si="400"/>
        <v>3.7575135351914977</v>
      </c>
      <c r="DK139" s="199">
        <f t="shared" si="401"/>
        <v>0</v>
      </c>
      <c r="DL139" s="199">
        <f t="shared" si="402"/>
        <v>0</v>
      </c>
      <c r="DM139" s="199">
        <f t="shared" si="403"/>
        <v>5.465474233005814</v>
      </c>
      <c r="DN139" s="199">
        <f t="shared" si="404"/>
        <v>0</v>
      </c>
      <c r="DO139" s="199">
        <f t="shared" si="405"/>
        <v>0</v>
      </c>
      <c r="DP139" s="199">
        <f t="shared" si="406"/>
        <v>0</v>
      </c>
      <c r="DQ139" s="199">
        <f t="shared" si="407"/>
        <v>0</v>
      </c>
      <c r="DR139" s="199">
        <f t="shared" si="408"/>
        <v>0</v>
      </c>
      <c r="DS139" s="199">
        <f t="shared" si="409"/>
        <v>0</v>
      </c>
      <c r="DT139" s="199">
        <f t="shared" si="410"/>
        <v>0</v>
      </c>
      <c r="DU139" s="199">
        <f t="shared" si="411"/>
        <v>0.0010218568277521555</v>
      </c>
      <c r="DV139" s="199">
        <f t="shared" si="412"/>
        <v>0.0027444154802486465</v>
      </c>
      <c r="DW139" s="199">
        <f t="shared" si="413"/>
        <v>0</v>
      </c>
      <c r="DX139" s="199">
        <f t="shared" si="414"/>
        <v>0.38838901142971727</v>
      </c>
      <c r="DY139" s="199">
        <f t="shared" si="415"/>
        <v>3.4754810507319025</v>
      </c>
      <c r="DZ139" s="199">
        <f t="shared" si="416"/>
        <v>0.020066765590535388</v>
      </c>
      <c r="EA139" s="199">
        <f t="shared" si="417"/>
        <v>35.917094654100666</v>
      </c>
      <c r="EB139" s="199">
        <f t="shared" si="418"/>
        <v>4.324069665931422</v>
      </c>
      <c r="EC139" s="202">
        <f t="shared" si="368"/>
        <v>215.55098091517945</v>
      </c>
      <c r="ED139" s="202">
        <f>SUM(CV139:DI139,DS139:DT139,DW139,DY139,EA139:EB139)</f>
        <v>205.9157710976539</v>
      </c>
      <c r="EE139" s="203">
        <f t="shared" si="419"/>
        <v>34.085830589861075</v>
      </c>
      <c r="EF139" s="199"/>
      <c r="EI139" s="1">
        <f t="shared" si="420"/>
        <v>0.5699766927982697</v>
      </c>
      <c r="EJ139" s="1">
        <f t="shared" si="421"/>
        <v>0.010606863429336002</v>
      </c>
      <c r="EK139" s="1">
        <f t="shared" si="422"/>
        <v>0.24682268761392</v>
      </c>
      <c r="EL139" s="1">
        <f t="shared" si="423"/>
        <v>0</v>
      </c>
      <c r="EM139" s="1">
        <f t="shared" si="424"/>
        <v>0</v>
      </c>
      <c r="EN139" s="1">
        <f t="shared" si="425"/>
        <v>0</v>
      </c>
      <c r="EO139" s="1">
        <f t="shared" si="426"/>
        <v>0</v>
      </c>
      <c r="EP139" s="1">
        <f t="shared" si="427"/>
        <v>0</v>
      </c>
      <c r="EQ139" s="1">
        <f t="shared" si="428"/>
        <v>0.21621849683808003</v>
      </c>
      <c r="ER139" s="1">
        <f t="shared" si="429"/>
        <v>0</v>
      </c>
      <c r="ES139" s="1">
        <f t="shared" si="430"/>
        <v>0</v>
      </c>
      <c r="ET139" s="1">
        <f t="shared" si="431"/>
        <v>0</v>
      </c>
      <c r="EU139" s="1">
        <f t="shared" si="432"/>
        <v>0.14589546715944002</v>
      </c>
      <c r="EV139" s="1">
        <f t="shared" si="433"/>
        <v>0</v>
      </c>
      <c r="EW139" s="1">
        <f t="shared" si="434"/>
        <v>0.059350736407200004</v>
      </c>
      <c r="EX139" s="1">
        <f t="shared" si="435"/>
        <v>0</v>
      </c>
      <c r="EY139" s="1">
        <f t="shared" si="436"/>
        <v>0</v>
      </c>
      <c r="EZ139" s="1">
        <f t="shared" si="437"/>
        <v>0.10099701098903999</v>
      </c>
      <c r="FA139" s="1">
        <f t="shared" si="438"/>
        <v>0</v>
      </c>
      <c r="FB139" s="1">
        <f t="shared" si="439"/>
        <v>0</v>
      </c>
      <c r="FC139" s="1">
        <f t="shared" si="440"/>
        <v>0</v>
      </c>
      <c r="FD139" s="1">
        <f t="shared" si="441"/>
        <v>0</v>
      </c>
      <c r="FE139" s="1">
        <f t="shared" si="442"/>
        <v>0</v>
      </c>
      <c r="FF139" s="1">
        <f t="shared" si="443"/>
        <v>0</v>
      </c>
      <c r="FG139" s="1">
        <f t="shared" si="444"/>
        <v>0</v>
      </c>
      <c r="FH139" s="1">
        <f t="shared" si="445"/>
        <v>0</v>
      </c>
      <c r="FI139" s="1">
        <f t="shared" si="446"/>
        <v>0</v>
      </c>
      <c r="FJ139" s="1">
        <f t="shared" si="447"/>
        <v>0</v>
      </c>
      <c r="FK139" s="1">
        <f t="shared" si="448"/>
        <v>0</v>
      </c>
      <c r="FL139" s="1">
        <f t="shared" si="449"/>
        <v>4.263919336981805</v>
      </c>
      <c r="FM139" s="1">
        <f t="shared" si="450"/>
        <v>0.0057571153094400015</v>
      </c>
      <c r="FN139" s="1">
        <f t="shared" si="451"/>
        <v>7.46760736344</v>
      </c>
      <c r="FO139" s="1">
        <f>IF(O139=0,0,SUM(EI139:FN139))</f>
        <v>13.08715177096653</v>
      </c>
    </row>
    <row r="140" spans="1:171" ht="12.75">
      <c r="A140" s="24">
        <v>30.2</v>
      </c>
      <c r="B140" s="25" t="s">
        <v>331</v>
      </c>
      <c r="C140" s="25" t="s">
        <v>334</v>
      </c>
      <c r="D140" s="26" t="s">
        <v>310</v>
      </c>
      <c r="E140" s="26">
        <v>5</v>
      </c>
      <c r="F140" s="26" t="s">
        <v>299</v>
      </c>
      <c r="G140" s="26" t="s">
        <v>74</v>
      </c>
      <c r="H140" s="26" t="s">
        <v>75</v>
      </c>
      <c r="I140" s="26">
        <v>1</v>
      </c>
      <c r="J140" s="26"/>
      <c r="K140" s="26">
        <f t="shared" si="452"/>
        <v>1</v>
      </c>
      <c r="L140" s="26">
        <f t="shared" si="453"/>
        <v>0</v>
      </c>
      <c r="M140" s="24">
        <v>380230</v>
      </c>
      <c r="N140" s="24">
        <v>1221530</v>
      </c>
      <c r="O140" s="27">
        <f t="shared" si="454"/>
        <v>44200</v>
      </c>
      <c r="P140" s="28">
        <v>44200</v>
      </c>
      <c r="Q140" s="28">
        <v>46500</v>
      </c>
      <c r="R140" s="28">
        <v>33600</v>
      </c>
      <c r="S140" s="29">
        <v>23400</v>
      </c>
      <c r="T140" s="29">
        <v>0</v>
      </c>
      <c r="U140" s="29">
        <v>0</v>
      </c>
      <c r="V140" s="29">
        <v>0</v>
      </c>
      <c r="W140" s="28">
        <v>0</v>
      </c>
      <c r="X140" s="29">
        <v>0</v>
      </c>
      <c r="Y140" s="29">
        <v>0</v>
      </c>
      <c r="Z140" s="28">
        <v>0</v>
      </c>
      <c r="AA140" s="29">
        <v>0</v>
      </c>
      <c r="AB140" s="28">
        <v>0</v>
      </c>
      <c r="AC140" s="29">
        <v>0</v>
      </c>
      <c r="AD140" s="28">
        <v>0</v>
      </c>
      <c r="AE140" s="28">
        <v>0</v>
      </c>
      <c r="AF140" s="29">
        <v>0</v>
      </c>
      <c r="AG140" s="29">
        <v>0</v>
      </c>
      <c r="AH140" s="29">
        <v>0</v>
      </c>
      <c r="AI140" s="29">
        <v>0</v>
      </c>
      <c r="AJ140" s="29">
        <v>0</v>
      </c>
      <c r="AK140" s="29">
        <v>0</v>
      </c>
      <c r="AL140" s="28">
        <v>0</v>
      </c>
      <c r="AM140" s="30">
        <v>0</v>
      </c>
      <c r="AN140" s="31">
        <v>0</v>
      </c>
      <c r="AO140" s="30">
        <v>0</v>
      </c>
      <c r="AP140" s="31">
        <v>0</v>
      </c>
      <c r="AQ140" s="31">
        <v>0</v>
      </c>
      <c r="AR140" s="31">
        <v>0</v>
      </c>
      <c r="AS140" s="31">
        <v>5800</v>
      </c>
      <c r="AT140" s="31">
        <v>0</v>
      </c>
      <c r="AU140" s="30">
        <v>120</v>
      </c>
      <c r="AX140" s="2">
        <f t="shared" si="455"/>
        <v>35816</v>
      </c>
      <c r="AY140" s="32">
        <f t="shared" si="369"/>
        <v>34044.4559139785</v>
      </c>
      <c r="AZ140" s="186">
        <f t="shared" si="370"/>
        <v>0.4729261498050349</v>
      </c>
      <c r="BA140" s="186">
        <f t="shared" si="371"/>
        <v>0.08236513549671251</v>
      </c>
      <c r="BB140" s="186">
        <f t="shared" si="372"/>
        <v>0.2846822842738975</v>
      </c>
      <c r="BC140" s="53">
        <f t="shared" si="456"/>
        <v>44200</v>
      </c>
      <c r="BD140" s="53">
        <f t="shared" si="373"/>
        <v>19167.88103908923</v>
      </c>
      <c r="BE140" s="53">
        <f t="shared" si="374"/>
        <v>3338.291019898775</v>
      </c>
      <c r="BF140" s="53">
        <f t="shared" si="375"/>
        <v>11538.283854990494</v>
      </c>
      <c r="BG140" s="53"/>
      <c r="BH140" s="53">
        <f t="shared" si="457"/>
        <v>3</v>
      </c>
      <c r="BI140" s="53">
        <f t="shared" si="458"/>
        <v>3</v>
      </c>
      <c r="BJ140" s="53">
        <f t="shared" si="459"/>
        <v>3</v>
      </c>
      <c r="BK140" s="53">
        <f t="shared" si="460"/>
        <v>2</v>
      </c>
      <c r="BL140" s="53"/>
      <c r="BM140" s="53">
        <f t="shared" si="461"/>
        <v>2</v>
      </c>
      <c r="BN140" s="53">
        <f t="shared" si="462"/>
        <v>2</v>
      </c>
      <c r="BO140" s="53">
        <f t="shared" si="463"/>
        <v>2</v>
      </c>
      <c r="BP140" s="53">
        <f t="shared" si="464"/>
        <v>0</v>
      </c>
      <c r="BQ140" s="53"/>
      <c r="BR140" s="53">
        <f t="shared" si="465"/>
        <v>6.5</v>
      </c>
      <c r="BS140" s="53">
        <f t="shared" si="466"/>
        <v>34.2</v>
      </c>
      <c r="BT140" s="53">
        <f t="shared" si="467"/>
        <v>11</v>
      </c>
      <c r="BU140" s="53">
        <f t="shared" si="376"/>
        <v>24816</v>
      </c>
      <c r="BV140" s="53"/>
      <c r="BW140" s="53">
        <f t="shared" si="468"/>
        <v>15600</v>
      </c>
      <c r="BX140" s="53">
        <f t="shared" si="469"/>
        <v>-21036</v>
      </c>
      <c r="BY140" s="53">
        <f t="shared" si="377"/>
        <v>-18814.91095745311</v>
      </c>
      <c r="BZ140" s="240">
        <f t="shared" si="470"/>
        <v>5.791300000000001</v>
      </c>
      <c r="CC140" s="1">
        <f t="shared" si="378"/>
        <v>0</v>
      </c>
      <c r="CD140" s="195">
        <f t="shared" si="379"/>
        <v>2873.2</v>
      </c>
      <c r="CE140" s="195">
        <f t="shared" si="380"/>
        <v>2873.2</v>
      </c>
      <c r="CF140" s="239">
        <f t="shared" si="381"/>
        <v>1.45</v>
      </c>
      <c r="CG140" s="239">
        <f t="shared" si="381"/>
        <v>9.96</v>
      </c>
      <c r="CH140" s="1">
        <f t="shared" si="471"/>
        <v>4780.8</v>
      </c>
      <c r="CK140" s="211">
        <f t="shared" si="382"/>
        <v>0</v>
      </c>
      <c r="CL140" s="211">
        <f t="shared" si="383"/>
        <v>0</v>
      </c>
      <c r="CM140" s="211">
        <f t="shared" si="384"/>
        <v>0</v>
      </c>
      <c r="CQ140" s="1">
        <f t="shared" si="472"/>
        <v>1</v>
      </c>
      <c r="CR140" s="195">
        <f t="shared" si="385"/>
        <v>10000</v>
      </c>
      <c r="CS140" s="195"/>
      <c r="CT140" s="195"/>
      <c r="CV140" s="199">
        <f t="shared" si="386"/>
        <v>23.622410266693404</v>
      </c>
      <c r="CW140" s="199">
        <f t="shared" si="387"/>
        <v>10.090106276318426</v>
      </c>
      <c r="CX140" s="199">
        <f t="shared" si="388"/>
        <v>46.06613996390615</v>
      </c>
      <c r="CY140" s="199">
        <f t="shared" si="389"/>
        <v>0</v>
      </c>
      <c r="CZ140" s="199">
        <f t="shared" si="390"/>
        <v>0</v>
      </c>
      <c r="DA140" s="199">
        <f t="shared" si="391"/>
        <v>0</v>
      </c>
      <c r="DB140" s="199">
        <f t="shared" si="392"/>
        <v>0</v>
      </c>
      <c r="DC140" s="199">
        <f t="shared" si="393"/>
        <v>0</v>
      </c>
      <c r="DD140" s="199">
        <f t="shared" si="394"/>
        <v>0</v>
      </c>
      <c r="DE140" s="199">
        <f t="shared" si="395"/>
        <v>0</v>
      </c>
      <c r="DF140" s="199">
        <f t="shared" si="396"/>
        <v>0</v>
      </c>
      <c r="DG140" s="199">
        <f t="shared" si="397"/>
        <v>0</v>
      </c>
      <c r="DH140" s="199">
        <f t="shared" si="398"/>
        <v>0</v>
      </c>
      <c r="DI140" s="199">
        <f t="shared" si="399"/>
        <v>0</v>
      </c>
      <c r="DJ140" s="199">
        <f t="shared" si="400"/>
        <v>0</v>
      </c>
      <c r="DK140" s="199">
        <f t="shared" si="401"/>
        <v>0</v>
      </c>
      <c r="DL140" s="199">
        <f t="shared" si="402"/>
        <v>0</v>
      </c>
      <c r="DM140" s="199">
        <f t="shared" si="403"/>
        <v>0</v>
      </c>
      <c r="DN140" s="199">
        <f t="shared" si="404"/>
        <v>0</v>
      </c>
      <c r="DO140" s="199">
        <f t="shared" si="405"/>
        <v>0</v>
      </c>
      <c r="DP140" s="199">
        <f t="shared" si="406"/>
        <v>0</v>
      </c>
      <c r="DQ140" s="199">
        <f t="shared" si="407"/>
        <v>0</v>
      </c>
      <c r="DR140" s="199">
        <f t="shared" si="408"/>
        <v>0</v>
      </c>
      <c r="DS140" s="199">
        <f t="shared" si="409"/>
        <v>0</v>
      </c>
      <c r="DT140" s="199">
        <f t="shared" si="410"/>
        <v>0</v>
      </c>
      <c r="DU140" s="199">
        <f t="shared" si="411"/>
        <v>0</v>
      </c>
      <c r="DV140" s="199">
        <f t="shared" si="412"/>
        <v>0</v>
      </c>
      <c r="DW140" s="199">
        <f t="shared" si="413"/>
        <v>0</v>
      </c>
      <c r="DX140" s="199">
        <f t="shared" si="414"/>
        <v>0.3754427110487266</v>
      </c>
      <c r="DY140" s="199">
        <f t="shared" si="415"/>
        <v>0</v>
      </c>
      <c r="DZ140" s="199">
        <f t="shared" si="416"/>
        <v>0.007767780228594345</v>
      </c>
      <c r="EA140" s="199">
        <f t="shared" si="417"/>
        <v>19.76558168740661</v>
      </c>
      <c r="EB140" s="199">
        <f t="shared" si="418"/>
        <v>2.454117669188061</v>
      </c>
      <c r="EC140" s="202">
        <f t="shared" si="368"/>
        <v>102.38156635478997</v>
      </c>
      <c r="ED140" s="202">
        <f>SUM(CV140:DI140,DS140:DT140,DW140,DY140,EA140:EB140)</f>
        <v>101.99835586351266</v>
      </c>
      <c r="EE140" s="203">
        <f t="shared" si="419"/>
        <v>16.88408158284903</v>
      </c>
      <c r="EF140" s="199"/>
      <c r="EI140" s="1">
        <f t="shared" si="420"/>
        <v>0.18495710758393283</v>
      </c>
      <c r="EJ140" s="1">
        <f t="shared" si="421"/>
        <v>0.010606863429336002</v>
      </c>
      <c r="EK140" s="1">
        <f t="shared" si="422"/>
        <v>0.24682268761392</v>
      </c>
      <c r="EL140" s="1">
        <f t="shared" si="423"/>
        <v>0</v>
      </c>
      <c r="EM140" s="1">
        <f t="shared" si="424"/>
        <v>0</v>
      </c>
      <c r="EN140" s="1">
        <f t="shared" si="425"/>
        <v>0</v>
      </c>
      <c r="EO140" s="1">
        <f t="shared" si="426"/>
        <v>0</v>
      </c>
      <c r="EP140" s="1">
        <f t="shared" si="427"/>
        <v>0</v>
      </c>
      <c r="EQ140" s="1">
        <f t="shared" si="428"/>
        <v>0</v>
      </c>
      <c r="ER140" s="1">
        <f t="shared" si="429"/>
        <v>0</v>
      </c>
      <c r="ES140" s="1">
        <f t="shared" si="430"/>
        <v>0</v>
      </c>
      <c r="ET140" s="1">
        <f t="shared" si="431"/>
        <v>0</v>
      </c>
      <c r="EU140" s="1">
        <f t="shared" si="432"/>
        <v>0</v>
      </c>
      <c r="EV140" s="1">
        <f t="shared" si="433"/>
        <v>0</v>
      </c>
      <c r="EW140" s="1">
        <f t="shared" si="434"/>
        <v>0</v>
      </c>
      <c r="EX140" s="1">
        <f t="shared" si="435"/>
        <v>0</v>
      </c>
      <c r="EY140" s="1">
        <f t="shared" si="436"/>
        <v>0</v>
      </c>
      <c r="EZ140" s="1">
        <f t="shared" si="437"/>
        <v>0</v>
      </c>
      <c r="FA140" s="1">
        <f t="shared" si="438"/>
        <v>0</v>
      </c>
      <c r="FB140" s="1">
        <f t="shared" si="439"/>
        <v>0</v>
      </c>
      <c r="FC140" s="1">
        <f t="shared" si="440"/>
        <v>0</v>
      </c>
      <c r="FD140" s="1">
        <f t="shared" si="441"/>
        <v>0</v>
      </c>
      <c r="FE140" s="1">
        <f t="shared" si="442"/>
        <v>0</v>
      </c>
      <c r="FF140" s="1">
        <f t="shared" si="443"/>
        <v>0</v>
      </c>
      <c r="FG140" s="1">
        <f t="shared" si="444"/>
        <v>0</v>
      </c>
      <c r="FH140" s="1">
        <f t="shared" si="445"/>
        <v>0</v>
      </c>
      <c r="FI140" s="1">
        <f t="shared" si="446"/>
        <v>0</v>
      </c>
      <c r="FJ140" s="1">
        <f t="shared" si="447"/>
        <v>0</v>
      </c>
      <c r="FK140" s="1">
        <f t="shared" si="448"/>
        <v>0</v>
      </c>
      <c r="FL140" s="1">
        <f t="shared" si="449"/>
        <v>0</v>
      </c>
      <c r="FM140" s="1">
        <f t="shared" si="450"/>
        <v>0.0057571153094400015</v>
      </c>
      <c r="FN140" s="1">
        <f t="shared" si="451"/>
        <v>4.472293968912</v>
      </c>
      <c r="FO140" s="1">
        <f>IF(O140=0,0,SUM(EI140:FN140))</f>
        <v>4.920437742848629</v>
      </c>
    </row>
    <row r="141" spans="1:171" ht="12.75">
      <c r="A141" s="24">
        <v>31</v>
      </c>
      <c r="B141" s="25" t="s">
        <v>335</v>
      </c>
      <c r="C141" s="25" t="s">
        <v>336</v>
      </c>
      <c r="D141" s="26" t="s">
        <v>310</v>
      </c>
      <c r="E141" s="26">
        <v>5</v>
      </c>
      <c r="F141" s="26" t="s">
        <v>299</v>
      </c>
      <c r="G141" s="26" t="s">
        <v>74</v>
      </c>
      <c r="H141" s="26" t="s">
        <v>75</v>
      </c>
      <c r="I141" s="26">
        <v>1</v>
      </c>
      <c r="J141" s="26"/>
      <c r="K141" s="26">
        <f t="shared" si="452"/>
        <v>1</v>
      </c>
      <c r="L141" s="26">
        <f t="shared" si="453"/>
        <v>1</v>
      </c>
      <c r="M141" s="24">
        <v>380254</v>
      </c>
      <c r="N141" s="24">
        <v>1220522</v>
      </c>
      <c r="O141" s="27">
        <f t="shared" si="454"/>
        <v>166000</v>
      </c>
      <c r="P141" s="28">
        <v>166000</v>
      </c>
      <c r="Q141" s="28">
        <v>170000</v>
      </c>
      <c r="R141" s="28">
        <v>153000</v>
      </c>
      <c r="S141" s="29">
        <v>0</v>
      </c>
      <c r="T141" s="29">
        <v>48000</v>
      </c>
      <c r="U141" s="29">
        <v>0</v>
      </c>
      <c r="V141" s="29">
        <v>0</v>
      </c>
      <c r="W141" s="28">
        <v>70000</v>
      </c>
      <c r="X141" s="29">
        <v>1000</v>
      </c>
      <c r="Y141" s="29">
        <v>0</v>
      </c>
      <c r="Z141" s="28">
        <v>35000</v>
      </c>
      <c r="AA141" s="29">
        <v>0</v>
      </c>
      <c r="AB141" s="28">
        <v>22000</v>
      </c>
      <c r="AC141" s="29">
        <v>20000</v>
      </c>
      <c r="AD141" s="28">
        <v>0</v>
      </c>
      <c r="AE141" s="28">
        <v>25000</v>
      </c>
      <c r="AF141" s="29">
        <v>38900</v>
      </c>
      <c r="AG141" s="29">
        <v>0</v>
      </c>
      <c r="AH141" s="29">
        <v>33000</v>
      </c>
      <c r="AI141" s="29">
        <v>15000</v>
      </c>
      <c r="AJ141" s="29">
        <v>0</v>
      </c>
      <c r="AK141" s="29">
        <v>65000</v>
      </c>
      <c r="AL141" s="28">
        <v>5500</v>
      </c>
      <c r="AM141" s="30">
        <v>14000</v>
      </c>
      <c r="AN141" s="31">
        <v>0</v>
      </c>
      <c r="AO141" s="30">
        <v>0</v>
      </c>
      <c r="AP141" s="31">
        <v>0</v>
      </c>
      <c r="AQ141" s="31">
        <v>0</v>
      </c>
      <c r="AR141" s="31">
        <v>0</v>
      </c>
      <c r="AS141" s="31">
        <v>8600</v>
      </c>
      <c r="AT141" s="31">
        <v>82</v>
      </c>
      <c r="AU141" s="30">
        <v>200</v>
      </c>
      <c r="AX141" s="2">
        <f t="shared" si="455"/>
        <v>142032</v>
      </c>
      <c r="AY141" s="32">
        <f t="shared" si="369"/>
        <v>138690.07058823528</v>
      </c>
      <c r="AZ141" s="186">
        <f t="shared" si="370"/>
        <v>0.4729261498050349</v>
      </c>
      <c r="BA141" s="186">
        <f t="shared" si="371"/>
        <v>0.08236513549671251</v>
      </c>
      <c r="BB141" s="186">
        <f t="shared" si="372"/>
        <v>0.2846822842738975</v>
      </c>
      <c r="BC141" s="53">
        <f t="shared" si="456"/>
        <v>166000</v>
      </c>
      <c r="BD141" s="53">
        <f t="shared" si="373"/>
        <v>78085.98207752989</v>
      </c>
      <c r="BE141" s="53">
        <f t="shared" si="374"/>
        <v>13599.507019988308</v>
      </c>
      <c r="BF141" s="53">
        <f t="shared" si="375"/>
        <v>47004.58149071707</v>
      </c>
      <c r="BG141" s="53"/>
      <c r="BH141" s="53">
        <f t="shared" si="457"/>
        <v>7</v>
      </c>
      <c r="BI141" s="53">
        <f t="shared" si="458"/>
        <v>6</v>
      </c>
      <c r="BJ141" s="53">
        <f t="shared" si="459"/>
        <v>4</v>
      </c>
      <c r="BK141" s="53">
        <f t="shared" si="460"/>
        <v>5</v>
      </c>
      <c r="BL141" s="53"/>
      <c r="BM141" s="53">
        <f t="shared" si="461"/>
        <v>3</v>
      </c>
      <c r="BN141" s="53">
        <f t="shared" si="462"/>
        <v>3</v>
      </c>
      <c r="BO141" s="53">
        <f t="shared" si="463"/>
        <v>2</v>
      </c>
      <c r="BP141" s="53">
        <f t="shared" si="464"/>
        <v>0</v>
      </c>
      <c r="BQ141" s="53"/>
      <c r="BR141" s="53">
        <f t="shared" si="465"/>
        <v>9.75</v>
      </c>
      <c r="BS141" s="53">
        <f t="shared" si="466"/>
        <v>51.300000000000004</v>
      </c>
      <c r="BT141" s="53">
        <f t="shared" si="467"/>
        <v>11</v>
      </c>
      <c r="BU141" s="53">
        <f t="shared" si="376"/>
        <v>34584.00000000001</v>
      </c>
      <c r="BV141" s="53"/>
      <c r="BW141" s="53">
        <f t="shared" si="468"/>
        <v>20800</v>
      </c>
      <c r="BX141" s="53">
        <f t="shared" si="469"/>
        <v>-29544.000000000007</v>
      </c>
      <c r="BY141" s="53">
        <f t="shared" si="377"/>
        <v>-26582.54794327082</v>
      </c>
      <c r="BZ141" s="240">
        <f t="shared" si="470"/>
        <v>7.944450000000001</v>
      </c>
      <c r="CC141" s="1">
        <f t="shared" si="378"/>
        <v>0</v>
      </c>
      <c r="CD141" s="195">
        <f t="shared" si="379"/>
        <v>5746.4</v>
      </c>
      <c r="CE141" s="195">
        <f t="shared" si="380"/>
        <v>5746.4</v>
      </c>
      <c r="CF141" s="239">
        <f t="shared" si="381"/>
        <v>2.9</v>
      </c>
      <c r="CG141" s="239">
        <f t="shared" si="381"/>
        <v>19.92</v>
      </c>
      <c r="CH141" s="1">
        <f t="shared" si="471"/>
        <v>9561.6</v>
      </c>
      <c r="CK141" s="211">
        <f t="shared" si="382"/>
        <v>0</v>
      </c>
      <c r="CL141" s="211">
        <f t="shared" si="383"/>
        <v>0</v>
      </c>
      <c r="CM141" s="211">
        <f t="shared" si="384"/>
        <v>0</v>
      </c>
      <c r="CQ141" s="1">
        <f t="shared" si="472"/>
        <v>1</v>
      </c>
      <c r="CR141" s="195">
        <f t="shared" si="385"/>
        <v>10000</v>
      </c>
      <c r="CS141" s="195"/>
      <c r="CT141" s="195"/>
      <c r="CV141" s="199">
        <f t="shared" si="386"/>
        <v>86.36149989973931</v>
      </c>
      <c r="CW141" s="199">
        <f t="shared" si="387"/>
        <v>45.94601965109283</v>
      </c>
      <c r="CX141" s="199">
        <f t="shared" si="388"/>
        <v>0</v>
      </c>
      <c r="CY141" s="199">
        <f t="shared" si="389"/>
        <v>94.4946460798075</v>
      </c>
      <c r="CZ141" s="199">
        <f t="shared" si="390"/>
        <v>0</v>
      </c>
      <c r="DA141" s="199">
        <f t="shared" si="391"/>
        <v>0</v>
      </c>
      <c r="DB141" s="199">
        <f t="shared" si="392"/>
        <v>18.218247443352713</v>
      </c>
      <c r="DC141" s="199">
        <f t="shared" si="393"/>
        <v>0.26026067776218165</v>
      </c>
      <c r="DD141" s="199">
        <f t="shared" si="394"/>
        <v>0</v>
      </c>
      <c r="DE141" s="199">
        <f t="shared" si="395"/>
        <v>10.627311008622417</v>
      </c>
      <c r="DF141" s="199">
        <f t="shared" si="396"/>
        <v>0</v>
      </c>
      <c r="DG141" s="199">
        <f t="shared" si="397"/>
        <v>29.179225987567673</v>
      </c>
      <c r="DH141" s="199">
        <f t="shared" si="398"/>
        <v>26.526569079606976</v>
      </c>
      <c r="DI141" s="199">
        <f t="shared" si="399"/>
        <v>0</v>
      </c>
      <c r="DJ141" s="199">
        <f t="shared" si="400"/>
        <v>3.415921395628634</v>
      </c>
      <c r="DK141" s="199">
        <f t="shared" si="401"/>
        <v>5.3151736915981544</v>
      </c>
      <c r="DL141" s="199">
        <f t="shared" si="402"/>
        <v>0</v>
      </c>
      <c r="DM141" s="199">
        <f t="shared" si="403"/>
        <v>4.509016242229797</v>
      </c>
      <c r="DN141" s="199">
        <f t="shared" si="404"/>
        <v>2.0495528373771807</v>
      </c>
      <c r="DO141" s="199">
        <f t="shared" si="405"/>
        <v>0</v>
      </c>
      <c r="DP141" s="199">
        <f t="shared" si="406"/>
        <v>8.881395628634449</v>
      </c>
      <c r="DQ141" s="199">
        <f t="shared" si="407"/>
        <v>0.7515027070382996</v>
      </c>
      <c r="DR141" s="199">
        <f t="shared" si="408"/>
        <v>2.1021054742330056</v>
      </c>
      <c r="DS141" s="199">
        <f t="shared" si="409"/>
        <v>0</v>
      </c>
      <c r="DT141" s="199">
        <f t="shared" si="410"/>
        <v>0</v>
      </c>
      <c r="DU141" s="199">
        <f t="shared" si="411"/>
        <v>0</v>
      </c>
      <c r="DV141" s="199">
        <f t="shared" si="412"/>
        <v>0</v>
      </c>
      <c r="DW141" s="199">
        <f t="shared" si="413"/>
        <v>0</v>
      </c>
      <c r="DX141" s="199">
        <f t="shared" si="414"/>
        <v>0.5566909163825947</v>
      </c>
      <c r="DY141" s="199">
        <f t="shared" si="415"/>
        <v>3.392731501904952</v>
      </c>
      <c r="DZ141" s="199">
        <f t="shared" si="416"/>
        <v>0.012946300380990575</v>
      </c>
      <c r="EA141" s="199">
        <f t="shared" si="417"/>
        <v>80.52089087193761</v>
      </c>
      <c r="EB141" s="199">
        <f t="shared" si="418"/>
        <v>9.556527387433206</v>
      </c>
      <c r="EC141" s="202">
        <f t="shared" si="368"/>
        <v>432.6782347823305</v>
      </c>
      <c r="ED141" s="202">
        <f>SUM(CV141:DI141,DS141:DT141,DW141,DY141,EA141:EB141)</f>
        <v>405.08392958882746</v>
      </c>
      <c r="EE141" s="203">
        <f t="shared" si="419"/>
        <v>67.05470943307122</v>
      </c>
      <c r="EF141" s="199"/>
      <c r="EI141" s="1">
        <f t="shared" si="420"/>
        <v>0.5699766927982697</v>
      </c>
      <c r="EJ141" s="1">
        <f t="shared" si="421"/>
        <v>0.010606863429336002</v>
      </c>
      <c r="EK141" s="1">
        <f t="shared" si="422"/>
        <v>0</v>
      </c>
      <c r="EL141" s="1">
        <f t="shared" si="423"/>
        <v>0.24682268761392</v>
      </c>
      <c r="EM141" s="1">
        <f t="shared" si="424"/>
        <v>0</v>
      </c>
      <c r="EN141" s="1">
        <f t="shared" si="425"/>
        <v>0</v>
      </c>
      <c r="EO141" s="1">
        <f t="shared" si="426"/>
        <v>0.2644897670328</v>
      </c>
      <c r="EP141" s="1">
        <f t="shared" si="427"/>
        <v>0</v>
      </c>
      <c r="EQ141" s="1">
        <f t="shared" si="428"/>
        <v>0.21621849683808003</v>
      </c>
      <c r="ER141" s="1">
        <f t="shared" si="429"/>
        <v>0</v>
      </c>
      <c r="ES141" s="1">
        <f t="shared" si="430"/>
        <v>0</v>
      </c>
      <c r="ET141" s="1">
        <f t="shared" si="431"/>
        <v>0.14589546715944002</v>
      </c>
      <c r="EU141" s="1">
        <f t="shared" si="432"/>
        <v>0.14589546715944002</v>
      </c>
      <c r="EV141" s="1">
        <f t="shared" si="433"/>
        <v>0</v>
      </c>
      <c r="EW141" s="1">
        <f t="shared" si="434"/>
        <v>0.059350736407200004</v>
      </c>
      <c r="EX141" s="1">
        <f t="shared" si="435"/>
        <v>0.10099701098903999</v>
      </c>
      <c r="EY141" s="1">
        <f t="shared" si="436"/>
        <v>0</v>
      </c>
      <c r="EZ141" s="1">
        <f t="shared" si="437"/>
        <v>0.059350736407200004</v>
      </c>
      <c r="FA141" s="1">
        <f t="shared" si="438"/>
        <v>0.059350736407200004</v>
      </c>
      <c r="FB141" s="1">
        <f t="shared" si="439"/>
        <v>0</v>
      </c>
      <c r="FC141" s="1">
        <f t="shared" si="440"/>
        <v>0.10099701098903999</v>
      </c>
      <c r="FD141" s="1">
        <f t="shared" si="441"/>
        <v>0.059350736407200004</v>
      </c>
      <c r="FE141" s="1">
        <f t="shared" si="442"/>
        <v>0.059350736407200004</v>
      </c>
      <c r="FF141" s="1">
        <f t="shared" si="443"/>
        <v>0</v>
      </c>
      <c r="FG141" s="1">
        <f t="shared" si="444"/>
        <v>0</v>
      </c>
      <c r="FH141" s="1">
        <f t="shared" si="445"/>
        <v>0</v>
      </c>
      <c r="FI141" s="1">
        <f t="shared" si="446"/>
        <v>0</v>
      </c>
      <c r="FJ141" s="1">
        <f t="shared" si="447"/>
        <v>0</v>
      </c>
      <c r="FK141" s="1">
        <f t="shared" si="448"/>
        <v>0</v>
      </c>
      <c r="FL141" s="1">
        <f t="shared" si="449"/>
        <v>4.263919336981805</v>
      </c>
      <c r="FM141" s="1">
        <f t="shared" si="450"/>
        <v>0.0057571153094400015</v>
      </c>
      <c r="FN141" s="1">
        <f t="shared" si="451"/>
        <v>7.46760736344</v>
      </c>
      <c r="FO141" s="1">
        <f>IF(O141=0,0,SUM(EI141:FN141))</f>
        <v>13.83593696177661</v>
      </c>
    </row>
    <row r="142" spans="1:171" s="45" customFormat="1" ht="12.75">
      <c r="A142" s="24">
        <v>32</v>
      </c>
      <c r="B142" s="25" t="s">
        <v>337</v>
      </c>
      <c r="C142" s="25" t="s">
        <v>318</v>
      </c>
      <c r="D142" s="26" t="s">
        <v>310</v>
      </c>
      <c r="E142" s="26">
        <v>5</v>
      </c>
      <c r="F142" s="26" t="s">
        <v>299</v>
      </c>
      <c r="G142" s="26" t="s">
        <v>74</v>
      </c>
      <c r="H142" s="26" t="s">
        <v>75</v>
      </c>
      <c r="I142" s="26">
        <v>1</v>
      </c>
      <c r="J142" s="26"/>
      <c r="K142" s="26">
        <f t="shared" si="452"/>
        <v>1</v>
      </c>
      <c r="L142" s="26">
        <f t="shared" si="453"/>
        <v>1</v>
      </c>
      <c r="M142" s="24">
        <v>334557</v>
      </c>
      <c r="N142" s="24">
        <v>1181537</v>
      </c>
      <c r="O142" s="27">
        <f t="shared" si="454"/>
        <v>80887</v>
      </c>
      <c r="P142" s="28">
        <v>80887</v>
      </c>
      <c r="Q142" s="28">
        <v>81000</v>
      </c>
      <c r="R142" s="28">
        <v>45000</v>
      </c>
      <c r="S142" s="29">
        <v>29000</v>
      </c>
      <c r="T142" s="29">
        <v>0</v>
      </c>
      <c r="U142" s="29">
        <v>0</v>
      </c>
      <c r="V142" s="29">
        <v>0</v>
      </c>
      <c r="W142" s="28">
        <v>52000</v>
      </c>
      <c r="X142" s="29">
        <v>0</v>
      </c>
      <c r="Y142" s="29">
        <v>0</v>
      </c>
      <c r="Z142" s="28">
        <v>0</v>
      </c>
      <c r="AA142" s="29">
        <v>0</v>
      </c>
      <c r="AB142" s="28">
        <v>17000</v>
      </c>
      <c r="AC142" s="29">
        <v>0</v>
      </c>
      <c r="AD142" s="28">
        <v>0</v>
      </c>
      <c r="AE142" s="28">
        <v>32000</v>
      </c>
      <c r="AF142" s="29">
        <v>0</v>
      </c>
      <c r="AG142" s="29">
        <v>0</v>
      </c>
      <c r="AH142" s="29">
        <v>32000</v>
      </c>
      <c r="AI142" s="29">
        <v>0</v>
      </c>
      <c r="AJ142" s="29">
        <v>0</v>
      </c>
      <c r="AK142" s="29">
        <v>62000</v>
      </c>
      <c r="AL142" s="28">
        <v>0</v>
      </c>
      <c r="AM142" s="30">
        <v>14000</v>
      </c>
      <c r="AN142" s="31">
        <v>0</v>
      </c>
      <c r="AO142" s="30">
        <v>0</v>
      </c>
      <c r="AP142" s="31">
        <v>7000</v>
      </c>
      <c r="AQ142" s="31">
        <v>0</v>
      </c>
      <c r="AR142" s="31">
        <v>0</v>
      </c>
      <c r="AS142" s="31">
        <v>10000</v>
      </c>
      <c r="AT142" s="31">
        <v>0</v>
      </c>
      <c r="AU142" s="30">
        <v>230</v>
      </c>
      <c r="AW142" s="1"/>
      <c r="AX142" s="2">
        <f t="shared" si="455"/>
        <v>62480</v>
      </c>
      <c r="AY142" s="32">
        <f t="shared" si="369"/>
        <v>62392.83654320987</v>
      </c>
      <c r="AZ142" s="186">
        <f t="shared" si="370"/>
        <v>0.4729261498050349</v>
      </c>
      <c r="BA142" s="186">
        <f t="shared" si="371"/>
        <v>0.08236513549671251</v>
      </c>
      <c r="BB142" s="186">
        <f t="shared" si="372"/>
        <v>0.2846822842738975</v>
      </c>
      <c r="BC142" s="53">
        <f t="shared" si="456"/>
        <v>80887</v>
      </c>
      <c r="BD142" s="53">
        <f t="shared" si="373"/>
        <v>35128.72908215693</v>
      </c>
      <c r="BE142" s="53">
        <f t="shared" si="374"/>
        <v>6118.043021879771</v>
      </c>
      <c r="BF142" s="53">
        <f t="shared" si="375"/>
        <v>21146.064439173166</v>
      </c>
      <c r="BG142" s="53"/>
      <c r="BH142" s="53">
        <f t="shared" si="457"/>
        <v>4</v>
      </c>
      <c r="BI142" s="53">
        <f t="shared" si="458"/>
        <v>4</v>
      </c>
      <c r="BJ142" s="53">
        <f t="shared" si="459"/>
        <v>3</v>
      </c>
      <c r="BK142" s="53">
        <f t="shared" si="460"/>
        <v>3</v>
      </c>
      <c r="BL142" s="53"/>
      <c r="BM142" s="53">
        <f t="shared" si="461"/>
        <v>2</v>
      </c>
      <c r="BN142" s="53">
        <f t="shared" si="462"/>
        <v>2</v>
      </c>
      <c r="BO142" s="53">
        <f t="shared" si="463"/>
        <v>2</v>
      </c>
      <c r="BP142" s="53">
        <f t="shared" si="464"/>
        <v>0</v>
      </c>
      <c r="BQ142" s="53"/>
      <c r="BR142" s="53">
        <f t="shared" si="465"/>
        <v>6.5</v>
      </c>
      <c r="BS142" s="53">
        <f t="shared" si="466"/>
        <v>34.2</v>
      </c>
      <c r="BT142" s="53">
        <f t="shared" si="467"/>
        <v>11</v>
      </c>
      <c r="BU142" s="53">
        <f t="shared" si="376"/>
        <v>24816</v>
      </c>
      <c r="BV142" s="53"/>
      <c r="BW142" s="53">
        <f t="shared" si="468"/>
        <v>15600</v>
      </c>
      <c r="BX142" s="53">
        <f t="shared" si="469"/>
        <v>-21036</v>
      </c>
      <c r="BY142" s="53">
        <f t="shared" si="377"/>
        <v>-18814.91095745311</v>
      </c>
      <c r="BZ142" s="240">
        <f t="shared" si="470"/>
        <v>5.791300000000001</v>
      </c>
      <c r="CC142" s="1">
        <f t="shared" si="378"/>
        <v>0</v>
      </c>
      <c r="CD142" s="195">
        <f t="shared" si="379"/>
        <v>5746.4</v>
      </c>
      <c r="CE142" s="195">
        <f t="shared" si="380"/>
        <v>5746.4</v>
      </c>
      <c r="CF142" s="239">
        <f t="shared" si="381"/>
        <v>2.9</v>
      </c>
      <c r="CG142" s="239">
        <f t="shared" si="381"/>
        <v>19.92</v>
      </c>
      <c r="CH142" s="1">
        <f t="shared" si="471"/>
        <v>9561.6</v>
      </c>
      <c r="CI142" s="1"/>
      <c r="CJ142" s="1"/>
      <c r="CK142" s="211">
        <f t="shared" si="382"/>
        <v>0</v>
      </c>
      <c r="CL142" s="211">
        <f t="shared" si="383"/>
        <v>0</v>
      </c>
      <c r="CM142" s="211">
        <f t="shared" si="384"/>
        <v>0</v>
      </c>
      <c r="CN142" s="1"/>
      <c r="CO142" s="1"/>
      <c r="CP142" s="1"/>
      <c r="CQ142" s="1">
        <f t="shared" si="472"/>
        <v>1</v>
      </c>
      <c r="CR142" s="195">
        <f t="shared" si="385"/>
        <v>10000</v>
      </c>
      <c r="CS142" s="195"/>
      <c r="CT142" s="195"/>
      <c r="CU142" s="1"/>
      <c r="CV142" s="199">
        <f t="shared" si="386"/>
        <v>41.14871465811109</v>
      </c>
      <c r="CW142" s="199">
        <f t="shared" si="387"/>
        <v>13.513535191497894</v>
      </c>
      <c r="CX142" s="199">
        <f t="shared" si="388"/>
        <v>57.090515339883694</v>
      </c>
      <c r="CY142" s="199">
        <f t="shared" si="389"/>
        <v>0</v>
      </c>
      <c r="CZ142" s="199">
        <f t="shared" si="390"/>
        <v>0</v>
      </c>
      <c r="DA142" s="199">
        <f t="shared" si="391"/>
        <v>0</v>
      </c>
      <c r="DB142" s="199">
        <f t="shared" si="392"/>
        <v>13.533555243633446</v>
      </c>
      <c r="DC142" s="199">
        <f t="shared" si="393"/>
        <v>0</v>
      </c>
      <c r="DD142" s="199">
        <f t="shared" si="394"/>
        <v>0</v>
      </c>
      <c r="DE142" s="199">
        <f t="shared" si="395"/>
        <v>0</v>
      </c>
      <c r="DF142" s="199">
        <f t="shared" si="396"/>
        <v>0</v>
      </c>
      <c r="DG142" s="199">
        <f t="shared" si="397"/>
        <v>22.54758371766593</v>
      </c>
      <c r="DH142" s="199">
        <f t="shared" si="398"/>
        <v>0</v>
      </c>
      <c r="DI142" s="199">
        <f t="shared" si="399"/>
        <v>0</v>
      </c>
      <c r="DJ142" s="199">
        <f t="shared" si="400"/>
        <v>4.372379386404651</v>
      </c>
      <c r="DK142" s="199">
        <f t="shared" si="401"/>
        <v>0</v>
      </c>
      <c r="DL142" s="199">
        <f t="shared" si="402"/>
        <v>0</v>
      </c>
      <c r="DM142" s="199">
        <f t="shared" si="403"/>
        <v>4.372379386404651</v>
      </c>
      <c r="DN142" s="199">
        <f t="shared" si="404"/>
        <v>0</v>
      </c>
      <c r="DO142" s="199">
        <f t="shared" si="405"/>
        <v>0</v>
      </c>
      <c r="DP142" s="199">
        <f t="shared" si="406"/>
        <v>8.471485061159013</v>
      </c>
      <c r="DQ142" s="199">
        <f t="shared" si="407"/>
        <v>0</v>
      </c>
      <c r="DR142" s="199">
        <f t="shared" si="408"/>
        <v>2.1021054742330056</v>
      </c>
      <c r="DS142" s="199">
        <f t="shared" si="409"/>
        <v>0</v>
      </c>
      <c r="DT142" s="199">
        <f t="shared" si="410"/>
        <v>0</v>
      </c>
      <c r="DU142" s="199">
        <f t="shared" si="411"/>
        <v>0.002043713655504311</v>
      </c>
      <c r="DV142" s="199">
        <f t="shared" si="412"/>
        <v>0</v>
      </c>
      <c r="DW142" s="199">
        <f t="shared" si="413"/>
        <v>0</v>
      </c>
      <c r="DX142" s="199">
        <f t="shared" si="414"/>
        <v>0.6473150190495287</v>
      </c>
      <c r="DY142" s="199">
        <f t="shared" si="415"/>
        <v>0</v>
      </c>
      <c r="DZ142" s="199">
        <f t="shared" si="416"/>
        <v>0.014888245438139162</v>
      </c>
      <c r="EA142" s="199">
        <f t="shared" si="417"/>
        <v>36.224127373921824</v>
      </c>
      <c r="EB142" s="199">
        <f t="shared" si="418"/>
        <v>4.493936016190639</v>
      </c>
      <c r="EC142" s="202">
        <f t="shared" si="368"/>
        <v>208.53456382724897</v>
      </c>
      <c r="ED142" s="202">
        <f>SUM(CV142:DI142,DS142:DT142,DW142,DY142,EA142:EB142)</f>
        <v>188.5519675409045</v>
      </c>
      <c r="EE142" s="203">
        <f t="shared" si="419"/>
        <v>31.211550182508</v>
      </c>
      <c r="EF142" s="199"/>
      <c r="EI142" s="1">
        <f t="shared" si="420"/>
        <v>0.5699766927982697</v>
      </c>
      <c r="EJ142" s="1">
        <f t="shared" si="421"/>
        <v>0.010606863429336002</v>
      </c>
      <c r="EK142" s="1">
        <f t="shared" si="422"/>
        <v>0.24682268761392</v>
      </c>
      <c r="EL142" s="1">
        <f t="shared" si="423"/>
        <v>0</v>
      </c>
      <c r="EM142" s="1">
        <f t="shared" si="424"/>
        <v>0</v>
      </c>
      <c r="EN142" s="1">
        <f t="shared" si="425"/>
        <v>0</v>
      </c>
      <c r="EO142" s="1">
        <f t="shared" si="426"/>
        <v>0.2644897670328</v>
      </c>
      <c r="EP142" s="1">
        <f t="shared" si="427"/>
        <v>0</v>
      </c>
      <c r="EQ142" s="1">
        <f t="shared" si="428"/>
        <v>0</v>
      </c>
      <c r="ER142" s="1">
        <f t="shared" si="429"/>
        <v>0</v>
      </c>
      <c r="ES142" s="1">
        <f t="shared" si="430"/>
        <v>0</v>
      </c>
      <c r="ET142" s="1">
        <f t="shared" si="431"/>
        <v>0.14589546715944002</v>
      </c>
      <c r="EU142" s="1">
        <f t="shared" si="432"/>
        <v>0</v>
      </c>
      <c r="EV142" s="1">
        <f t="shared" si="433"/>
        <v>0</v>
      </c>
      <c r="EW142" s="1">
        <f t="shared" si="434"/>
        <v>0.059350736407200004</v>
      </c>
      <c r="EX142" s="1">
        <f t="shared" si="435"/>
        <v>0</v>
      </c>
      <c r="EY142" s="1">
        <f t="shared" si="436"/>
        <v>0</v>
      </c>
      <c r="EZ142" s="1">
        <f t="shared" si="437"/>
        <v>0.059350736407200004</v>
      </c>
      <c r="FA142" s="1">
        <f t="shared" si="438"/>
        <v>0</v>
      </c>
      <c r="FB142" s="1">
        <f t="shared" si="439"/>
        <v>0</v>
      </c>
      <c r="FC142" s="1">
        <f t="shared" si="440"/>
        <v>0.10099701098903999</v>
      </c>
      <c r="FD142" s="1">
        <f t="shared" si="441"/>
        <v>0</v>
      </c>
      <c r="FE142" s="1">
        <f t="shared" si="442"/>
        <v>0.059350736407200004</v>
      </c>
      <c r="FF142" s="1">
        <f t="shared" si="443"/>
        <v>0</v>
      </c>
      <c r="FG142" s="1">
        <f t="shared" si="444"/>
        <v>0</v>
      </c>
      <c r="FH142" s="1">
        <f t="shared" si="445"/>
        <v>0</v>
      </c>
      <c r="FI142" s="1">
        <f t="shared" si="446"/>
        <v>0</v>
      </c>
      <c r="FJ142" s="1">
        <f t="shared" si="447"/>
        <v>0</v>
      </c>
      <c r="FK142" s="1">
        <f t="shared" si="448"/>
        <v>0</v>
      </c>
      <c r="FL142" s="1">
        <f t="shared" si="449"/>
        <v>0</v>
      </c>
      <c r="FM142" s="1">
        <f t="shared" si="450"/>
        <v>0.0057571153094400015</v>
      </c>
      <c r="FN142" s="1">
        <f t="shared" si="451"/>
        <v>7.46760736344</v>
      </c>
      <c r="FO142" s="1">
        <f>IF(O142=0,0,SUM(EI142:FN142))</f>
        <v>8.990205176993845</v>
      </c>
    </row>
    <row r="143" spans="1:171" s="45" customFormat="1" ht="12.75">
      <c r="A143" s="24">
        <v>33</v>
      </c>
      <c r="B143" s="25" t="s">
        <v>338</v>
      </c>
      <c r="C143" s="25" t="s">
        <v>339</v>
      </c>
      <c r="D143" s="26" t="s">
        <v>310</v>
      </c>
      <c r="E143" s="26">
        <v>5</v>
      </c>
      <c r="F143" s="26" t="s">
        <v>299</v>
      </c>
      <c r="G143" s="26" t="s">
        <v>74</v>
      </c>
      <c r="H143" s="26" t="s">
        <v>75</v>
      </c>
      <c r="I143" s="26">
        <v>1</v>
      </c>
      <c r="J143" s="26"/>
      <c r="K143" s="26">
        <f t="shared" si="452"/>
        <v>1</v>
      </c>
      <c r="L143" s="26">
        <f t="shared" si="453"/>
        <v>1</v>
      </c>
      <c r="M143" s="24">
        <v>380430</v>
      </c>
      <c r="N143" s="24">
        <v>1220830</v>
      </c>
      <c r="O143" s="27">
        <f t="shared" si="454"/>
        <v>144000</v>
      </c>
      <c r="P143" s="28">
        <v>144000</v>
      </c>
      <c r="Q143" s="28">
        <v>153000</v>
      </c>
      <c r="R143" s="28">
        <v>89500</v>
      </c>
      <c r="S143" s="29">
        <v>0</v>
      </c>
      <c r="T143" s="29">
        <v>29500</v>
      </c>
      <c r="U143" s="29">
        <v>0</v>
      </c>
      <c r="V143" s="29">
        <v>0</v>
      </c>
      <c r="W143" s="28">
        <v>75300</v>
      </c>
      <c r="X143" s="29">
        <v>0</v>
      </c>
      <c r="Y143" s="29">
        <v>36700</v>
      </c>
      <c r="Z143" s="28">
        <v>0</v>
      </c>
      <c r="AA143" s="29">
        <v>0</v>
      </c>
      <c r="AB143" s="28">
        <v>0</v>
      </c>
      <c r="AC143" s="29">
        <v>37200</v>
      </c>
      <c r="AD143" s="28">
        <v>0</v>
      </c>
      <c r="AE143" s="28">
        <v>29900</v>
      </c>
      <c r="AF143" s="29">
        <v>47100</v>
      </c>
      <c r="AG143" s="29">
        <v>15400</v>
      </c>
      <c r="AH143" s="29">
        <v>12500</v>
      </c>
      <c r="AI143" s="29">
        <v>0</v>
      </c>
      <c r="AJ143" s="29">
        <v>0</v>
      </c>
      <c r="AK143" s="29">
        <v>39000</v>
      </c>
      <c r="AL143" s="30">
        <v>21700</v>
      </c>
      <c r="AM143" s="30">
        <v>17100</v>
      </c>
      <c r="AN143" s="31">
        <v>0</v>
      </c>
      <c r="AO143" s="30">
        <v>9000</v>
      </c>
      <c r="AP143" s="31">
        <v>1050</v>
      </c>
      <c r="AQ143" s="31">
        <v>0</v>
      </c>
      <c r="AR143" s="31">
        <v>0</v>
      </c>
      <c r="AS143" s="31">
        <v>6800</v>
      </c>
      <c r="AT143" s="31">
        <v>141</v>
      </c>
      <c r="AU143" s="30">
        <v>303</v>
      </c>
      <c r="AW143" s="1"/>
      <c r="AX143" s="2">
        <f t="shared" si="455"/>
        <v>120736</v>
      </c>
      <c r="AY143" s="32">
        <f t="shared" si="369"/>
        <v>113633.88235294117</v>
      </c>
      <c r="AZ143" s="186">
        <f t="shared" si="370"/>
        <v>0.4729261498050349</v>
      </c>
      <c r="BA143" s="186">
        <f t="shared" si="371"/>
        <v>0.08236513549671251</v>
      </c>
      <c r="BB143" s="186">
        <f t="shared" si="372"/>
        <v>0.2846822842738975</v>
      </c>
      <c r="BC143" s="53">
        <f t="shared" si="456"/>
        <v>144000</v>
      </c>
      <c r="BD143" s="53">
        <f t="shared" si="373"/>
        <v>63978.7207777555</v>
      </c>
      <c r="BE143" s="53">
        <f t="shared" si="374"/>
        <v>11142.576928635859</v>
      </c>
      <c r="BF143" s="53">
        <f t="shared" si="375"/>
        <v>38512.58464654982</v>
      </c>
      <c r="BG143" s="53"/>
      <c r="BH143" s="53">
        <f t="shared" si="457"/>
        <v>6</v>
      </c>
      <c r="BI143" s="53">
        <f t="shared" si="458"/>
        <v>6</v>
      </c>
      <c r="BJ143" s="53">
        <f t="shared" si="459"/>
        <v>4</v>
      </c>
      <c r="BK143" s="53">
        <f t="shared" si="460"/>
        <v>4</v>
      </c>
      <c r="BL143" s="53"/>
      <c r="BM143" s="53">
        <f t="shared" si="461"/>
        <v>3</v>
      </c>
      <c r="BN143" s="53">
        <f t="shared" si="462"/>
        <v>3</v>
      </c>
      <c r="BO143" s="53">
        <f t="shared" si="463"/>
        <v>2</v>
      </c>
      <c r="BP143" s="53">
        <f t="shared" si="464"/>
        <v>0</v>
      </c>
      <c r="BQ143" s="53"/>
      <c r="BR143" s="53">
        <f t="shared" si="465"/>
        <v>9.75</v>
      </c>
      <c r="BS143" s="53">
        <f t="shared" si="466"/>
        <v>51.300000000000004</v>
      </c>
      <c r="BT143" s="53">
        <f t="shared" si="467"/>
        <v>11</v>
      </c>
      <c r="BU143" s="53">
        <f t="shared" si="376"/>
        <v>34584.00000000001</v>
      </c>
      <c r="BV143" s="53"/>
      <c r="BW143" s="53">
        <f t="shared" si="468"/>
        <v>20800</v>
      </c>
      <c r="BX143" s="53">
        <f t="shared" si="469"/>
        <v>-29544.000000000007</v>
      </c>
      <c r="BY143" s="53">
        <f t="shared" si="377"/>
        <v>-26582.54794327082</v>
      </c>
      <c r="BZ143" s="240">
        <f t="shared" si="470"/>
        <v>7.944450000000001</v>
      </c>
      <c r="CC143" s="1">
        <f t="shared" si="378"/>
        <v>0</v>
      </c>
      <c r="CD143" s="195">
        <f t="shared" si="379"/>
        <v>5746.4</v>
      </c>
      <c r="CE143" s="195">
        <f t="shared" si="380"/>
        <v>5746.4</v>
      </c>
      <c r="CF143" s="239">
        <f t="shared" si="381"/>
        <v>2.9</v>
      </c>
      <c r="CG143" s="239">
        <f t="shared" si="381"/>
        <v>19.92</v>
      </c>
      <c r="CH143" s="1">
        <f t="shared" si="471"/>
        <v>9561.6</v>
      </c>
      <c r="CI143" s="1"/>
      <c r="CJ143" s="1"/>
      <c r="CK143" s="211">
        <f t="shared" si="382"/>
        <v>0</v>
      </c>
      <c r="CL143" s="211">
        <f t="shared" si="383"/>
        <v>0</v>
      </c>
      <c r="CM143" s="211">
        <f t="shared" si="384"/>
        <v>0</v>
      </c>
      <c r="CN143" s="1"/>
      <c r="CO143" s="1"/>
      <c r="CP143" s="1"/>
      <c r="CQ143" s="1">
        <f t="shared" si="472"/>
        <v>1</v>
      </c>
      <c r="CR143" s="195">
        <f t="shared" si="385"/>
        <v>10000</v>
      </c>
      <c r="CS143" s="195"/>
      <c r="CT143" s="195"/>
      <c r="CU143" s="1"/>
      <c r="CV143" s="199">
        <f t="shared" si="386"/>
        <v>77.72534990976538</v>
      </c>
      <c r="CW143" s="199">
        <f t="shared" si="387"/>
        <v>26.876919991979143</v>
      </c>
      <c r="CX143" s="199">
        <f t="shared" si="388"/>
        <v>0</v>
      </c>
      <c r="CY143" s="199">
        <f t="shared" si="389"/>
        <v>58.07483456988169</v>
      </c>
      <c r="CZ143" s="199">
        <f t="shared" si="390"/>
        <v>0</v>
      </c>
      <c r="DA143" s="199">
        <f t="shared" si="391"/>
        <v>0</v>
      </c>
      <c r="DB143" s="199">
        <f t="shared" si="392"/>
        <v>19.59762903549228</v>
      </c>
      <c r="DC143" s="199">
        <f t="shared" si="393"/>
        <v>0</v>
      </c>
      <c r="DD143" s="199">
        <f t="shared" si="394"/>
        <v>11.143494686184079</v>
      </c>
      <c r="DE143" s="199">
        <f t="shared" si="395"/>
        <v>0</v>
      </c>
      <c r="DF143" s="199">
        <f t="shared" si="396"/>
        <v>0</v>
      </c>
      <c r="DG143" s="199">
        <f t="shared" si="397"/>
        <v>0</v>
      </c>
      <c r="DH143" s="199">
        <f t="shared" si="398"/>
        <v>49.33941848806897</v>
      </c>
      <c r="DI143" s="199">
        <f t="shared" si="399"/>
        <v>0</v>
      </c>
      <c r="DJ143" s="199">
        <f t="shared" si="400"/>
        <v>4.085441989171846</v>
      </c>
      <c r="DK143" s="199">
        <f t="shared" si="401"/>
        <v>6.435595909364347</v>
      </c>
      <c r="DL143" s="199">
        <f t="shared" si="402"/>
        <v>2.104207579707239</v>
      </c>
      <c r="DM143" s="199">
        <f t="shared" si="403"/>
        <v>1.707960697814317</v>
      </c>
      <c r="DN143" s="199">
        <f t="shared" si="404"/>
        <v>0</v>
      </c>
      <c r="DO143" s="199">
        <f t="shared" si="405"/>
        <v>0</v>
      </c>
      <c r="DP143" s="199">
        <f t="shared" si="406"/>
        <v>5.32883737718067</v>
      </c>
      <c r="DQ143" s="199">
        <f t="shared" si="407"/>
        <v>2.9650197714056543</v>
      </c>
      <c r="DR143" s="199">
        <f t="shared" si="408"/>
        <v>2.5675716863846</v>
      </c>
      <c r="DS143" s="199">
        <f t="shared" si="409"/>
        <v>0</v>
      </c>
      <c r="DT143" s="199">
        <f t="shared" si="410"/>
        <v>25.82586725486264</v>
      </c>
      <c r="DU143" s="199">
        <f t="shared" si="411"/>
        <v>0.00030655704832564665</v>
      </c>
      <c r="DV143" s="199">
        <f t="shared" si="412"/>
        <v>0</v>
      </c>
      <c r="DW143" s="199">
        <f t="shared" si="413"/>
        <v>0</v>
      </c>
      <c r="DX143" s="199">
        <f t="shared" si="414"/>
        <v>0.4401742129536795</v>
      </c>
      <c r="DY143" s="199">
        <f t="shared" si="415"/>
        <v>5.833843192299979</v>
      </c>
      <c r="DZ143" s="199">
        <f t="shared" si="416"/>
        <v>0.019613645077200724</v>
      </c>
      <c r="EA143" s="199">
        <f t="shared" si="417"/>
        <v>65.97373122306232</v>
      </c>
      <c r="EB143" s="199">
        <f t="shared" si="418"/>
        <v>8.080621885325375</v>
      </c>
      <c r="EC143" s="202">
        <f t="shared" si="368"/>
        <v>374.12643966302977</v>
      </c>
      <c r="ED143" s="202">
        <f>SUM(CV143:DI143,DS143:DT143,DW143,DY143,EA143:EB143)</f>
        <v>348.4717102369219</v>
      </c>
      <c r="EE143" s="203">
        <f t="shared" si="419"/>
        <v>57.68352573082835</v>
      </c>
      <c r="EF143" s="199"/>
      <c r="EI143" s="1">
        <f t="shared" si="420"/>
        <v>0.5699766927982697</v>
      </c>
      <c r="EJ143" s="1">
        <f t="shared" si="421"/>
        <v>0.010606863429336002</v>
      </c>
      <c r="EK143" s="1">
        <f t="shared" si="422"/>
        <v>0</v>
      </c>
      <c r="EL143" s="1">
        <f t="shared" si="423"/>
        <v>0.24682268761392</v>
      </c>
      <c r="EM143" s="1">
        <f t="shared" si="424"/>
        <v>0</v>
      </c>
      <c r="EN143" s="1">
        <f t="shared" si="425"/>
        <v>0</v>
      </c>
      <c r="EO143" s="1">
        <f t="shared" si="426"/>
        <v>0.2644897670328</v>
      </c>
      <c r="EP143" s="1">
        <f t="shared" si="427"/>
        <v>0</v>
      </c>
      <c r="EQ143" s="1">
        <f t="shared" si="428"/>
        <v>0.21621849683808003</v>
      </c>
      <c r="ER143" s="1">
        <f t="shared" si="429"/>
        <v>0</v>
      </c>
      <c r="ES143" s="1">
        <f t="shared" si="430"/>
        <v>0</v>
      </c>
      <c r="ET143" s="1">
        <f t="shared" si="431"/>
        <v>0</v>
      </c>
      <c r="EU143" s="1">
        <f t="shared" si="432"/>
        <v>0.14589546715944002</v>
      </c>
      <c r="EV143" s="1">
        <f t="shared" si="433"/>
        <v>0</v>
      </c>
      <c r="EW143" s="1">
        <f t="shared" si="434"/>
        <v>0.059350736407200004</v>
      </c>
      <c r="EX143" s="1">
        <f t="shared" si="435"/>
        <v>0.10099701098903999</v>
      </c>
      <c r="EY143" s="1">
        <f t="shared" si="436"/>
        <v>0.059350736407200004</v>
      </c>
      <c r="EZ143" s="1">
        <f t="shared" si="437"/>
        <v>0.059350736407200004</v>
      </c>
      <c r="FA143" s="1">
        <f t="shared" si="438"/>
        <v>0</v>
      </c>
      <c r="FB143" s="1">
        <f t="shared" si="439"/>
        <v>0</v>
      </c>
      <c r="FC143" s="1">
        <f t="shared" si="440"/>
        <v>0.10099701098903999</v>
      </c>
      <c r="FD143" s="1">
        <f t="shared" si="441"/>
        <v>0.059350736407200004</v>
      </c>
      <c r="FE143" s="1">
        <f t="shared" si="442"/>
        <v>0.059350736407200004</v>
      </c>
      <c r="FF143" s="1">
        <f t="shared" si="443"/>
        <v>0</v>
      </c>
      <c r="FG143" s="1">
        <f t="shared" si="444"/>
        <v>0.059350736407200004</v>
      </c>
      <c r="FH143" s="1">
        <f t="shared" si="445"/>
        <v>0</v>
      </c>
      <c r="FI143" s="1">
        <f t="shared" si="446"/>
        <v>0</v>
      </c>
      <c r="FJ143" s="1">
        <f t="shared" si="447"/>
        <v>0</v>
      </c>
      <c r="FK143" s="1">
        <f t="shared" si="448"/>
        <v>0</v>
      </c>
      <c r="FL143" s="1">
        <f t="shared" si="449"/>
        <v>4.263919336981805</v>
      </c>
      <c r="FM143" s="1">
        <f t="shared" si="450"/>
        <v>0.0057571153094400015</v>
      </c>
      <c r="FN143" s="1">
        <f t="shared" si="451"/>
        <v>7.46760736344</v>
      </c>
      <c r="FO143" s="1">
        <f>IF(O143=0,0,SUM(EI143:FN143))</f>
        <v>13.74939223102437</v>
      </c>
    </row>
    <row r="144" spans="1:171" s="45" customFormat="1" ht="12.75">
      <c r="A144" s="24">
        <v>34</v>
      </c>
      <c r="B144" s="25" t="s">
        <v>340</v>
      </c>
      <c r="C144" s="25" t="s">
        <v>341</v>
      </c>
      <c r="D144" s="26" t="s">
        <v>310</v>
      </c>
      <c r="E144" s="26">
        <v>5</v>
      </c>
      <c r="F144" s="26" t="s">
        <v>299</v>
      </c>
      <c r="G144" s="26" t="s">
        <v>74</v>
      </c>
      <c r="H144" s="26" t="s">
        <v>75</v>
      </c>
      <c r="I144" s="26">
        <v>1</v>
      </c>
      <c r="J144" s="26"/>
      <c r="K144" s="26">
        <f t="shared" si="452"/>
        <v>0</v>
      </c>
      <c r="L144" s="26">
        <f t="shared" si="453"/>
        <v>0</v>
      </c>
      <c r="M144" s="24">
        <v>335534</v>
      </c>
      <c r="N144" s="24">
        <v>1180901</v>
      </c>
      <c r="O144" s="27">
        <f t="shared" si="454"/>
        <v>8500</v>
      </c>
      <c r="P144" s="28">
        <v>8500</v>
      </c>
      <c r="Q144" s="28">
        <v>10000</v>
      </c>
      <c r="R144" s="28">
        <v>7000</v>
      </c>
      <c r="S144" s="29">
        <v>0</v>
      </c>
      <c r="T144" s="29">
        <v>0</v>
      </c>
      <c r="U144" s="29">
        <v>0</v>
      </c>
      <c r="V144" s="29">
        <v>0</v>
      </c>
      <c r="W144" s="28">
        <v>0</v>
      </c>
      <c r="X144" s="29">
        <v>0</v>
      </c>
      <c r="Y144" s="29">
        <v>0</v>
      </c>
      <c r="Z144" s="28">
        <v>0</v>
      </c>
      <c r="AA144" s="29">
        <v>0</v>
      </c>
      <c r="AB144" s="28">
        <v>0</v>
      </c>
      <c r="AC144" s="31">
        <v>0</v>
      </c>
      <c r="AD144" s="30">
        <v>0</v>
      </c>
      <c r="AE144" s="30">
        <v>0</v>
      </c>
      <c r="AF144" s="31">
        <v>0</v>
      </c>
      <c r="AG144" s="31">
        <v>0</v>
      </c>
      <c r="AH144" s="31">
        <v>0</v>
      </c>
      <c r="AI144" s="31">
        <v>0</v>
      </c>
      <c r="AJ144" s="31">
        <v>0</v>
      </c>
      <c r="AK144" s="31">
        <v>0</v>
      </c>
      <c r="AL144" s="30">
        <v>0</v>
      </c>
      <c r="AM144" s="30">
        <v>0</v>
      </c>
      <c r="AN144" s="31">
        <v>0</v>
      </c>
      <c r="AO144" s="30">
        <v>5833</v>
      </c>
      <c r="AP144" s="31">
        <v>0</v>
      </c>
      <c r="AQ144" s="31">
        <v>0</v>
      </c>
      <c r="AR144" s="31">
        <v>0</v>
      </c>
      <c r="AS144" s="31">
        <v>0</v>
      </c>
      <c r="AT144" s="31">
        <v>0</v>
      </c>
      <c r="AU144" s="30">
        <v>0</v>
      </c>
      <c r="AW144" s="1"/>
      <c r="AX144" s="2">
        <f t="shared" si="455"/>
        <v>3666.96</v>
      </c>
      <c r="AY144" s="32">
        <f t="shared" si="369"/>
        <v>3116.916</v>
      </c>
      <c r="AZ144" s="186">
        <f t="shared" si="370"/>
        <v>0.4729261498050349</v>
      </c>
      <c r="BA144" s="186">
        <f t="shared" si="371"/>
        <v>0.08236513549671251</v>
      </c>
      <c r="BB144" s="186">
        <f t="shared" si="372"/>
        <v>0.2846822842738975</v>
      </c>
      <c r="BC144" s="53">
        <f t="shared" si="456"/>
        <v>8500</v>
      </c>
      <c r="BD144" s="53">
        <f t="shared" si="373"/>
        <v>1754.9017451708767</v>
      </c>
      <c r="BE144" s="53">
        <f t="shared" si="374"/>
        <v>305.63486515601784</v>
      </c>
      <c r="BF144" s="53">
        <f t="shared" si="375"/>
        <v>1056.3793896731054</v>
      </c>
      <c r="BG144" s="53"/>
      <c r="BH144" s="53">
        <f t="shared" si="457"/>
        <v>2</v>
      </c>
      <c r="BI144" s="53">
        <f t="shared" si="458"/>
        <v>3</v>
      </c>
      <c r="BJ144" s="53">
        <f t="shared" si="459"/>
        <v>3</v>
      </c>
      <c r="BK144" s="53">
        <f t="shared" si="460"/>
        <v>2</v>
      </c>
      <c r="BL144" s="53"/>
      <c r="BM144" s="53">
        <f t="shared" si="461"/>
        <v>1</v>
      </c>
      <c r="BN144" s="53">
        <f t="shared" si="462"/>
        <v>2</v>
      </c>
      <c r="BO144" s="53">
        <f t="shared" si="463"/>
        <v>2</v>
      </c>
      <c r="BP144" s="53">
        <f t="shared" si="464"/>
        <v>0</v>
      </c>
      <c r="BQ144" s="53"/>
      <c r="BR144" s="53">
        <f t="shared" si="465"/>
        <v>3.25</v>
      </c>
      <c r="BS144" s="53">
        <f t="shared" si="466"/>
        <v>34.2</v>
      </c>
      <c r="BT144" s="53">
        <f t="shared" si="467"/>
        <v>11</v>
      </c>
      <c r="BU144" s="53">
        <f t="shared" si="376"/>
        <v>23256</v>
      </c>
      <c r="BV144" s="53"/>
      <c r="BW144" s="53">
        <f t="shared" si="468"/>
        <v>13000</v>
      </c>
      <c r="BX144" s="53">
        <f t="shared" si="469"/>
        <v>-20106</v>
      </c>
      <c r="BY144" s="53">
        <f t="shared" si="377"/>
        <v>-18255.092464544257</v>
      </c>
      <c r="BZ144" s="240">
        <f t="shared" si="470"/>
        <v>5.5020500000000006</v>
      </c>
      <c r="CC144" s="1">
        <f t="shared" si="378"/>
        <v>0</v>
      </c>
      <c r="CD144" s="195">
        <f t="shared" si="379"/>
        <v>2873.2</v>
      </c>
      <c r="CE144" s="195">
        <f t="shared" si="380"/>
        <v>2873.2</v>
      </c>
      <c r="CF144" s="239">
        <f t="shared" si="381"/>
        <v>1.45</v>
      </c>
      <c r="CG144" s="239">
        <f t="shared" si="381"/>
        <v>9.96</v>
      </c>
      <c r="CH144" s="1">
        <f t="shared" si="471"/>
        <v>4780.8</v>
      </c>
      <c r="CI144" s="1"/>
      <c r="CJ144" s="1"/>
      <c r="CK144" s="211">
        <f t="shared" si="382"/>
        <v>0</v>
      </c>
      <c r="CL144" s="211">
        <f t="shared" si="383"/>
        <v>0</v>
      </c>
      <c r="CM144" s="211">
        <f t="shared" si="384"/>
        <v>0</v>
      </c>
      <c r="CN144" s="1"/>
      <c r="CO144" s="1"/>
      <c r="CP144" s="1"/>
      <c r="CQ144" s="1">
        <f t="shared" si="472"/>
        <v>0</v>
      </c>
      <c r="CR144" s="195">
        <f t="shared" si="385"/>
        <v>0</v>
      </c>
      <c r="CS144" s="195"/>
      <c r="CT144" s="195"/>
      <c r="CU144" s="1"/>
      <c r="CV144" s="199">
        <f t="shared" si="386"/>
        <v>5.08008822939643</v>
      </c>
      <c r="CW144" s="199">
        <f t="shared" si="387"/>
        <v>2.1021054742330056</v>
      </c>
      <c r="CX144" s="199">
        <f t="shared" si="388"/>
        <v>0</v>
      </c>
      <c r="CY144" s="199">
        <f t="shared" si="389"/>
        <v>0</v>
      </c>
      <c r="CZ144" s="199">
        <f t="shared" si="390"/>
        <v>0</v>
      </c>
      <c r="DA144" s="199">
        <f t="shared" si="391"/>
        <v>0</v>
      </c>
      <c r="DB144" s="199">
        <f t="shared" si="392"/>
        <v>0</v>
      </c>
      <c r="DC144" s="199">
        <f t="shared" si="393"/>
        <v>0</v>
      </c>
      <c r="DD144" s="199">
        <f t="shared" si="394"/>
        <v>0</v>
      </c>
      <c r="DE144" s="199">
        <f t="shared" si="395"/>
        <v>0</v>
      </c>
      <c r="DF144" s="199">
        <f t="shared" si="396"/>
        <v>0</v>
      </c>
      <c r="DG144" s="199">
        <f t="shared" si="397"/>
        <v>0</v>
      </c>
      <c r="DH144" s="199">
        <f t="shared" si="398"/>
        <v>0</v>
      </c>
      <c r="DI144" s="199">
        <f t="shared" si="399"/>
        <v>0</v>
      </c>
      <c r="DJ144" s="199">
        <f t="shared" si="400"/>
        <v>0</v>
      </c>
      <c r="DK144" s="199">
        <f t="shared" si="401"/>
        <v>0</v>
      </c>
      <c r="DL144" s="199">
        <f t="shared" si="402"/>
        <v>0</v>
      </c>
      <c r="DM144" s="199">
        <f t="shared" si="403"/>
        <v>0</v>
      </c>
      <c r="DN144" s="199">
        <f t="shared" si="404"/>
        <v>0</v>
      </c>
      <c r="DO144" s="199">
        <f t="shared" si="405"/>
        <v>0</v>
      </c>
      <c r="DP144" s="199">
        <f t="shared" si="406"/>
        <v>0</v>
      </c>
      <c r="DQ144" s="199">
        <f t="shared" si="407"/>
        <v>0</v>
      </c>
      <c r="DR144" s="199">
        <f t="shared" si="408"/>
        <v>0</v>
      </c>
      <c r="DS144" s="199">
        <f t="shared" si="409"/>
        <v>0</v>
      </c>
      <c r="DT144" s="199">
        <f t="shared" si="410"/>
        <v>16.738031521957083</v>
      </c>
      <c r="DU144" s="199">
        <f t="shared" si="411"/>
        <v>0</v>
      </c>
      <c r="DV144" s="199">
        <f t="shared" si="412"/>
        <v>0</v>
      </c>
      <c r="DW144" s="199">
        <f t="shared" si="413"/>
        <v>0</v>
      </c>
      <c r="DX144" s="199">
        <f t="shared" si="414"/>
        <v>0</v>
      </c>
      <c r="DY144" s="199">
        <f t="shared" si="415"/>
        <v>0</v>
      </c>
      <c r="DZ144" s="199">
        <f t="shared" si="416"/>
        <v>0</v>
      </c>
      <c r="EA144" s="199">
        <f t="shared" si="417"/>
        <v>1.8096238038419887</v>
      </c>
      <c r="EB144" s="199">
        <f t="shared" si="418"/>
        <v>0.36436164689312217</v>
      </c>
      <c r="EC144" s="202">
        <f t="shared" si="368"/>
        <v>26.09421067632163</v>
      </c>
      <c r="ED144" s="202">
        <f>SUM(CV144:DI144,DS144:DT144,DW144,DY144,EA144:EB144)</f>
        <v>26.09421067632163</v>
      </c>
      <c r="EE144" s="203">
        <f t="shared" si="419"/>
        <v>4.319449839844624</v>
      </c>
      <c r="EF144" s="199"/>
      <c r="EI144" s="1">
        <f t="shared" si="420"/>
        <v>0.18495710758393283</v>
      </c>
      <c r="EJ144" s="1">
        <f t="shared" si="421"/>
        <v>0.002442336444552</v>
      </c>
      <c r="EK144" s="1">
        <f t="shared" si="422"/>
        <v>0</v>
      </c>
      <c r="EL144" s="1">
        <f t="shared" si="423"/>
        <v>0</v>
      </c>
      <c r="EM144" s="1">
        <f t="shared" si="424"/>
        <v>0</v>
      </c>
      <c r="EN144" s="1">
        <f t="shared" si="425"/>
        <v>0</v>
      </c>
      <c r="EO144" s="1">
        <f t="shared" si="426"/>
        <v>0</v>
      </c>
      <c r="EP144" s="1">
        <f t="shared" si="427"/>
        <v>0</v>
      </c>
      <c r="EQ144" s="1">
        <f t="shared" si="428"/>
        <v>0</v>
      </c>
      <c r="ER144" s="1">
        <f t="shared" si="429"/>
        <v>0</v>
      </c>
      <c r="ES144" s="1">
        <f t="shared" si="430"/>
        <v>0</v>
      </c>
      <c r="ET144" s="1">
        <f t="shared" si="431"/>
        <v>0</v>
      </c>
      <c r="EU144" s="1">
        <f t="shared" si="432"/>
        <v>0</v>
      </c>
      <c r="EV144" s="1">
        <f t="shared" si="433"/>
        <v>0</v>
      </c>
      <c r="EW144" s="1">
        <f t="shared" si="434"/>
        <v>0</v>
      </c>
      <c r="EX144" s="1">
        <f t="shared" si="435"/>
        <v>0</v>
      </c>
      <c r="EY144" s="1">
        <f t="shared" si="436"/>
        <v>0</v>
      </c>
      <c r="EZ144" s="1">
        <f t="shared" si="437"/>
        <v>0</v>
      </c>
      <c r="FA144" s="1">
        <f t="shared" si="438"/>
        <v>0</v>
      </c>
      <c r="FB144" s="1">
        <f t="shared" si="439"/>
        <v>0</v>
      </c>
      <c r="FC144" s="1">
        <f t="shared" si="440"/>
        <v>0</v>
      </c>
      <c r="FD144" s="1">
        <f t="shared" si="441"/>
        <v>0</v>
      </c>
      <c r="FE144" s="1">
        <f t="shared" si="442"/>
        <v>0</v>
      </c>
      <c r="FF144" s="1">
        <f t="shared" si="443"/>
        <v>0</v>
      </c>
      <c r="FG144" s="1">
        <f t="shared" si="444"/>
        <v>0.059350736407200004</v>
      </c>
      <c r="FH144" s="1">
        <f t="shared" si="445"/>
        <v>0</v>
      </c>
      <c r="FI144" s="1">
        <f t="shared" si="446"/>
        <v>0</v>
      </c>
      <c r="FJ144" s="1">
        <f t="shared" si="447"/>
        <v>0</v>
      </c>
      <c r="FK144" s="1">
        <f t="shared" si="448"/>
        <v>0</v>
      </c>
      <c r="FL144" s="1">
        <f t="shared" si="449"/>
        <v>0</v>
      </c>
      <c r="FM144" s="1">
        <f t="shared" si="450"/>
        <v>0</v>
      </c>
      <c r="FN144" s="1">
        <f t="shared" si="451"/>
        <v>4.472293968912</v>
      </c>
      <c r="FO144" s="1">
        <f>IF(O144=0,0,SUM(EI144:FN144))</f>
        <v>4.719044149347685</v>
      </c>
    </row>
    <row r="145" spans="1:171" s="45" customFormat="1" ht="12.75">
      <c r="A145" s="24">
        <v>39</v>
      </c>
      <c r="B145" s="25" t="s">
        <v>238</v>
      </c>
      <c r="C145" s="25" t="s">
        <v>342</v>
      </c>
      <c r="D145" s="26" t="s">
        <v>343</v>
      </c>
      <c r="E145" s="26">
        <v>5</v>
      </c>
      <c r="F145" s="26" t="s">
        <v>299</v>
      </c>
      <c r="G145" s="26" t="s">
        <v>74</v>
      </c>
      <c r="H145" s="26" t="s">
        <v>75</v>
      </c>
      <c r="I145" s="26">
        <v>3</v>
      </c>
      <c r="J145" s="26"/>
      <c r="K145" s="26">
        <f t="shared" si="452"/>
        <v>1</v>
      </c>
      <c r="L145" s="26">
        <f t="shared" si="453"/>
        <v>0</v>
      </c>
      <c r="M145" s="24">
        <v>211902</v>
      </c>
      <c r="N145" s="24">
        <v>1590716</v>
      </c>
      <c r="O145" s="27">
        <f t="shared" si="454"/>
        <v>54000</v>
      </c>
      <c r="P145" s="28">
        <v>54000</v>
      </c>
      <c r="Q145" s="28">
        <v>57000</v>
      </c>
      <c r="R145" s="28">
        <v>31300</v>
      </c>
      <c r="S145" s="29">
        <v>0</v>
      </c>
      <c r="T145" s="29">
        <v>0</v>
      </c>
      <c r="U145" s="29">
        <v>0</v>
      </c>
      <c r="V145" s="29">
        <v>0</v>
      </c>
      <c r="W145" s="28">
        <v>22000</v>
      </c>
      <c r="X145" s="29">
        <v>0</v>
      </c>
      <c r="Y145" s="29">
        <v>0</v>
      </c>
      <c r="Z145" s="28">
        <v>0</v>
      </c>
      <c r="AA145" s="29">
        <v>0</v>
      </c>
      <c r="AB145" s="28">
        <v>0</v>
      </c>
      <c r="AC145" s="28">
        <v>0</v>
      </c>
      <c r="AD145" s="28">
        <v>0</v>
      </c>
      <c r="AE145" s="28">
        <v>0</v>
      </c>
      <c r="AF145" s="28">
        <v>0</v>
      </c>
      <c r="AG145" s="28">
        <v>0</v>
      </c>
      <c r="AH145" s="28">
        <v>0</v>
      </c>
      <c r="AI145" s="28">
        <v>0</v>
      </c>
      <c r="AJ145" s="28">
        <v>0</v>
      </c>
      <c r="AK145" s="28">
        <v>0</v>
      </c>
      <c r="AL145" s="28">
        <v>3500</v>
      </c>
      <c r="AM145" s="30">
        <v>5000</v>
      </c>
      <c r="AN145" s="31">
        <v>0</v>
      </c>
      <c r="AO145" s="30">
        <v>15000</v>
      </c>
      <c r="AP145" s="31">
        <v>3200</v>
      </c>
      <c r="AQ145" s="31">
        <v>0</v>
      </c>
      <c r="AR145" s="31">
        <v>0</v>
      </c>
      <c r="AS145" s="31">
        <v>0</v>
      </c>
      <c r="AT145" s="31">
        <v>3</v>
      </c>
      <c r="AU145" s="30">
        <v>0</v>
      </c>
      <c r="AW145" s="1"/>
      <c r="AX145" s="2">
        <f t="shared" si="455"/>
        <v>36960</v>
      </c>
      <c r="AY145" s="32">
        <f t="shared" si="369"/>
        <v>35014.73684210526</v>
      </c>
      <c r="AZ145" s="186">
        <f t="shared" si="370"/>
        <v>0.4729261498050349</v>
      </c>
      <c r="BA145" s="186">
        <f t="shared" si="371"/>
        <v>0.08236513549671251</v>
      </c>
      <c r="BB145" s="186">
        <f t="shared" si="372"/>
        <v>0.2846822842738975</v>
      </c>
      <c r="BC145" s="53">
        <f t="shared" si="456"/>
        <v>54000</v>
      </c>
      <c r="BD145" s="53">
        <f t="shared" si="373"/>
        <v>19714.17349421977</v>
      </c>
      <c r="BE145" s="53">
        <f t="shared" si="374"/>
        <v>3433.4336803463066</v>
      </c>
      <c r="BF145" s="53">
        <f t="shared" si="375"/>
        <v>11867.12966753918</v>
      </c>
      <c r="BG145" s="53"/>
      <c r="BH145" s="53">
        <f t="shared" si="457"/>
        <v>3</v>
      </c>
      <c r="BI145" s="53">
        <f t="shared" si="458"/>
        <v>3</v>
      </c>
      <c r="BJ145" s="53">
        <f t="shared" si="459"/>
        <v>3</v>
      </c>
      <c r="BK145" s="53">
        <f t="shared" si="460"/>
        <v>2</v>
      </c>
      <c r="BL145" s="53"/>
      <c r="BM145" s="53">
        <f t="shared" si="461"/>
        <v>2</v>
      </c>
      <c r="BN145" s="53">
        <f t="shared" si="462"/>
        <v>2</v>
      </c>
      <c r="BO145" s="53">
        <f t="shared" si="463"/>
        <v>2</v>
      </c>
      <c r="BP145" s="53">
        <f t="shared" si="464"/>
        <v>0</v>
      </c>
      <c r="BQ145" s="53"/>
      <c r="BR145" s="53">
        <f t="shared" si="465"/>
        <v>6.5</v>
      </c>
      <c r="BS145" s="53">
        <f t="shared" si="466"/>
        <v>34.2</v>
      </c>
      <c r="BT145" s="53">
        <f t="shared" si="467"/>
        <v>11</v>
      </c>
      <c r="BU145" s="53">
        <f t="shared" si="376"/>
        <v>24816</v>
      </c>
      <c r="BV145" s="53"/>
      <c r="BW145" s="53">
        <f t="shared" si="468"/>
        <v>15600</v>
      </c>
      <c r="BX145" s="53">
        <f t="shared" si="469"/>
        <v>-21036</v>
      </c>
      <c r="BY145" s="53">
        <f t="shared" si="377"/>
        <v>-18814.91095745311</v>
      </c>
      <c r="BZ145" s="240">
        <f t="shared" si="470"/>
        <v>5.791300000000001</v>
      </c>
      <c r="CC145" s="1">
        <f t="shared" si="378"/>
        <v>0</v>
      </c>
      <c r="CD145" s="195">
        <f t="shared" si="379"/>
        <v>2873.2</v>
      </c>
      <c r="CE145" s="195">
        <f t="shared" si="380"/>
        <v>2873.2</v>
      </c>
      <c r="CF145" s="239">
        <f t="shared" si="381"/>
        <v>1.45</v>
      </c>
      <c r="CG145" s="239">
        <f t="shared" si="381"/>
        <v>9.96</v>
      </c>
      <c r="CH145" s="1">
        <f t="shared" si="471"/>
        <v>4780.8</v>
      </c>
      <c r="CI145" s="1"/>
      <c r="CJ145" s="1"/>
      <c r="CK145" s="211">
        <f t="shared" si="382"/>
        <v>0</v>
      </c>
      <c r="CL145" s="211">
        <f t="shared" si="383"/>
        <v>0</v>
      </c>
      <c r="CM145" s="211">
        <f t="shared" si="384"/>
        <v>0</v>
      </c>
      <c r="CN145" s="1"/>
      <c r="CO145" s="1"/>
      <c r="CP145" s="1"/>
      <c r="CQ145" s="1">
        <f t="shared" si="472"/>
        <v>1</v>
      </c>
      <c r="CR145" s="195">
        <f t="shared" si="385"/>
        <v>10000</v>
      </c>
      <c r="CS145" s="195"/>
      <c r="CT145" s="195"/>
      <c r="CU145" s="1"/>
      <c r="CV145" s="199">
        <f t="shared" si="386"/>
        <v>28.956502907559653</v>
      </c>
      <c r="CW145" s="199">
        <f t="shared" si="387"/>
        <v>9.399414477641868</v>
      </c>
      <c r="CX145" s="199">
        <f t="shared" si="388"/>
        <v>0</v>
      </c>
      <c r="CY145" s="199">
        <f t="shared" si="389"/>
        <v>0</v>
      </c>
      <c r="CZ145" s="199">
        <f t="shared" si="390"/>
        <v>0</v>
      </c>
      <c r="DA145" s="199">
        <f t="shared" si="391"/>
        <v>0</v>
      </c>
      <c r="DB145" s="199">
        <f t="shared" si="392"/>
        <v>5.725734910767997</v>
      </c>
      <c r="DC145" s="199">
        <f t="shared" si="393"/>
        <v>0</v>
      </c>
      <c r="DD145" s="199">
        <f t="shared" si="394"/>
        <v>0</v>
      </c>
      <c r="DE145" s="199">
        <f t="shared" si="395"/>
        <v>0</v>
      </c>
      <c r="DF145" s="199">
        <f t="shared" si="396"/>
        <v>0</v>
      </c>
      <c r="DG145" s="199">
        <f t="shared" si="397"/>
        <v>0</v>
      </c>
      <c r="DH145" s="199">
        <f t="shared" si="398"/>
        <v>0</v>
      </c>
      <c r="DI145" s="199">
        <f t="shared" si="399"/>
        <v>0</v>
      </c>
      <c r="DJ145" s="199">
        <f t="shared" si="400"/>
        <v>0</v>
      </c>
      <c r="DK145" s="199">
        <f t="shared" si="401"/>
        <v>0</v>
      </c>
      <c r="DL145" s="199">
        <f t="shared" si="402"/>
        <v>0</v>
      </c>
      <c r="DM145" s="199">
        <f t="shared" si="403"/>
        <v>0</v>
      </c>
      <c r="DN145" s="199">
        <f t="shared" si="404"/>
        <v>0</v>
      </c>
      <c r="DO145" s="199">
        <f t="shared" si="405"/>
        <v>0</v>
      </c>
      <c r="DP145" s="199">
        <f t="shared" si="406"/>
        <v>0</v>
      </c>
      <c r="DQ145" s="199">
        <f t="shared" si="407"/>
        <v>0.4782289953880088</v>
      </c>
      <c r="DR145" s="199">
        <f t="shared" si="408"/>
        <v>0.7507519550832163</v>
      </c>
      <c r="DS145" s="199">
        <f t="shared" si="409"/>
        <v>0</v>
      </c>
      <c r="DT145" s="199">
        <f t="shared" si="410"/>
        <v>43.043112091437735</v>
      </c>
      <c r="DU145" s="199">
        <f t="shared" si="411"/>
        <v>0.0009342690996591136</v>
      </c>
      <c r="DV145" s="199">
        <f t="shared" si="412"/>
        <v>0</v>
      </c>
      <c r="DW145" s="199">
        <f t="shared" si="413"/>
        <v>0</v>
      </c>
      <c r="DX145" s="199">
        <f t="shared" si="414"/>
        <v>0</v>
      </c>
      <c r="DY145" s="199">
        <f t="shared" si="415"/>
        <v>0.12412432324042509</v>
      </c>
      <c r="DZ145" s="199">
        <f t="shared" si="416"/>
        <v>0</v>
      </c>
      <c r="EA145" s="199">
        <f t="shared" si="417"/>
        <v>20.32890885565628</v>
      </c>
      <c r="EB145" s="199">
        <f t="shared" si="418"/>
        <v>2.791924820111236</v>
      </c>
      <c r="EC145" s="202">
        <f t="shared" si="368"/>
        <v>111.59963760598608</v>
      </c>
      <c r="ED145" s="202">
        <f>SUM(CV145:DI145,DS145:DT145,DW145,DY145,EA145:EB145)</f>
        <v>110.36972238641519</v>
      </c>
      <c r="EE145" s="203">
        <f t="shared" si="419"/>
        <v>18.26981799140206</v>
      </c>
      <c r="EF145" s="199"/>
      <c r="EI145" s="1">
        <f t="shared" si="420"/>
        <v>0.5699766927982697</v>
      </c>
      <c r="EJ145" s="1">
        <f t="shared" si="421"/>
        <v>0.010606863429336002</v>
      </c>
      <c r="EK145" s="1">
        <f t="shared" si="422"/>
        <v>0</v>
      </c>
      <c r="EL145" s="1">
        <f t="shared" si="423"/>
        <v>0</v>
      </c>
      <c r="EM145" s="1">
        <f t="shared" si="424"/>
        <v>0</v>
      </c>
      <c r="EN145" s="1">
        <f t="shared" si="425"/>
        <v>0</v>
      </c>
      <c r="EO145" s="1">
        <f t="shared" si="426"/>
        <v>0.2644897670328</v>
      </c>
      <c r="EP145" s="1">
        <f t="shared" si="427"/>
        <v>0</v>
      </c>
      <c r="EQ145" s="1">
        <f t="shared" si="428"/>
        <v>0</v>
      </c>
      <c r="ER145" s="1">
        <f t="shared" si="429"/>
        <v>0</v>
      </c>
      <c r="ES145" s="1">
        <f t="shared" si="430"/>
        <v>0</v>
      </c>
      <c r="ET145" s="1">
        <f t="shared" si="431"/>
        <v>0</v>
      </c>
      <c r="EU145" s="1">
        <f t="shared" si="432"/>
        <v>0</v>
      </c>
      <c r="EV145" s="1">
        <f t="shared" si="433"/>
        <v>0</v>
      </c>
      <c r="EW145" s="1">
        <f t="shared" si="434"/>
        <v>0</v>
      </c>
      <c r="EX145" s="1">
        <f t="shared" si="435"/>
        <v>0</v>
      </c>
      <c r="EY145" s="1">
        <f t="shared" si="436"/>
        <v>0</v>
      </c>
      <c r="EZ145" s="1">
        <f t="shared" si="437"/>
        <v>0</v>
      </c>
      <c r="FA145" s="1">
        <f t="shared" si="438"/>
        <v>0</v>
      </c>
      <c r="FB145" s="1">
        <f t="shared" si="439"/>
        <v>0</v>
      </c>
      <c r="FC145" s="1">
        <f t="shared" si="440"/>
        <v>0</v>
      </c>
      <c r="FD145" s="1">
        <f t="shared" si="441"/>
        <v>0.059350736407200004</v>
      </c>
      <c r="FE145" s="1">
        <f t="shared" si="442"/>
        <v>0.059350736407200004</v>
      </c>
      <c r="FF145" s="1">
        <f t="shared" si="443"/>
        <v>0</v>
      </c>
      <c r="FG145" s="1">
        <f t="shared" si="444"/>
        <v>0.059350736407200004</v>
      </c>
      <c r="FH145" s="1">
        <f t="shared" si="445"/>
        <v>0</v>
      </c>
      <c r="FI145" s="1">
        <f t="shared" si="446"/>
        <v>0</v>
      </c>
      <c r="FJ145" s="1">
        <f t="shared" si="447"/>
        <v>0</v>
      </c>
      <c r="FK145" s="1">
        <f t="shared" si="448"/>
        <v>0</v>
      </c>
      <c r="FL145" s="1">
        <f t="shared" si="449"/>
        <v>4.300268812675172</v>
      </c>
      <c r="FM145" s="1">
        <f t="shared" si="450"/>
        <v>0</v>
      </c>
      <c r="FN145" s="1">
        <f t="shared" si="451"/>
        <v>7.46760736344</v>
      </c>
      <c r="FO145" s="1">
        <f>IF(O145=0,0,SUM(EI145:FN145))</f>
        <v>12.791001708597177</v>
      </c>
    </row>
    <row r="146" spans="1:171" s="45" customFormat="1" ht="12.75">
      <c r="A146" s="24">
        <v>40</v>
      </c>
      <c r="B146" s="25" t="s">
        <v>344</v>
      </c>
      <c r="C146" s="25" t="s">
        <v>345</v>
      </c>
      <c r="D146" s="26" t="s">
        <v>343</v>
      </c>
      <c r="E146" s="26">
        <v>5</v>
      </c>
      <c r="F146" s="26" t="s">
        <v>299</v>
      </c>
      <c r="G146" s="26" t="s">
        <v>74</v>
      </c>
      <c r="H146" s="26" t="s">
        <v>75</v>
      </c>
      <c r="I146" s="26">
        <v>3</v>
      </c>
      <c r="J146" s="26"/>
      <c r="K146" s="26">
        <f t="shared" si="452"/>
        <v>1</v>
      </c>
      <c r="L146" s="26">
        <f t="shared" si="453"/>
        <v>1</v>
      </c>
      <c r="M146" s="24">
        <v>211931</v>
      </c>
      <c r="N146" s="24">
        <v>1590541</v>
      </c>
      <c r="O146" s="27">
        <f t="shared" si="454"/>
        <v>93500</v>
      </c>
      <c r="P146" s="28">
        <v>93500</v>
      </c>
      <c r="Q146" s="28">
        <v>95000</v>
      </c>
      <c r="R146" s="28">
        <v>43000</v>
      </c>
      <c r="S146" s="29">
        <v>0</v>
      </c>
      <c r="T146" s="29">
        <v>0</v>
      </c>
      <c r="U146" s="29">
        <v>13000</v>
      </c>
      <c r="V146" s="29">
        <v>0</v>
      </c>
      <c r="W146" s="28">
        <v>0</v>
      </c>
      <c r="X146" s="29">
        <v>0</v>
      </c>
      <c r="Y146" s="29">
        <v>18000</v>
      </c>
      <c r="Z146" s="28">
        <v>0</v>
      </c>
      <c r="AA146" s="29">
        <v>0</v>
      </c>
      <c r="AB146" s="28">
        <v>13000</v>
      </c>
      <c r="AC146" s="28">
        <v>0</v>
      </c>
      <c r="AD146" s="28">
        <v>0</v>
      </c>
      <c r="AE146" s="28">
        <v>11000</v>
      </c>
      <c r="AF146" s="28">
        <v>0</v>
      </c>
      <c r="AG146" s="28">
        <v>0</v>
      </c>
      <c r="AH146" s="28">
        <v>0</v>
      </c>
      <c r="AI146" s="28">
        <v>0</v>
      </c>
      <c r="AJ146" s="28">
        <v>0</v>
      </c>
      <c r="AK146" s="28">
        <v>0</v>
      </c>
      <c r="AL146" s="28">
        <v>0</v>
      </c>
      <c r="AM146" s="30">
        <v>0</v>
      </c>
      <c r="AN146" s="31">
        <v>0</v>
      </c>
      <c r="AO146" s="30">
        <v>1000</v>
      </c>
      <c r="AP146" s="31">
        <v>0</v>
      </c>
      <c r="AQ146" s="31">
        <v>0</v>
      </c>
      <c r="AR146" s="31">
        <v>0</v>
      </c>
      <c r="AS146" s="31">
        <v>0</v>
      </c>
      <c r="AT146" s="31">
        <v>18</v>
      </c>
      <c r="AU146" s="30">
        <v>34</v>
      </c>
      <c r="AW146" s="1"/>
      <c r="AX146" s="2">
        <f t="shared" si="455"/>
        <v>82720</v>
      </c>
      <c r="AY146" s="32">
        <f t="shared" si="369"/>
        <v>81413.8947368421</v>
      </c>
      <c r="AZ146" s="186">
        <f t="shared" si="370"/>
        <v>0.4729261498050349</v>
      </c>
      <c r="BA146" s="186">
        <f t="shared" si="371"/>
        <v>0.08236513549671251</v>
      </c>
      <c r="BB146" s="186">
        <f t="shared" si="372"/>
        <v>0.2846822842738975</v>
      </c>
      <c r="BC146" s="53">
        <f t="shared" si="456"/>
        <v>93500</v>
      </c>
      <c r="BD146" s="53">
        <f t="shared" si="373"/>
        <v>45838.06106896761</v>
      </c>
      <c r="BE146" s="53">
        <f t="shared" si="374"/>
        <v>7983.18746469939</v>
      </c>
      <c r="BF146" s="53">
        <f t="shared" si="375"/>
        <v>27592.6462031751</v>
      </c>
      <c r="BG146" s="53"/>
      <c r="BH146" s="53">
        <f t="shared" si="457"/>
        <v>5</v>
      </c>
      <c r="BI146" s="53">
        <f t="shared" si="458"/>
        <v>5</v>
      </c>
      <c r="BJ146" s="53">
        <f t="shared" si="459"/>
        <v>3</v>
      </c>
      <c r="BK146" s="53">
        <f t="shared" si="460"/>
        <v>3</v>
      </c>
      <c r="BL146" s="53"/>
      <c r="BM146" s="53">
        <f t="shared" si="461"/>
        <v>2</v>
      </c>
      <c r="BN146" s="53">
        <f t="shared" si="462"/>
        <v>2</v>
      </c>
      <c r="BO146" s="53">
        <f t="shared" si="463"/>
        <v>2</v>
      </c>
      <c r="BP146" s="53">
        <f t="shared" si="464"/>
        <v>0</v>
      </c>
      <c r="BQ146" s="53"/>
      <c r="BR146" s="53">
        <f t="shared" si="465"/>
        <v>6.5</v>
      </c>
      <c r="BS146" s="53">
        <f t="shared" si="466"/>
        <v>34.2</v>
      </c>
      <c r="BT146" s="53">
        <f t="shared" si="467"/>
        <v>11</v>
      </c>
      <c r="BU146" s="53">
        <f t="shared" si="376"/>
        <v>24816</v>
      </c>
      <c r="BV146" s="53"/>
      <c r="BW146" s="53">
        <f t="shared" si="468"/>
        <v>15600</v>
      </c>
      <c r="BX146" s="53">
        <f t="shared" si="469"/>
        <v>-21036</v>
      </c>
      <c r="BY146" s="53">
        <f t="shared" si="377"/>
        <v>-18814.91095745311</v>
      </c>
      <c r="BZ146" s="240">
        <f t="shared" si="470"/>
        <v>5.791300000000001</v>
      </c>
      <c r="CC146" s="1">
        <f t="shared" si="378"/>
        <v>0</v>
      </c>
      <c r="CD146" s="195">
        <f t="shared" si="379"/>
        <v>5746.4</v>
      </c>
      <c r="CE146" s="195">
        <f t="shared" si="380"/>
        <v>5746.4</v>
      </c>
      <c r="CF146" s="239">
        <f t="shared" si="381"/>
        <v>2.9</v>
      </c>
      <c r="CG146" s="239">
        <f t="shared" si="381"/>
        <v>19.92</v>
      </c>
      <c r="CH146" s="1">
        <f t="shared" si="471"/>
        <v>9561.6</v>
      </c>
      <c r="CI146" s="1"/>
      <c r="CJ146" s="1"/>
      <c r="CK146" s="211">
        <f t="shared" si="382"/>
        <v>0</v>
      </c>
      <c r="CL146" s="211">
        <f t="shared" si="383"/>
        <v>0</v>
      </c>
      <c r="CM146" s="211">
        <f t="shared" si="384"/>
        <v>0</v>
      </c>
      <c r="CN146" s="1"/>
      <c r="CO146" s="1"/>
      <c r="CP146" s="1"/>
      <c r="CQ146" s="1">
        <f t="shared" si="472"/>
        <v>1</v>
      </c>
      <c r="CR146" s="195">
        <f t="shared" si="385"/>
        <v>10000</v>
      </c>
      <c r="CS146" s="195"/>
      <c r="CT146" s="195"/>
      <c r="CU146" s="1"/>
      <c r="CV146" s="199">
        <f t="shared" si="386"/>
        <v>48.26083817926609</v>
      </c>
      <c r="CW146" s="199">
        <f t="shared" si="387"/>
        <v>12.91293362743132</v>
      </c>
      <c r="CX146" s="199">
        <f t="shared" si="388"/>
        <v>0</v>
      </c>
      <c r="CY146" s="199">
        <f t="shared" si="389"/>
        <v>0</v>
      </c>
      <c r="CZ146" s="199">
        <f t="shared" si="390"/>
        <v>30.797513535191495</v>
      </c>
      <c r="DA146" s="199">
        <f t="shared" si="391"/>
        <v>0</v>
      </c>
      <c r="DB146" s="199">
        <f t="shared" si="392"/>
        <v>0</v>
      </c>
      <c r="DC146" s="199">
        <f t="shared" si="393"/>
        <v>0</v>
      </c>
      <c r="DD146" s="199">
        <f t="shared" si="394"/>
        <v>5.465474233005814</v>
      </c>
      <c r="DE146" s="199">
        <f t="shared" si="395"/>
        <v>0</v>
      </c>
      <c r="DF146" s="199">
        <f t="shared" si="396"/>
        <v>0</v>
      </c>
      <c r="DG146" s="199">
        <f t="shared" si="397"/>
        <v>17.242269901744532</v>
      </c>
      <c r="DH146" s="199">
        <f t="shared" si="398"/>
        <v>0</v>
      </c>
      <c r="DI146" s="199">
        <f t="shared" si="399"/>
        <v>0</v>
      </c>
      <c r="DJ146" s="199">
        <f t="shared" si="400"/>
        <v>1.5030054140765992</v>
      </c>
      <c r="DK146" s="199">
        <f t="shared" si="401"/>
        <v>0</v>
      </c>
      <c r="DL146" s="199">
        <f t="shared" si="402"/>
        <v>0</v>
      </c>
      <c r="DM146" s="199">
        <f t="shared" si="403"/>
        <v>0</v>
      </c>
      <c r="DN146" s="199">
        <f t="shared" si="404"/>
        <v>0</v>
      </c>
      <c r="DO146" s="199">
        <f t="shared" si="405"/>
        <v>0</v>
      </c>
      <c r="DP146" s="199">
        <f t="shared" si="406"/>
        <v>0</v>
      </c>
      <c r="DQ146" s="199">
        <f t="shared" si="407"/>
        <v>0</v>
      </c>
      <c r="DR146" s="199">
        <f t="shared" si="408"/>
        <v>0</v>
      </c>
      <c r="DS146" s="199">
        <f t="shared" si="409"/>
        <v>0</v>
      </c>
      <c r="DT146" s="199">
        <f t="shared" si="410"/>
        <v>2.869540806095849</v>
      </c>
      <c r="DU146" s="199">
        <f t="shared" si="411"/>
        <v>0</v>
      </c>
      <c r="DV146" s="199">
        <f t="shared" si="412"/>
        <v>0</v>
      </c>
      <c r="DW146" s="199">
        <f t="shared" si="413"/>
        <v>0</v>
      </c>
      <c r="DX146" s="199">
        <f t="shared" si="414"/>
        <v>0</v>
      </c>
      <c r="DY146" s="199">
        <f t="shared" si="415"/>
        <v>0.7447459394425505</v>
      </c>
      <c r="DZ146" s="199">
        <f t="shared" si="416"/>
        <v>0.0022008710647683973</v>
      </c>
      <c r="EA146" s="199">
        <f t="shared" si="417"/>
        <v>47.26740209850875</v>
      </c>
      <c r="EB146" s="199">
        <f t="shared" si="418"/>
        <v>5.486130290587105</v>
      </c>
      <c r="EC146" s="202">
        <f t="shared" si="368"/>
        <v>172.5520548964149</v>
      </c>
      <c r="ED146" s="202">
        <f>SUM(CV146:DI146,DS146:DT146,DW146,DY146,EA146:EB146)</f>
        <v>171.04684861127353</v>
      </c>
      <c r="EE146" s="203">
        <f t="shared" si="419"/>
        <v>28.313877434519203</v>
      </c>
      <c r="EF146" s="199"/>
      <c r="EI146" s="1">
        <f t="shared" si="420"/>
        <v>0.5699766927982697</v>
      </c>
      <c r="EJ146" s="1">
        <f t="shared" si="421"/>
        <v>0.010606863429336002</v>
      </c>
      <c r="EK146" s="1">
        <f t="shared" si="422"/>
        <v>0</v>
      </c>
      <c r="EL146" s="1">
        <f t="shared" si="423"/>
        <v>0</v>
      </c>
      <c r="EM146" s="1">
        <f t="shared" si="424"/>
        <v>0.05894874689256</v>
      </c>
      <c r="EN146" s="1">
        <f t="shared" si="425"/>
        <v>0</v>
      </c>
      <c r="EO146" s="1">
        <f t="shared" si="426"/>
        <v>0</v>
      </c>
      <c r="EP146" s="1">
        <f t="shared" si="427"/>
        <v>0</v>
      </c>
      <c r="EQ146" s="1">
        <f t="shared" si="428"/>
        <v>0.21621849683808003</v>
      </c>
      <c r="ER146" s="1">
        <f t="shared" si="429"/>
        <v>0</v>
      </c>
      <c r="ES146" s="1">
        <f t="shared" si="430"/>
        <v>0</v>
      </c>
      <c r="ET146" s="1">
        <f t="shared" si="431"/>
        <v>0.14589546715944002</v>
      </c>
      <c r="EU146" s="1">
        <f t="shared" si="432"/>
        <v>0</v>
      </c>
      <c r="EV146" s="1">
        <f t="shared" si="433"/>
        <v>0</v>
      </c>
      <c r="EW146" s="1">
        <f t="shared" si="434"/>
        <v>0.059350736407200004</v>
      </c>
      <c r="EX146" s="1">
        <f t="shared" si="435"/>
        <v>0</v>
      </c>
      <c r="EY146" s="1">
        <f t="shared" si="436"/>
        <v>0</v>
      </c>
      <c r="EZ146" s="1">
        <f t="shared" si="437"/>
        <v>0</v>
      </c>
      <c r="FA146" s="1">
        <f t="shared" si="438"/>
        <v>0</v>
      </c>
      <c r="FB146" s="1">
        <f t="shared" si="439"/>
        <v>0</v>
      </c>
      <c r="FC146" s="1">
        <f t="shared" si="440"/>
        <v>0</v>
      </c>
      <c r="FD146" s="1">
        <f t="shared" si="441"/>
        <v>0</v>
      </c>
      <c r="FE146" s="1">
        <f t="shared" si="442"/>
        <v>0</v>
      </c>
      <c r="FF146" s="1">
        <f t="shared" si="443"/>
        <v>0</v>
      </c>
      <c r="FG146" s="1">
        <f t="shared" si="444"/>
        <v>0.059350736407200004</v>
      </c>
      <c r="FH146" s="1">
        <f t="shared" si="445"/>
        <v>0</v>
      </c>
      <c r="FI146" s="1">
        <f t="shared" si="446"/>
        <v>0</v>
      </c>
      <c r="FJ146" s="1">
        <f t="shared" si="447"/>
        <v>0</v>
      </c>
      <c r="FK146" s="1">
        <f t="shared" si="448"/>
        <v>0</v>
      </c>
      <c r="FL146" s="1">
        <f t="shared" si="449"/>
        <v>4.263919336981805</v>
      </c>
      <c r="FM146" s="1">
        <f t="shared" si="450"/>
        <v>0.0034234991863440005</v>
      </c>
      <c r="FN146" s="1">
        <f t="shared" si="451"/>
        <v>7.46760736344</v>
      </c>
      <c r="FO146" s="1">
        <f>IF(O146=0,0,SUM(EI146:FN146))</f>
        <v>12.855297939540234</v>
      </c>
    </row>
    <row r="147" spans="1:171" ht="12.75">
      <c r="A147" s="24">
        <v>86</v>
      </c>
      <c r="B147" s="25" t="s">
        <v>346</v>
      </c>
      <c r="C147" s="25" t="s">
        <v>347</v>
      </c>
      <c r="D147" s="26" t="s">
        <v>348</v>
      </c>
      <c r="E147" s="26">
        <v>5</v>
      </c>
      <c r="F147" s="26" t="s">
        <v>299</v>
      </c>
      <c r="G147" s="26" t="s">
        <v>74</v>
      </c>
      <c r="H147" s="26" t="s">
        <v>79</v>
      </c>
      <c r="I147" s="26">
        <v>3</v>
      </c>
      <c r="J147" s="26"/>
      <c r="K147" s="26">
        <f t="shared" si="452"/>
        <v>0</v>
      </c>
      <c r="L147" s="26">
        <f t="shared" si="453"/>
        <v>0</v>
      </c>
      <c r="M147" s="24">
        <v>390800</v>
      </c>
      <c r="N147" s="24">
        <v>1131400</v>
      </c>
      <c r="O147" s="27">
        <f t="shared" si="454"/>
        <v>2000</v>
      </c>
      <c r="P147" s="28">
        <v>2000</v>
      </c>
      <c r="Q147" s="28">
        <v>5000</v>
      </c>
      <c r="R147" s="28">
        <v>5000</v>
      </c>
      <c r="S147" s="29">
        <v>0</v>
      </c>
      <c r="T147" s="29">
        <v>0</v>
      </c>
      <c r="U147" s="29">
        <v>0</v>
      </c>
      <c r="V147" s="29">
        <v>0</v>
      </c>
      <c r="W147" s="28">
        <v>0</v>
      </c>
      <c r="X147" s="29">
        <v>0</v>
      </c>
      <c r="Y147" s="29">
        <v>0</v>
      </c>
      <c r="Z147" s="28">
        <v>0</v>
      </c>
      <c r="AA147" s="29">
        <v>0</v>
      </c>
      <c r="AB147" s="28">
        <v>0</v>
      </c>
      <c r="AC147" s="29">
        <v>0</v>
      </c>
      <c r="AD147" s="28">
        <v>0</v>
      </c>
      <c r="AE147" s="28">
        <v>0</v>
      </c>
      <c r="AF147" s="28">
        <v>0</v>
      </c>
      <c r="AG147" s="28">
        <v>0</v>
      </c>
      <c r="AH147" s="28">
        <v>0</v>
      </c>
      <c r="AI147" s="28">
        <v>0</v>
      </c>
      <c r="AJ147" s="28">
        <v>0</v>
      </c>
      <c r="AK147" s="28">
        <v>0</v>
      </c>
      <c r="AL147" s="28">
        <v>0</v>
      </c>
      <c r="AM147" s="30">
        <v>0</v>
      </c>
      <c r="AN147" s="31">
        <v>0</v>
      </c>
      <c r="AO147" s="30">
        <v>5000</v>
      </c>
      <c r="AP147" s="31">
        <v>0</v>
      </c>
      <c r="AQ147" s="31">
        <v>0</v>
      </c>
      <c r="AR147" s="31">
        <v>0</v>
      </c>
      <c r="AS147" s="31">
        <v>0</v>
      </c>
      <c r="AT147" s="31">
        <v>0</v>
      </c>
      <c r="AU147" s="30">
        <v>0</v>
      </c>
      <c r="AX147" s="2">
        <f t="shared" si="455"/>
        <v>0</v>
      </c>
      <c r="AY147" s="32">
        <f t="shared" si="369"/>
        <v>0</v>
      </c>
      <c r="AZ147" s="186">
        <f t="shared" si="370"/>
        <v>0.4729261498050349</v>
      </c>
      <c r="BA147" s="186">
        <f t="shared" si="371"/>
        <v>0.08236513549671251</v>
      </c>
      <c r="BB147" s="186">
        <f t="shared" si="372"/>
        <v>0.2846822842738975</v>
      </c>
      <c r="BC147" s="53">
        <f t="shared" si="456"/>
        <v>2000</v>
      </c>
      <c r="BD147" s="53">
        <f t="shared" si="373"/>
        <v>0</v>
      </c>
      <c r="BE147" s="53">
        <f t="shared" si="374"/>
        <v>0</v>
      </c>
      <c r="BF147" s="53">
        <f t="shared" si="375"/>
        <v>0</v>
      </c>
      <c r="BG147" s="53"/>
      <c r="BH147" s="53">
        <f t="shared" si="457"/>
        <v>2</v>
      </c>
      <c r="BI147" s="53">
        <f t="shared" si="458"/>
        <v>0</v>
      </c>
      <c r="BJ147" s="53">
        <f t="shared" si="459"/>
        <v>2</v>
      </c>
      <c r="BK147" s="53">
        <f t="shared" si="460"/>
        <v>0</v>
      </c>
      <c r="BL147" s="53"/>
      <c r="BM147" s="53">
        <f t="shared" si="461"/>
        <v>0</v>
      </c>
      <c r="BN147" s="53">
        <f t="shared" si="462"/>
        <v>0</v>
      </c>
      <c r="BO147" s="53">
        <f t="shared" si="463"/>
        <v>1</v>
      </c>
      <c r="BP147" s="53">
        <f t="shared" si="464"/>
        <v>0</v>
      </c>
      <c r="BQ147" s="53"/>
      <c r="BR147" s="53">
        <f t="shared" si="465"/>
        <v>0</v>
      </c>
      <c r="BS147" s="53">
        <f t="shared" si="466"/>
        <v>0</v>
      </c>
      <c r="BT147" s="53">
        <f t="shared" si="467"/>
        <v>5.5</v>
      </c>
      <c r="BU147" s="53">
        <f t="shared" si="376"/>
        <v>2640</v>
      </c>
      <c r="BV147" s="53"/>
      <c r="BW147" s="53">
        <f t="shared" si="468"/>
        <v>2600</v>
      </c>
      <c r="BX147" s="53">
        <f t="shared" si="469"/>
        <v>-2010</v>
      </c>
      <c r="BY147" s="53">
        <f t="shared" si="377"/>
        <v>-1639.8184929088518</v>
      </c>
      <c r="BZ147" s="240">
        <f t="shared" si="470"/>
        <v>0.7425</v>
      </c>
      <c r="CC147" s="1">
        <f t="shared" si="378"/>
        <v>0</v>
      </c>
      <c r="CD147" s="195">
        <f t="shared" si="379"/>
        <v>2873.2</v>
      </c>
      <c r="CE147" s="195">
        <f t="shared" si="380"/>
        <v>2873.2</v>
      </c>
      <c r="CF147" s="239">
        <f t="shared" si="381"/>
        <v>1.45</v>
      </c>
      <c r="CG147" s="239">
        <f t="shared" si="381"/>
        <v>9.96</v>
      </c>
      <c r="CH147" s="1">
        <f t="shared" si="471"/>
        <v>4780.8</v>
      </c>
      <c r="CK147" s="211">
        <f t="shared" si="382"/>
        <v>0</v>
      </c>
      <c r="CL147" s="211">
        <f t="shared" si="383"/>
        <v>0</v>
      </c>
      <c r="CM147" s="211">
        <f t="shared" si="384"/>
        <v>0</v>
      </c>
      <c r="CQ147" s="1">
        <f t="shared" si="472"/>
        <v>0</v>
      </c>
      <c r="CR147" s="195">
        <f t="shared" si="385"/>
        <v>0</v>
      </c>
      <c r="CS147" s="195"/>
      <c r="CT147" s="195"/>
      <c r="CV147" s="199">
        <f t="shared" si="386"/>
        <v>2.540044114698215</v>
      </c>
      <c r="CW147" s="199">
        <f t="shared" si="387"/>
        <v>1.5015039101664327</v>
      </c>
      <c r="CX147" s="199">
        <f t="shared" si="388"/>
        <v>0</v>
      </c>
      <c r="CY147" s="199">
        <f t="shared" si="389"/>
        <v>0</v>
      </c>
      <c r="CZ147" s="199">
        <f t="shared" si="390"/>
        <v>0</v>
      </c>
      <c r="DA147" s="199">
        <f t="shared" si="391"/>
        <v>0</v>
      </c>
      <c r="DB147" s="199">
        <f t="shared" si="392"/>
        <v>0</v>
      </c>
      <c r="DC147" s="199">
        <f t="shared" si="393"/>
        <v>0</v>
      </c>
      <c r="DD147" s="199">
        <f t="shared" si="394"/>
        <v>0</v>
      </c>
      <c r="DE147" s="199">
        <f t="shared" si="395"/>
        <v>0</v>
      </c>
      <c r="DF147" s="199">
        <f t="shared" si="396"/>
        <v>0</v>
      </c>
      <c r="DG147" s="199">
        <f t="shared" si="397"/>
        <v>0</v>
      </c>
      <c r="DH147" s="199">
        <f t="shared" si="398"/>
        <v>0</v>
      </c>
      <c r="DI147" s="199">
        <f t="shared" si="399"/>
        <v>0</v>
      </c>
      <c r="DJ147" s="199">
        <f t="shared" si="400"/>
        <v>0</v>
      </c>
      <c r="DK147" s="199">
        <f t="shared" si="401"/>
        <v>0</v>
      </c>
      <c r="DL147" s="199">
        <f t="shared" si="402"/>
        <v>0</v>
      </c>
      <c r="DM147" s="199">
        <f t="shared" si="403"/>
        <v>0</v>
      </c>
      <c r="DN147" s="199">
        <f t="shared" si="404"/>
        <v>0</v>
      </c>
      <c r="DO147" s="199">
        <f t="shared" si="405"/>
        <v>0</v>
      </c>
      <c r="DP147" s="199">
        <f t="shared" si="406"/>
        <v>0</v>
      </c>
      <c r="DQ147" s="199">
        <f t="shared" si="407"/>
        <v>0</v>
      </c>
      <c r="DR147" s="199">
        <f t="shared" si="408"/>
        <v>0</v>
      </c>
      <c r="DS147" s="199">
        <f t="shared" si="409"/>
        <v>0</v>
      </c>
      <c r="DT147" s="199">
        <f t="shared" si="410"/>
        <v>14.347704030479244</v>
      </c>
      <c r="DU147" s="199">
        <f t="shared" si="411"/>
        <v>0</v>
      </c>
      <c r="DV147" s="199">
        <f t="shared" si="412"/>
        <v>0</v>
      </c>
      <c r="DW147" s="199">
        <f t="shared" si="413"/>
        <v>0</v>
      </c>
      <c r="DX147" s="199">
        <f t="shared" si="414"/>
        <v>0</v>
      </c>
      <c r="DY147" s="199">
        <f t="shared" si="415"/>
        <v>0</v>
      </c>
      <c r="DZ147" s="199">
        <f t="shared" si="416"/>
        <v>0</v>
      </c>
      <c r="EA147" s="199">
        <f t="shared" si="417"/>
        <v>0</v>
      </c>
      <c r="EB147" s="199">
        <f t="shared" si="418"/>
        <v>0.06272949669139763</v>
      </c>
      <c r="EC147" s="202">
        <f t="shared" si="368"/>
        <v>18.45198155203529</v>
      </c>
      <c r="ED147" s="202">
        <f>SUM(CV147:DI147,DS147:DT147,DW147,DY147,EA147:EB147)</f>
        <v>18.45198155203529</v>
      </c>
      <c r="EE147" s="203">
        <f t="shared" si="419"/>
        <v>3.054409644667973</v>
      </c>
      <c r="EF147" s="199"/>
      <c r="EI147" s="1">
        <f t="shared" si="420"/>
        <v>0.18495710758393283</v>
      </c>
      <c r="EJ147" s="1">
        <f t="shared" si="421"/>
        <v>0.002442336444552</v>
      </c>
      <c r="EK147" s="1">
        <f t="shared" si="422"/>
        <v>0</v>
      </c>
      <c r="EL147" s="1">
        <f t="shared" si="423"/>
        <v>0</v>
      </c>
      <c r="EM147" s="1">
        <f t="shared" si="424"/>
        <v>0</v>
      </c>
      <c r="EN147" s="1">
        <f t="shared" si="425"/>
        <v>0</v>
      </c>
      <c r="EO147" s="1">
        <f t="shared" si="426"/>
        <v>0</v>
      </c>
      <c r="EP147" s="1">
        <f t="shared" si="427"/>
        <v>0</v>
      </c>
      <c r="EQ147" s="1">
        <f t="shared" si="428"/>
        <v>0</v>
      </c>
      <c r="ER147" s="1">
        <f t="shared" si="429"/>
        <v>0</v>
      </c>
      <c r="ES147" s="1">
        <f t="shared" si="430"/>
        <v>0</v>
      </c>
      <c r="ET147" s="1">
        <f t="shared" si="431"/>
        <v>0</v>
      </c>
      <c r="EU147" s="1">
        <f t="shared" si="432"/>
        <v>0</v>
      </c>
      <c r="EV147" s="1">
        <f t="shared" si="433"/>
        <v>0</v>
      </c>
      <c r="EW147" s="1">
        <f t="shared" si="434"/>
        <v>0</v>
      </c>
      <c r="EX147" s="1">
        <f t="shared" si="435"/>
        <v>0</v>
      </c>
      <c r="EY147" s="1">
        <f t="shared" si="436"/>
        <v>0</v>
      </c>
      <c r="EZ147" s="1">
        <f t="shared" si="437"/>
        <v>0</v>
      </c>
      <c r="FA147" s="1">
        <f t="shared" si="438"/>
        <v>0</v>
      </c>
      <c r="FB147" s="1">
        <f t="shared" si="439"/>
        <v>0</v>
      </c>
      <c r="FC147" s="1">
        <f t="shared" si="440"/>
        <v>0</v>
      </c>
      <c r="FD147" s="1">
        <f t="shared" si="441"/>
        <v>0</v>
      </c>
      <c r="FE147" s="1">
        <f t="shared" si="442"/>
        <v>0</v>
      </c>
      <c r="FF147" s="1">
        <f t="shared" si="443"/>
        <v>0</v>
      </c>
      <c r="FG147" s="1">
        <f t="shared" si="444"/>
        <v>0.059350736407200004</v>
      </c>
      <c r="FH147" s="1">
        <f t="shared" si="445"/>
        <v>0</v>
      </c>
      <c r="FI147" s="1">
        <f t="shared" si="446"/>
        <v>0</v>
      </c>
      <c r="FJ147" s="1">
        <f t="shared" si="447"/>
        <v>0</v>
      </c>
      <c r="FK147" s="1">
        <f t="shared" si="448"/>
        <v>0</v>
      </c>
      <c r="FL147" s="1">
        <f t="shared" si="449"/>
        <v>0</v>
      </c>
      <c r="FM147" s="1">
        <f t="shared" si="450"/>
        <v>0</v>
      </c>
      <c r="FN147" s="1">
        <f t="shared" si="451"/>
        <v>4.472293968912</v>
      </c>
      <c r="FO147" s="1">
        <f>IF(O147=0,0,SUM(EI147:FN147))</f>
        <v>4.719044149347685</v>
      </c>
    </row>
    <row r="148" spans="1:171" ht="12.75">
      <c r="A148" s="24">
        <v>103.5</v>
      </c>
      <c r="B148" s="25" t="s">
        <v>84</v>
      </c>
      <c r="C148" s="25" t="s">
        <v>349</v>
      </c>
      <c r="D148" s="26" t="s">
        <v>350</v>
      </c>
      <c r="E148" s="26">
        <v>5</v>
      </c>
      <c r="F148" s="26" t="s">
        <v>299</v>
      </c>
      <c r="G148" s="26" t="s">
        <v>74</v>
      </c>
      <c r="H148" s="26" t="s">
        <v>79</v>
      </c>
      <c r="I148" s="26">
        <v>3</v>
      </c>
      <c r="J148" s="26"/>
      <c r="K148" s="26">
        <f t="shared" si="452"/>
        <v>0</v>
      </c>
      <c r="L148" s="26">
        <f t="shared" si="453"/>
        <v>0</v>
      </c>
      <c r="M148" s="24">
        <v>453400</v>
      </c>
      <c r="N148" s="24">
        <v>1224400</v>
      </c>
      <c r="O148" s="27">
        <f t="shared" si="454"/>
        <v>9000</v>
      </c>
      <c r="P148" s="28">
        <v>0</v>
      </c>
      <c r="Q148" s="28">
        <v>0</v>
      </c>
      <c r="R148" s="28">
        <v>10000</v>
      </c>
      <c r="S148" s="29">
        <v>0</v>
      </c>
      <c r="T148" s="29">
        <v>0</v>
      </c>
      <c r="U148" s="29">
        <v>0</v>
      </c>
      <c r="V148" s="29">
        <v>0</v>
      </c>
      <c r="W148" s="28">
        <v>0</v>
      </c>
      <c r="X148" s="29">
        <v>0</v>
      </c>
      <c r="Y148" s="29">
        <v>0</v>
      </c>
      <c r="Z148" s="28">
        <v>0</v>
      </c>
      <c r="AA148" s="29">
        <v>0</v>
      </c>
      <c r="AB148" s="28">
        <v>0</v>
      </c>
      <c r="AC148" s="29">
        <v>0</v>
      </c>
      <c r="AD148" s="28">
        <v>0</v>
      </c>
      <c r="AE148" s="28">
        <v>0</v>
      </c>
      <c r="AF148" s="28">
        <v>0</v>
      </c>
      <c r="AG148" s="28">
        <v>0</v>
      </c>
      <c r="AH148" s="28">
        <v>0</v>
      </c>
      <c r="AI148" s="28">
        <v>0</v>
      </c>
      <c r="AJ148" s="28">
        <v>0</v>
      </c>
      <c r="AK148" s="28">
        <v>0</v>
      </c>
      <c r="AL148" s="28">
        <v>0</v>
      </c>
      <c r="AM148" s="30">
        <v>0</v>
      </c>
      <c r="AN148" s="31">
        <v>0</v>
      </c>
      <c r="AO148" s="30">
        <v>7000</v>
      </c>
      <c r="AP148" s="31">
        <v>0</v>
      </c>
      <c r="AQ148" s="31">
        <v>0</v>
      </c>
      <c r="AR148" s="31">
        <v>0</v>
      </c>
      <c r="AS148" s="31">
        <v>0</v>
      </c>
      <c r="AT148" s="31">
        <v>0</v>
      </c>
      <c r="AU148" s="30">
        <v>0</v>
      </c>
      <c r="AX148" s="2">
        <f t="shared" si="455"/>
        <v>2640</v>
      </c>
      <c r="AY148" s="32">
        <f t="shared" si="369"/>
        <v>2376</v>
      </c>
      <c r="AZ148" s="186">
        <f t="shared" si="370"/>
        <v>0.4729261498050349</v>
      </c>
      <c r="BA148" s="186">
        <f t="shared" si="371"/>
        <v>0.08236513549671251</v>
      </c>
      <c r="BB148" s="186">
        <f t="shared" si="372"/>
        <v>0.2846822842738975</v>
      </c>
      <c r="BC148" s="53">
        <f t="shared" si="456"/>
        <v>0</v>
      </c>
      <c r="BD148" s="53">
        <f t="shared" si="373"/>
        <v>1337.7474871077702</v>
      </c>
      <c r="BE148" s="53">
        <f t="shared" si="374"/>
        <v>232.98299973778512</v>
      </c>
      <c r="BF148" s="53">
        <f t="shared" si="375"/>
        <v>805.2695131544444</v>
      </c>
      <c r="BG148" s="53"/>
      <c r="BH148" s="53">
        <f t="shared" si="457"/>
        <v>0</v>
      </c>
      <c r="BI148" s="53">
        <f t="shared" si="458"/>
        <v>3</v>
      </c>
      <c r="BJ148" s="53">
        <f t="shared" si="459"/>
        <v>3</v>
      </c>
      <c r="BK148" s="53">
        <f t="shared" si="460"/>
        <v>2</v>
      </c>
      <c r="BL148" s="53"/>
      <c r="BM148" s="53">
        <f t="shared" si="461"/>
        <v>0</v>
      </c>
      <c r="BN148" s="53">
        <f t="shared" si="462"/>
        <v>2</v>
      </c>
      <c r="BO148" s="53">
        <f t="shared" si="463"/>
        <v>2</v>
      </c>
      <c r="BP148" s="53">
        <f t="shared" si="464"/>
        <v>0</v>
      </c>
      <c r="BQ148" s="53"/>
      <c r="BR148" s="53">
        <f t="shared" si="465"/>
        <v>0</v>
      </c>
      <c r="BS148" s="53">
        <f t="shared" si="466"/>
        <v>34.2</v>
      </c>
      <c r="BT148" s="53">
        <f t="shared" si="467"/>
        <v>11</v>
      </c>
      <c r="BU148" s="53">
        <f t="shared" si="376"/>
        <v>21696</v>
      </c>
      <c r="BV148" s="53"/>
      <c r="BW148" s="53">
        <f t="shared" si="468"/>
        <v>10400</v>
      </c>
      <c r="BX148" s="53">
        <f t="shared" si="469"/>
        <v>-19176</v>
      </c>
      <c r="BY148" s="53">
        <f t="shared" si="377"/>
        <v>-17695.273971635408</v>
      </c>
      <c r="BZ148" s="240">
        <f t="shared" si="470"/>
        <v>5.2128000000000005</v>
      </c>
      <c r="CC148" s="1">
        <f t="shared" si="378"/>
        <v>0</v>
      </c>
      <c r="CD148" s="195">
        <f t="shared" si="379"/>
        <v>2873.2</v>
      </c>
      <c r="CE148" s="195">
        <f t="shared" si="380"/>
        <v>2873.2</v>
      </c>
      <c r="CF148" s="239">
        <f t="shared" si="381"/>
        <v>1.45</v>
      </c>
      <c r="CG148" s="239">
        <f t="shared" si="381"/>
        <v>9.96</v>
      </c>
      <c r="CH148" s="1">
        <f t="shared" si="471"/>
        <v>4780.8</v>
      </c>
      <c r="CK148" s="211">
        <f t="shared" si="382"/>
        <v>0</v>
      </c>
      <c r="CL148" s="211">
        <f t="shared" si="383"/>
        <v>0</v>
      </c>
      <c r="CM148" s="211">
        <f t="shared" si="384"/>
        <v>0</v>
      </c>
      <c r="CQ148" s="1">
        <f t="shared" si="472"/>
        <v>0</v>
      </c>
      <c r="CR148" s="195">
        <f t="shared" si="385"/>
        <v>0</v>
      </c>
      <c r="CS148" s="195"/>
      <c r="CT148" s="195"/>
      <c r="CV148" s="199">
        <f t="shared" si="386"/>
        <v>0</v>
      </c>
      <c r="CW148" s="199">
        <f t="shared" si="387"/>
        <v>3.0030078203328654</v>
      </c>
      <c r="CX148" s="199">
        <f t="shared" si="388"/>
        <v>0</v>
      </c>
      <c r="CY148" s="199">
        <f t="shared" si="389"/>
        <v>0</v>
      </c>
      <c r="CZ148" s="199">
        <f t="shared" si="390"/>
        <v>0</v>
      </c>
      <c r="DA148" s="199">
        <f t="shared" si="391"/>
        <v>0</v>
      </c>
      <c r="DB148" s="199">
        <f t="shared" si="392"/>
        <v>0</v>
      </c>
      <c r="DC148" s="199">
        <f t="shared" si="393"/>
        <v>0</v>
      </c>
      <c r="DD148" s="199">
        <f t="shared" si="394"/>
        <v>0</v>
      </c>
      <c r="DE148" s="199">
        <f t="shared" si="395"/>
        <v>0</v>
      </c>
      <c r="DF148" s="199">
        <f t="shared" si="396"/>
        <v>0</v>
      </c>
      <c r="DG148" s="199">
        <f t="shared" si="397"/>
        <v>0</v>
      </c>
      <c r="DH148" s="199">
        <f t="shared" si="398"/>
        <v>0</v>
      </c>
      <c r="DI148" s="199">
        <f t="shared" si="399"/>
        <v>0</v>
      </c>
      <c r="DJ148" s="199">
        <f t="shared" si="400"/>
        <v>0</v>
      </c>
      <c r="DK148" s="199">
        <f t="shared" si="401"/>
        <v>0</v>
      </c>
      <c r="DL148" s="199">
        <f t="shared" si="402"/>
        <v>0</v>
      </c>
      <c r="DM148" s="199">
        <f t="shared" si="403"/>
        <v>0</v>
      </c>
      <c r="DN148" s="199">
        <f t="shared" si="404"/>
        <v>0</v>
      </c>
      <c r="DO148" s="199">
        <f t="shared" si="405"/>
        <v>0</v>
      </c>
      <c r="DP148" s="199">
        <f t="shared" si="406"/>
        <v>0</v>
      </c>
      <c r="DQ148" s="199">
        <f t="shared" si="407"/>
        <v>0</v>
      </c>
      <c r="DR148" s="199">
        <f t="shared" si="408"/>
        <v>0</v>
      </c>
      <c r="DS148" s="199">
        <f t="shared" si="409"/>
        <v>0</v>
      </c>
      <c r="DT148" s="199">
        <f t="shared" si="410"/>
        <v>20.086785642670943</v>
      </c>
      <c r="DU148" s="199">
        <f t="shared" si="411"/>
        <v>0</v>
      </c>
      <c r="DV148" s="199">
        <f t="shared" si="412"/>
        <v>0</v>
      </c>
      <c r="DW148" s="199">
        <f t="shared" si="413"/>
        <v>0</v>
      </c>
      <c r="DX148" s="199">
        <f t="shared" si="414"/>
        <v>0</v>
      </c>
      <c r="DY148" s="199">
        <f t="shared" si="415"/>
        <v>0</v>
      </c>
      <c r="DZ148" s="199">
        <f t="shared" si="416"/>
        <v>0</v>
      </c>
      <c r="EA148" s="199">
        <f t="shared" si="417"/>
        <v>1.3794616723481046</v>
      </c>
      <c r="EB148" s="199">
        <f t="shared" si="418"/>
        <v>0.35680537718066974</v>
      </c>
      <c r="EC148" s="202">
        <f t="shared" si="368"/>
        <v>24.82606051253258</v>
      </c>
      <c r="ED148" s="202">
        <f>SUM(CV148:DI148,DS148:DT148,DW148,DY148,EA148:EB148)</f>
        <v>24.82606051253258</v>
      </c>
      <c r="EE148" s="203">
        <f t="shared" si="419"/>
        <v>4.1095292911902</v>
      </c>
      <c r="EF148" s="199"/>
      <c r="EI148" s="1">
        <f t="shared" si="420"/>
        <v>0</v>
      </c>
      <c r="EJ148" s="1">
        <f t="shared" si="421"/>
        <v>0.002442336444552</v>
      </c>
      <c r="EK148" s="1">
        <f t="shared" si="422"/>
        <v>0</v>
      </c>
      <c r="EL148" s="1">
        <f t="shared" si="423"/>
        <v>0</v>
      </c>
      <c r="EM148" s="1">
        <f t="shared" si="424"/>
        <v>0</v>
      </c>
      <c r="EN148" s="1">
        <f t="shared" si="425"/>
        <v>0</v>
      </c>
      <c r="EO148" s="1">
        <f t="shared" si="426"/>
        <v>0</v>
      </c>
      <c r="EP148" s="1">
        <f t="shared" si="427"/>
        <v>0</v>
      </c>
      <c r="EQ148" s="1">
        <f t="shared" si="428"/>
        <v>0</v>
      </c>
      <c r="ER148" s="1">
        <f t="shared" si="429"/>
        <v>0</v>
      </c>
      <c r="ES148" s="1">
        <f t="shared" si="430"/>
        <v>0</v>
      </c>
      <c r="ET148" s="1">
        <f t="shared" si="431"/>
        <v>0</v>
      </c>
      <c r="EU148" s="1">
        <f t="shared" si="432"/>
        <v>0</v>
      </c>
      <c r="EV148" s="1">
        <f t="shared" si="433"/>
        <v>0</v>
      </c>
      <c r="EW148" s="1">
        <f t="shared" si="434"/>
        <v>0</v>
      </c>
      <c r="EX148" s="1">
        <f t="shared" si="435"/>
        <v>0</v>
      </c>
      <c r="EY148" s="1">
        <f t="shared" si="436"/>
        <v>0</v>
      </c>
      <c r="EZ148" s="1">
        <f t="shared" si="437"/>
        <v>0</v>
      </c>
      <c r="FA148" s="1">
        <f t="shared" si="438"/>
        <v>0</v>
      </c>
      <c r="FB148" s="1">
        <f t="shared" si="439"/>
        <v>0</v>
      </c>
      <c r="FC148" s="1">
        <f t="shared" si="440"/>
        <v>0</v>
      </c>
      <c r="FD148" s="1">
        <f t="shared" si="441"/>
        <v>0</v>
      </c>
      <c r="FE148" s="1">
        <f t="shared" si="442"/>
        <v>0</v>
      </c>
      <c r="FF148" s="1">
        <f t="shared" si="443"/>
        <v>0</v>
      </c>
      <c r="FG148" s="1">
        <f t="shared" si="444"/>
        <v>0.059350736407200004</v>
      </c>
      <c r="FH148" s="1">
        <f t="shared" si="445"/>
        <v>0</v>
      </c>
      <c r="FI148" s="1">
        <f t="shared" si="446"/>
        <v>0</v>
      </c>
      <c r="FJ148" s="1">
        <f t="shared" si="447"/>
        <v>0</v>
      </c>
      <c r="FK148" s="1">
        <f t="shared" si="448"/>
        <v>0</v>
      </c>
      <c r="FL148" s="1">
        <f t="shared" si="449"/>
        <v>0</v>
      </c>
      <c r="FM148" s="1">
        <f t="shared" si="450"/>
        <v>0</v>
      </c>
      <c r="FN148" s="1">
        <f t="shared" si="451"/>
        <v>4.472293968912</v>
      </c>
      <c r="FO148" s="1">
        <f>IF(O148=0,0,SUM(EI148:FN148))</f>
        <v>4.534087041763752</v>
      </c>
    </row>
    <row r="149" spans="1:171" s="45" customFormat="1" ht="12.75">
      <c r="A149" s="33">
        <v>141</v>
      </c>
      <c r="B149" s="34" t="s">
        <v>308</v>
      </c>
      <c r="C149" s="34" t="s">
        <v>351</v>
      </c>
      <c r="D149" s="35" t="s">
        <v>352</v>
      </c>
      <c r="E149" s="35">
        <v>5</v>
      </c>
      <c r="F149" s="26" t="s">
        <v>299</v>
      </c>
      <c r="G149" s="35" t="s">
        <v>74</v>
      </c>
      <c r="H149" s="35" t="s">
        <v>75</v>
      </c>
      <c r="I149" s="35">
        <v>3</v>
      </c>
      <c r="J149" s="35"/>
      <c r="K149" s="26">
        <f t="shared" si="452"/>
        <v>1</v>
      </c>
      <c r="L149" s="26">
        <f t="shared" si="453"/>
        <v>1</v>
      </c>
      <c r="M149" s="33">
        <v>485300</v>
      </c>
      <c r="N149" s="33">
        <v>1224400</v>
      </c>
      <c r="O149" s="27">
        <f t="shared" si="454"/>
        <v>225000</v>
      </c>
      <c r="P149" s="30">
        <v>225000</v>
      </c>
      <c r="Q149" s="30">
        <v>232000</v>
      </c>
      <c r="R149" s="30">
        <v>106000</v>
      </c>
      <c r="S149" s="31">
        <v>64000</v>
      </c>
      <c r="T149" s="31">
        <v>0</v>
      </c>
      <c r="U149" s="31">
        <v>0</v>
      </c>
      <c r="V149" s="31">
        <v>0</v>
      </c>
      <c r="W149" s="30">
        <v>0</v>
      </c>
      <c r="X149" s="31">
        <v>0</v>
      </c>
      <c r="Y149" s="31">
        <v>0</v>
      </c>
      <c r="Z149" s="30">
        <v>61000</v>
      </c>
      <c r="AA149" s="31">
        <v>0</v>
      </c>
      <c r="AB149" s="30">
        <v>0</v>
      </c>
      <c r="AC149" s="30">
        <v>63000</v>
      </c>
      <c r="AD149" s="30">
        <v>0</v>
      </c>
      <c r="AE149" s="30">
        <v>70000</v>
      </c>
      <c r="AF149" s="30">
        <v>0</v>
      </c>
      <c r="AG149" s="30">
        <v>11500</v>
      </c>
      <c r="AH149" s="30">
        <v>13600</v>
      </c>
      <c r="AI149" s="30">
        <v>0</v>
      </c>
      <c r="AJ149" s="30">
        <v>0</v>
      </c>
      <c r="AK149" s="30">
        <v>0</v>
      </c>
      <c r="AL149" s="30">
        <v>0</v>
      </c>
      <c r="AM149" s="30">
        <v>0</v>
      </c>
      <c r="AN149" s="31">
        <v>0</v>
      </c>
      <c r="AO149" s="30">
        <v>0</v>
      </c>
      <c r="AP149" s="31">
        <v>6000</v>
      </c>
      <c r="AQ149" s="31">
        <v>0</v>
      </c>
      <c r="AR149" s="31">
        <v>0</v>
      </c>
      <c r="AS149" s="31">
        <v>7600</v>
      </c>
      <c r="AT149" s="31">
        <v>128</v>
      </c>
      <c r="AU149" s="30">
        <v>242</v>
      </c>
      <c r="AW149" s="1"/>
      <c r="AX149" s="2">
        <f t="shared" si="455"/>
        <v>197472</v>
      </c>
      <c r="AY149" s="32">
        <f t="shared" si="369"/>
        <v>191513.7931034483</v>
      </c>
      <c r="AZ149" s="186">
        <f t="shared" si="370"/>
        <v>0.4729261498050349</v>
      </c>
      <c r="BA149" s="186">
        <f t="shared" si="371"/>
        <v>0.08236513549671251</v>
      </c>
      <c r="BB149" s="186">
        <f t="shared" si="372"/>
        <v>0.2846822842738975</v>
      </c>
      <c r="BC149" s="53">
        <f t="shared" si="456"/>
        <v>225000</v>
      </c>
      <c r="BD149" s="53">
        <f t="shared" si="373"/>
        <v>107827.06038325564</v>
      </c>
      <c r="BE149" s="53">
        <f t="shared" si="374"/>
        <v>18779.23316851975</v>
      </c>
      <c r="BF149" s="53">
        <f t="shared" si="375"/>
        <v>64907.4995516729</v>
      </c>
      <c r="BG149" s="53"/>
      <c r="BH149" s="53">
        <f t="shared" si="457"/>
        <v>9</v>
      </c>
      <c r="BI149" s="53">
        <f t="shared" si="458"/>
        <v>8</v>
      </c>
      <c r="BJ149" s="53">
        <f t="shared" si="459"/>
        <v>4</v>
      </c>
      <c r="BK149" s="53">
        <f t="shared" si="460"/>
        <v>6</v>
      </c>
      <c r="BL149" s="53"/>
      <c r="BM149" s="53">
        <f t="shared" si="461"/>
        <v>4</v>
      </c>
      <c r="BN149" s="53">
        <f t="shared" si="462"/>
        <v>4</v>
      </c>
      <c r="BO149" s="53">
        <f t="shared" si="463"/>
        <v>2</v>
      </c>
      <c r="BP149" s="53">
        <f t="shared" si="464"/>
        <v>0</v>
      </c>
      <c r="BQ149" s="53"/>
      <c r="BR149" s="53">
        <f t="shared" si="465"/>
        <v>13</v>
      </c>
      <c r="BS149" s="53">
        <f t="shared" si="466"/>
        <v>68.4</v>
      </c>
      <c r="BT149" s="53">
        <f t="shared" si="467"/>
        <v>11</v>
      </c>
      <c r="BU149" s="53">
        <f t="shared" si="376"/>
        <v>44352</v>
      </c>
      <c r="BV149" s="53"/>
      <c r="BW149" s="53">
        <f t="shared" si="468"/>
        <v>26000</v>
      </c>
      <c r="BX149" s="53">
        <f t="shared" si="469"/>
        <v>-38052</v>
      </c>
      <c r="BY149" s="53">
        <f t="shared" si="377"/>
        <v>-34350.184929088515</v>
      </c>
      <c r="BZ149" s="240">
        <f t="shared" si="470"/>
        <v>10.0976</v>
      </c>
      <c r="CC149" s="1">
        <f t="shared" si="378"/>
        <v>0</v>
      </c>
      <c r="CD149" s="195">
        <f t="shared" si="379"/>
        <v>8619.599999999999</v>
      </c>
      <c r="CE149" s="195">
        <f t="shared" si="380"/>
        <v>8619.599999999999</v>
      </c>
      <c r="CF149" s="239">
        <f t="shared" si="381"/>
        <v>4.35</v>
      </c>
      <c r="CG149" s="239">
        <f t="shared" si="381"/>
        <v>29.880000000000003</v>
      </c>
      <c r="CH149" s="1">
        <f t="shared" si="471"/>
        <v>14342.400000000001</v>
      </c>
      <c r="CI149" s="1"/>
      <c r="CJ149" s="1"/>
      <c r="CK149" s="211">
        <f t="shared" si="382"/>
        <v>0</v>
      </c>
      <c r="CL149" s="211">
        <f t="shared" si="383"/>
        <v>0</v>
      </c>
      <c r="CM149" s="211">
        <f t="shared" si="384"/>
        <v>0</v>
      </c>
      <c r="CN149" s="1"/>
      <c r="CO149" s="1"/>
      <c r="CP149" s="1"/>
      <c r="CQ149" s="1">
        <f t="shared" si="472"/>
        <v>1</v>
      </c>
      <c r="CR149" s="195">
        <f t="shared" si="385"/>
        <v>10000</v>
      </c>
      <c r="CS149" s="195"/>
      <c r="CT149" s="195"/>
      <c r="CU149" s="1"/>
      <c r="CV149" s="199">
        <f t="shared" si="386"/>
        <v>117.85804692199717</v>
      </c>
      <c r="CW149" s="199">
        <f t="shared" si="387"/>
        <v>31.831882895528373</v>
      </c>
      <c r="CX149" s="199">
        <f t="shared" si="388"/>
        <v>125.99286143974332</v>
      </c>
      <c r="CY149" s="199">
        <f t="shared" si="389"/>
        <v>0</v>
      </c>
      <c r="CZ149" s="199">
        <f t="shared" si="390"/>
        <v>0</v>
      </c>
      <c r="DA149" s="199">
        <f t="shared" si="391"/>
        <v>0</v>
      </c>
      <c r="DB149" s="199">
        <f t="shared" si="392"/>
        <v>0</v>
      </c>
      <c r="DC149" s="199">
        <f t="shared" si="393"/>
        <v>0</v>
      </c>
      <c r="DD149" s="199">
        <f t="shared" si="394"/>
        <v>0</v>
      </c>
      <c r="DE149" s="199">
        <f t="shared" si="395"/>
        <v>18.521884900741927</v>
      </c>
      <c r="DF149" s="199">
        <f t="shared" si="396"/>
        <v>0</v>
      </c>
      <c r="DG149" s="199">
        <f t="shared" si="397"/>
        <v>0</v>
      </c>
      <c r="DH149" s="199">
        <f t="shared" si="398"/>
        <v>83.55869260076199</v>
      </c>
      <c r="DI149" s="199">
        <f t="shared" si="399"/>
        <v>0</v>
      </c>
      <c r="DJ149" s="199">
        <f t="shared" si="400"/>
        <v>9.564579907760175</v>
      </c>
      <c r="DK149" s="199">
        <f t="shared" si="401"/>
        <v>0</v>
      </c>
      <c r="DL149" s="199">
        <f t="shared" si="402"/>
        <v>1.5713238419891717</v>
      </c>
      <c r="DM149" s="199">
        <f t="shared" si="403"/>
        <v>1.858261239221977</v>
      </c>
      <c r="DN149" s="199">
        <f t="shared" si="404"/>
        <v>0</v>
      </c>
      <c r="DO149" s="199">
        <f t="shared" si="405"/>
        <v>0</v>
      </c>
      <c r="DP149" s="199">
        <f t="shared" si="406"/>
        <v>0</v>
      </c>
      <c r="DQ149" s="199">
        <f t="shared" si="407"/>
        <v>0</v>
      </c>
      <c r="DR149" s="199">
        <f t="shared" si="408"/>
        <v>0</v>
      </c>
      <c r="DS149" s="199">
        <f t="shared" si="409"/>
        <v>0</v>
      </c>
      <c r="DT149" s="199">
        <f t="shared" si="410"/>
        <v>0</v>
      </c>
      <c r="DU149" s="199">
        <f t="shared" si="411"/>
        <v>0.0017517545618608381</v>
      </c>
      <c r="DV149" s="199">
        <f t="shared" si="412"/>
        <v>0</v>
      </c>
      <c r="DW149" s="199">
        <f t="shared" si="413"/>
        <v>0</v>
      </c>
      <c r="DX149" s="199">
        <f t="shared" si="414"/>
        <v>0.4919594144776418</v>
      </c>
      <c r="DY149" s="199">
        <f t="shared" si="415"/>
        <v>5.2959711249248045</v>
      </c>
      <c r="DZ149" s="199">
        <f t="shared" si="416"/>
        <v>0.015665023460998594</v>
      </c>
      <c r="EA149" s="199">
        <f t="shared" si="417"/>
        <v>111.18936755564467</v>
      </c>
      <c r="EB149" s="199">
        <f t="shared" si="418"/>
        <v>13.063850303202116</v>
      </c>
      <c r="EC149" s="202">
        <f t="shared" si="368"/>
        <v>520.8160989240162</v>
      </c>
      <c r="ED149" s="202">
        <f>SUM(CV149:DI149,DS149:DT149,DW149,DY149,EA149:EB149)</f>
        <v>507.31255774254436</v>
      </c>
      <c r="EE149" s="203">
        <f t="shared" si="419"/>
        <v>83.97690865126019</v>
      </c>
      <c r="EF149" s="199"/>
      <c r="EI149" s="1">
        <f t="shared" si="420"/>
        <v>0.5699766927982697</v>
      </c>
      <c r="EJ149" s="1">
        <f t="shared" si="421"/>
        <v>0.010606863429336002</v>
      </c>
      <c r="EK149" s="1">
        <f t="shared" si="422"/>
        <v>0.24682268761392</v>
      </c>
      <c r="EL149" s="1">
        <f t="shared" si="423"/>
        <v>0</v>
      </c>
      <c r="EM149" s="1">
        <f t="shared" si="424"/>
        <v>0</v>
      </c>
      <c r="EN149" s="1">
        <f t="shared" si="425"/>
        <v>0</v>
      </c>
      <c r="EO149" s="1">
        <f t="shared" si="426"/>
        <v>0</v>
      </c>
      <c r="EP149" s="1">
        <f t="shared" si="427"/>
        <v>0</v>
      </c>
      <c r="EQ149" s="1">
        <f t="shared" si="428"/>
        <v>0.21621849683808003</v>
      </c>
      <c r="ER149" s="1">
        <f t="shared" si="429"/>
        <v>0</v>
      </c>
      <c r="ES149" s="1">
        <f t="shared" si="430"/>
        <v>0</v>
      </c>
      <c r="ET149" s="1">
        <f t="shared" si="431"/>
        <v>0</v>
      </c>
      <c r="EU149" s="1">
        <f t="shared" si="432"/>
        <v>0.14589546715944002</v>
      </c>
      <c r="EV149" s="1">
        <f t="shared" si="433"/>
        <v>0</v>
      </c>
      <c r="EW149" s="1">
        <f t="shared" si="434"/>
        <v>0.10099701098903999</v>
      </c>
      <c r="EX149" s="1">
        <f t="shared" si="435"/>
        <v>0</v>
      </c>
      <c r="EY149" s="1">
        <f t="shared" si="436"/>
        <v>0.059350736407200004</v>
      </c>
      <c r="EZ149" s="1">
        <f t="shared" si="437"/>
        <v>0.059350736407200004</v>
      </c>
      <c r="FA149" s="1">
        <f t="shared" si="438"/>
        <v>0</v>
      </c>
      <c r="FB149" s="1">
        <f t="shared" si="439"/>
        <v>0</v>
      </c>
      <c r="FC149" s="1">
        <f t="shared" si="440"/>
        <v>0</v>
      </c>
      <c r="FD149" s="1">
        <f t="shared" si="441"/>
        <v>0</v>
      </c>
      <c r="FE149" s="1">
        <f t="shared" si="442"/>
        <v>0</v>
      </c>
      <c r="FF149" s="1">
        <f t="shared" si="443"/>
        <v>0</v>
      </c>
      <c r="FG149" s="1">
        <f t="shared" si="444"/>
        <v>0</v>
      </c>
      <c r="FH149" s="1">
        <f t="shared" si="445"/>
        <v>0</v>
      </c>
      <c r="FI149" s="1">
        <f t="shared" si="446"/>
        <v>0</v>
      </c>
      <c r="FJ149" s="1">
        <f t="shared" si="447"/>
        <v>0</v>
      </c>
      <c r="FK149" s="1">
        <f t="shared" si="448"/>
        <v>0</v>
      </c>
      <c r="FL149" s="1">
        <f t="shared" si="449"/>
        <v>4.263919336981805</v>
      </c>
      <c r="FM149" s="1">
        <f t="shared" si="450"/>
        <v>0.0057571153094400015</v>
      </c>
      <c r="FN149" s="1">
        <f t="shared" si="451"/>
        <v>7.46760736344</v>
      </c>
      <c r="FO149" s="1">
        <f>IF(O149=0,0,SUM(EI149:FN149))</f>
        <v>13.14650250737373</v>
      </c>
    </row>
    <row r="150" spans="1:171" s="45" customFormat="1" ht="12.75">
      <c r="A150" s="33">
        <v>142</v>
      </c>
      <c r="B150" s="34" t="s">
        <v>353</v>
      </c>
      <c r="C150" s="34" t="s">
        <v>354</v>
      </c>
      <c r="D150" s="35" t="s">
        <v>352</v>
      </c>
      <c r="E150" s="35">
        <v>5</v>
      </c>
      <c r="F150" s="26" t="s">
        <v>299</v>
      </c>
      <c r="G150" s="35" t="s">
        <v>74</v>
      </c>
      <c r="H150" s="35" t="s">
        <v>75</v>
      </c>
      <c r="I150" s="35">
        <v>3</v>
      </c>
      <c r="J150" s="35"/>
      <c r="K150" s="26">
        <f t="shared" si="452"/>
        <v>1</v>
      </c>
      <c r="L150" s="26">
        <f t="shared" si="453"/>
        <v>1</v>
      </c>
      <c r="M150" s="33">
        <v>482820</v>
      </c>
      <c r="N150" s="33">
        <v>1223320</v>
      </c>
      <c r="O150" s="27">
        <f t="shared" si="454"/>
        <v>145000</v>
      </c>
      <c r="P150" s="30">
        <v>145000</v>
      </c>
      <c r="Q150" s="30">
        <v>147500</v>
      </c>
      <c r="R150" s="30">
        <v>65500</v>
      </c>
      <c r="S150" s="31">
        <v>25700</v>
      </c>
      <c r="T150" s="31">
        <v>0</v>
      </c>
      <c r="U150" s="31">
        <v>0</v>
      </c>
      <c r="V150" s="31">
        <v>0</v>
      </c>
      <c r="W150" s="30">
        <v>57900</v>
      </c>
      <c r="X150" s="31">
        <v>0</v>
      </c>
      <c r="Y150" s="31">
        <v>0</v>
      </c>
      <c r="Z150" s="30">
        <v>0</v>
      </c>
      <c r="AA150" s="31">
        <v>0</v>
      </c>
      <c r="AB150" s="30">
        <v>0</v>
      </c>
      <c r="AC150" s="30">
        <v>32700</v>
      </c>
      <c r="AD150" s="30">
        <v>0</v>
      </c>
      <c r="AE150" s="30">
        <v>32700</v>
      </c>
      <c r="AF150" s="30">
        <v>37400</v>
      </c>
      <c r="AG150" s="30">
        <v>16000</v>
      </c>
      <c r="AH150" s="30">
        <v>44200</v>
      </c>
      <c r="AI150" s="30">
        <v>0</v>
      </c>
      <c r="AJ150" s="30">
        <v>0</v>
      </c>
      <c r="AK150" s="30">
        <v>0</v>
      </c>
      <c r="AL150" s="30">
        <v>0</v>
      </c>
      <c r="AM150" s="30">
        <v>11900</v>
      </c>
      <c r="AN150" s="31">
        <v>0</v>
      </c>
      <c r="AO150" s="30">
        <v>0</v>
      </c>
      <c r="AP150" s="31">
        <v>0</v>
      </c>
      <c r="AQ150" s="31">
        <v>0</v>
      </c>
      <c r="AR150" s="31">
        <v>0</v>
      </c>
      <c r="AS150" s="31">
        <v>8400</v>
      </c>
      <c r="AT150" s="31">
        <v>0</v>
      </c>
      <c r="AU150" s="30">
        <v>350</v>
      </c>
      <c r="AW150" s="1"/>
      <c r="AX150" s="2">
        <f t="shared" si="455"/>
        <v>122408</v>
      </c>
      <c r="AY150" s="32">
        <f t="shared" si="369"/>
        <v>120333.28813559322</v>
      </c>
      <c r="AZ150" s="186">
        <f t="shared" si="370"/>
        <v>0.4729261498050349</v>
      </c>
      <c r="BA150" s="186">
        <f t="shared" si="371"/>
        <v>0.08236513549671251</v>
      </c>
      <c r="BB150" s="186">
        <f t="shared" si="372"/>
        <v>0.2846822842738975</v>
      </c>
      <c r="BC150" s="53">
        <f t="shared" si="456"/>
        <v>145000</v>
      </c>
      <c r="BD150" s="53">
        <f t="shared" si="373"/>
        <v>67750.65396414355</v>
      </c>
      <c r="BE150" s="53">
        <f t="shared" si="374"/>
        <v>11799.499342652247</v>
      </c>
      <c r="BF150" s="53">
        <f t="shared" si="375"/>
        <v>40783.1348287974</v>
      </c>
      <c r="BG150" s="53"/>
      <c r="BH150" s="53">
        <f t="shared" si="457"/>
        <v>6</v>
      </c>
      <c r="BI150" s="53">
        <f t="shared" si="458"/>
        <v>6</v>
      </c>
      <c r="BJ150" s="53">
        <f t="shared" si="459"/>
        <v>4</v>
      </c>
      <c r="BK150" s="53">
        <f t="shared" si="460"/>
        <v>4</v>
      </c>
      <c r="BL150" s="53"/>
      <c r="BM150" s="53">
        <f t="shared" si="461"/>
        <v>3</v>
      </c>
      <c r="BN150" s="53">
        <f t="shared" si="462"/>
        <v>3</v>
      </c>
      <c r="BO150" s="53">
        <f t="shared" si="463"/>
        <v>2</v>
      </c>
      <c r="BP150" s="53">
        <f t="shared" si="464"/>
        <v>0</v>
      </c>
      <c r="BQ150" s="53"/>
      <c r="BR150" s="53">
        <f t="shared" si="465"/>
        <v>9.75</v>
      </c>
      <c r="BS150" s="53">
        <f t="shared" si="466"/>
        <v>51.300000000000004</v>
      </c>
      <c r="BT150" s="53">
        <f t="shared" si="467"/>
        <v>11</v>
      </c>
      <c r="BU150" s="53">
        <f t="shared" si="376"/>
        <v>34584.00000000001</v>
      </c>
      <c r="BV150" s="53"/>
      <c r="BW150" s="53">
        <f t="shared" si="468"/>
        <v>20800</v>
      </c>
      <c r="BX150" s="53">
        <f t="shared" si="469"/>
        <v>-29544.000000000007</v>
      </c>
      <c r="BY150" s="53">
        <f t="shared" si="377"/>
        <v>-26582.54794327082</v>
      </c>
      <c r="BZ150" s="240">
        <f t="shared" si="470"/>
        <v>7.944450000000001</v>
      </c>
      <c r="CC150" s="1">
        <f t="shared" si="378"/>
        <v>0</v>
      </c>
      <c r="CD150" s="195">
        <f t="shared" si="379"/>
        <v>5746.4</v>
      </c>
      <c r="CE150" s="195">
        <f t="shared" si="380"/>
        <v>5746.4</v>
      </c>
      <c r="CF150" s="239">
        <f t="shared" si="381"/>
        <v>2.9</v>
      </c>
      <c r="CG150" s="239">
        <f t="shared" si="381"/>
        <v>19.92</v>
      </c>
      <c r="CH150" s="1">
        <f t="shared" si="471"/>
        <v>9561.6</v>
      </c>
      <c r="CI150" s="1"/>
      <c r="CJ150" s="1"/>
      <c r="CK150" s="211">
        <f t="shared" si="382"/>
        <v>0</v>
      </c>
      <c r="CL150" s="211">
        <f t="shared" si="383"/>
        <v>0</v>
      </c>
      <c r="CM150" s="211">
        <f t="shared" si="384"/>
        <v>0</v>
      </c>
      <c r="CN150" s="1"/>
      <c r="CO150" s="1"/>
      <c r="CP150" s="1"/>
      <c r="CQ150" s="1">
        <f t="shared" si="472"/>
        <v>1</v>
      </c>
      <c r="CR150" s="195">
        <f t="shared" si="385"/>
        <v>10000</v>
      </c>
      <c r="CS150" s="195"/>
      <c r="CT150" s="195"/>
      <c r="CU150" s="1"/>
      <c r="CV150" s="199">
        <f t="shared" si="386"/>
        <v>74.93130138359734</v>
      </c>
      <c r="CW150" s="199">
        <f t="shared" si="387"/>
        <v>19.66970122318027</v>
      </c>
      <c r="CX150" s="199">
        <f t="shared" si="388"/>
        <v>50.59400842189693</v>
      </c>
      <c r="CY150" s="199">
        <f t="shared" si="389"/>
        <v>0</v>
      </c>
      <c r="CZ150" s="199">
        <f t="shared" si="390"/>
        <v>0</v>
      </c>
      <c r="DA150" s="199">
        <f t="shared" si="391"/>
        <v>0</v>
      </c>
      <c r="DB150" s="199">
        <f t="shared" si="392"/>
        <v>15.069093242430318</v>
      </c>
      <c r="DC150" s="199">
        <f t="shared" si="393"/>
        <v>0</v>
      </c>
      <c r="DD150" s="199">
        <f t="shared" si="394"/>
        <v>0</v>
      </c>
      <c r="DE150" s="199">
        <f t="shared" si="395"/>
        <v>0</v>
      </c>
      <c r="DF150" s="199">
        <f t="shared" si="396"/>
        <v>0</v>
      </c>
      <c r="DG150" s="199">
        <f t="shared" si="397"/>
        <v>0</v>
      </c>
      <c r="DH150" s="199">
        <f t="shared" si="398"/>
        <v>43.37094044515741</v>
      </c>
      <c r="DI150" s="199">
        <f t="shared" si="399"/>
        <v>0</v>
      </c>
      <c r="DJ150" s="199">
        <f t="shared" si="400"/>
        <v>4.4680251854822535</v>
      </c>
      <c r="DK150" s="199">
        <f t="shared" si="401"/>
        <v>5.110218407860437</v>
      </c>
      <c r="DL150" s="199">
        <f t="shared" si="402"/>
        <v>2.1861896932023255</v>
      </c>
      <c r="DM150" s="199">
        <f t="shared" si="403"/>
        <v>6.039349027471425</v>
      </c>
      <c r="DN150" s="199">
        <f t="shared" si="404"/>
        <v>0</v>
      </c>
      <c r="DO150" s="199">
        <f t="shared" si="405"/>
        <v>0</v>
      </c>
      <c r="DP150" s="199">
        <f t="shared" si="406"/>
        <v>0</v>
      </c>
      <c r="DQ150" s="199">
        <f t="shared" si="407"/>
        <v>0</v>
      </c>
      <c r="DR150" s="199">
        <f t="shared" si="408"/>
        <v>1.7867896530980547</v>
      </c>
      <c r="DS150" s="199">
        <f t="shared" si="409"/>
        <v>0</v>
      </c>
      <c r="DT150" s="199">
        <f t="shared" si="410"/>
        <v>0</v>
      </c>
      <c r="DU150" s="199">
        <f t="shared" si="411"/>
        <v>0</v>
      </c>
      <c r="DV150" s="199">
        <f t="shared" si="412"/>
        <v>0</v>
      </c>
      <c r="DW150" s="199">
        <f t="shared" si="413"/>
        <v>0</v>
      </c>
      <c r="DX150" s="199">
        <f t="shared" si="414"/>
        <v>0.5437446160016042</v>
      </c>
      <c r="DY150" s="199">
        <f t="shared" si="415"/>
        <v>0</v>
      </c>
      <c r="DZ150" s="199">
        <f t="shared" si="416"/>
        <v>0.022656025666733505</v>
      </c>
      <c r="EA150" s="199">
        <f t="shared" si="417"/>
        <v>69.86328236139386</v>
      </c>
      <c r="EB150" s="199">
        <f t="shared" si="418"/>
        <v>8.322111810109675</v>
      </c>
      <c r="EC150" s="202">
        <f t="shared" si="368"/>
        <v>301.9774114965486</v>
      </c>
      <c r="ED150" s="202">
        <f>SUM(CV150:DI150,DS150:DT150,DW150,DY150,EA150:EB150)</f>
        <v>281.82043888776576</v>
      </c>
      <c r="EE150" s="203">
        <f t="shared" si="419"/>
        <v>46.65054884083197</v>
      </c>
      <c r="EF150" s="199"/>
      <c r="EI150" s="1">
        <f t="shared" si="420"/>
        <v>0.5699766927982697</v>
      </c>
      <c r="EJ150" s="1">
        <f t="shared" si="421"/>
        <v>0.010606863429336002</v>
      </c>
      <c r="EK150" s="1">
        <f t="shared" si="422"/>
        <v>0.24682268761392</v>
      </c>
      <c r="EL150" s="1">
        <f t="shared" si="423"/>
        <v>0</v>
      </c>
      <c r="EM150" s="1">
        <f t="shared" si="424"/>
        <v>0</v>
      </c>
      <c r="EN150" s="1">
        <f t="shared" si="425"/>
        <v>0</v>
      </c>
      <c r="EO150" s="1">
        <f t="shared" si="426"/>
        <v>0.2644897670328</v>
      </c>
      <c r="EP150" s="1">
        <f t="shared" si="427"/>
        <v>0</v>
      </c>
      <c r="EQ150" s="1">
        <f t="shared" si="428"/>
        <v>0</v>
      </c>
      <c r="ER150" s="1">
        <f t="shared" si="429"/>
        <v>0</v>
      </c>
      <c r="ES150" s="1">
        <f t="shared" si="430"/>
        <v>0</v>
      </c>
      <c r="ET150" s="1">
        <f t="shared" si="431"/>
        <v>0</v>
      </c>
      <c r="EU150" s="1">
        <f t="shared" si="432"/>
        <v>0.14589546715944002</v>
      </c>
      <c r="EV150" s="1">
        <f t="shared" si="433"/>
        <v>0</v>
      </c>
      <c r="EW150" s="1">
        <f t="shared" si="434"/>
        <v>0.059350736407200004</v>
      </c>
      <c r="EX150" s="1">
        <f t="shared" si="435"/>
        <v>0.10099701098903999</v>
      </c>
      <c r="EY150" s="1">
        <f t="shared" si="436"/>
        <v>0.059350736407200004</v>
      </c>
      <c r="EZ150" s="1">
        <f t="shared" si="437"/>
        <v>0.10099701098903999</v>
      </c>
      <c r="FA150" s="1">
        <f t="shared" si="438"/>
        <v>0</v>
      </c>
      <c r="FB150" s="1">
        <f t="shared" si="439"/>
        <v>0</v>
      </c>
      <c r="FC150" s="1">
        <f t="shared" si="440"/>
        <v>0</v>
      </c>
      <c r="FD150" s="1">
        <f t="shared" si="441"/>
        <v>0</v>
      </c>
      <c r="FE150" s="1">
        <f t="shared" si="442"/>
        <v>0.059350736407200004</v>
      </c>
      <c r="FF150" s="1">
        <f t="shared" si="443"/>
        <v>0</v>
      </c>
      <c r="FG150" s="1">
        <f t="shared" si="444"/>
        <v>0</v>
      </c>
      <c r="FH150" s="1">
        <f t="shared" si="445"/>
        <v>0</v>
      </c>
      <c r="FI150" s="1">
        <f t="shared" si="446"/>
        <v>0</v>
      </c>
      <c r="FJ150" s="1">
        <f t="shared" si="447"/>
        <v>0</v>
      </c>
      <c r="FK150" s="1">
        <f t="shared" si="448"/>
        <v>0</v>
      </c>
      <c r="FL150" s="1">
        <f t="shared" si="449"/>
        <v>0</v>
      </c>
      <c r="FM150" s="1">
        <f t="shared" si="450"/>
        <v>0.0057571153094400015</v>
      </c>
      <c r="FN150" s="1">
        <f t="shared" si="451"/>
        <v>7.46760736344</v>
      </c>
      <c r="FO150" s="1">
        <f>IF(O150=0,0,SUM(EI150:FN150))</f>
        <v>9.091202187982885</v>
      </c>
    </row>
    <row r="151" spans="1:171" s="45" customFormat="1" ht="12.75">
      <c r="A151" s="33">
        <v>144</v>
      </c>
      <c r="B151" s="34" t="s">
        <v>355</v>
      </c>
      <c r="C151" s="34" t="s">
        <v>354</v>
      </c>
      <c r="D151" s="35" t="s">
        <v>352</v>
      </c>
      <c r="E151" s="35">
        <v>5</v>
      </c>
      <c r="F151" s="26" t="s">
        <v>299</v>
      </c>
      <c r="G151" s="35" t="s">
        <v>74</v>
      </c>
      <c r="H151" s="35" t="s">
        <v>75</v>
      </c>
      <c r="I151" s="35">
        <v>3</v>
      </c>
      <c r="J151" s="35"/>
      <c r="K151" s="26">
        <f t="shared" si="452"/>
        <v>1</v>
      </c>
      <c r="L151" s="26">
        <f t="shared" si="453"/>
        <v>1</v>
      </c>
      <c r="M151" s="33">
        <v>483000</v>
      </c>
      <c r="N151" s="33">
        <v>1223340</v>
      </c>
      <c r="O151" s="27">
        <f t="shared" si="454"/>
        <v>120000</v>
      </c>
      <c r="P151" s="30">
        <v>120000</v>
      </c>
      <c r="Q151" s="30">
        <v>121000</v>
      </c>
      <c r="R151" s="30">
        <v>47000</v>
      </c>
      <c r="S151" s="31">
        <v>0</v>
      </c>
      <c r="T151" s="31">
        <v>0</v>
      </c>
      <c r="U151" s="31">
        <v>0</v>
      </c>
      <c r="V151" s="31">
        <v>0</v>
      </c>
      <c r="W151" s="30">
        <v>45000</v>
      </c>
      <c r="X151" s="31">
        <v>3000</v>
      </c>
      <c r="Y151" s="31">
        <v>0</v>
      </c>
      <c r="Z151" s="30">
        <v>0</v>
      </c>
      <c r="AA151" s="31">
        <v>0</v>
      </c>
      <c r="AB151" s="30">
        <v>26000</v>
      </c>
      <c r="AC151" s="30">
        <v>0</v>
      </c>
      <c r="AD151" s="30">
        <v>30000</v>
      </c>
      <c r="AE151" s="30">
        <v>34000</v>
      </c>
      <c r="AF151" s="30">
        <v>0</v>
      </c>
      <c r="AG151" s="30">
        <v>0</v>
      </c>
      <c r="AH151" s="30">
        <v>0</v>
      </c>
      <c r="AI151" s="30">
        <v>29300</v>
      </c>
      <c r="AJ151" s="30">
        <v>0</v>
      </c>
      <c r="AK151" s="30">
        <v>7600</v>
      </c>
      <c r="AL151" s="30">
        <v>0</v>
      </c>
      <c r="AM151" s="30">
        <v>12400</v>
      </c>
      <c r="AN151" s="31">
        <v>0</v>
      </c>
      <c r="AO151" s="30">
        <v>5500</v>
      </c>
      <c r="AP151" s="31">
        <v>3600</v>
      </c>
      <c r="AQ151" s="31">
        <v>0</v>
      </c>
      <c r="AR151" s="31">
        <v>0</v>
      </c>
      <c r="AS151" s="31">
        <v>0</v>
      </c>
      <c r="AT151" s="31">
        <v>0</v>
      </c>
      <c r="AU151" s="30">
        <v>0</v>
      </c>
      <c r="AW151" s="1"/>
      <c r="AX151" s="2">
        <f t="shared" si="455"/>
        <v>101640</v>
      </c>
      <c r="AY151" s="32">
        <f t="shared" si="369"/>
        <v>100800</v>
      </c>
      <c r="AZ151" s="186">
        <f t="shared" si="370"/>
        <v>0.4729261498050349</v>
      </c>
      <c r="BA151" s="186">
        <f t="shared" si="371"/>
        <v>0.08236513549671251</v>
      </c>
      <c r="BB151" s="186">
        <f t="shared" si="372"/>
        <v>0.2846822842738975</v>
      </c>
      <c r="BC151" s="53">
        <f t="shared" si="456"/>
        <v>120000</v>
      </c>
      <c r="BD151" s="53">
        <f t="shared" si="373"/>
        <v>56752.923695481164</v>
      </c>
      <c r="BE151" s="53">
        <f t="shared" si="374"/>
        <v>9884.127261603006</v>
      </c>
      <c r="BF151" s="53">
        <f t="shared" si="375"/>
        <v>34162.949042915825</v>
      </c>
      <c r="BG151" s="53"/>
      <c r="BH151" s="53">
        <f t="shared" si="457"/>
        <v>5</v>
      </c>
      <c r="BI151" s="53">
        <f t="shared" si="458"/>
        <v>5</v>
      </c>
      <c r="BJ151" s="53">
        <f t="shared" si="459"/>
        <v>3</v>
      </c>
      <c r="BK151" s="53">
        <f t="shared" si="460"/>
        <v>4</v>
      </c>
      <c r="BL151" s="53"/>
      <c r="BM151" s="53">
        <f t="shared" si="461"/>
        <v>2</v>
      </c>
      <c r="BN151" s="53">
        <f t="shared" si="462"/>
        <v>2</v>
      </c>
      <c r="BO151" s="53">
        <f t="shared" si="463"/>
        <v>2</v>
      </c>
      <c r="BP151" s="53">
        <f t="shared" si="464"/>
        <v>0</v>
      </c>
      <c r="BQ151" s="53"/>
      <c r="BR151" s="53">
        <f t="shared" si="465"/>
        <v>6.5</v>
      </c>
      <c r="BS151" s="53">
        <f t="shared" si="466"/>
        <v>34.2</v>
      </c>
      <c r="BT151" s="53">
        <f t="shared" si="467"/>
        <v>11</v>
      </c>
      <c r="BU151" s="53">
        <f t="shared" si="376"/>
        <v>24816</v>
      </c>
      <c r="BV151" s="53"/>
      <c r="BW151" s="53">
        <f t="shared" si="468"/>
        <v>15600</v>
      </c>
      <c r="BX151" s="53">
        <f t="shared" si="469"/>
        <v>-21036</v>
      </c>
      <c r="BY151" s="53">
        <f t="shared" si="377"/>
        <v>-18814.91095745311</v>
      </c>
      <c r="BZ151" s="240">
        <f t="shared" si="470"/>
        <v>5.791300000000001</v>
      </c>
      <c r="CC151" s="1">
        <f t="shared" si="378"/>
        <v>0</v>
      </c>
      <c r="CD151" s="195">
        <f t="shared" si="379"/>
        <v>5746.4</v>
      </c>
      <c r="CE151" s="195">
        <f t="shared" si="380"/>
        <v>5746.4</v>
      </c>
      <c r="CF151" s="239">
        <f t="shared" si="381"/>
        <v>2.9</v>
      </c>
      <c r="CG151" s="239">
        <f t="shared" si="381"/>
        <v>19.92</v>
      </c>
      <c r="CH151" s="1">
        <f t="shared" si="471"/>
        <v>9561.6</v>
      </c>
      <c r="CI151" s="1"/>
      <c r="CJ151" s="1"/>
      <c r="CK151" s="211">
        <f t="shared" si="382"/>
        <v>0</v>
      </c>
      <c r="CL151" s="211">
        <f t="shared" si="383"/>
        <v>0</v>
      </c>
      <c r="CM151" s="211">
        <f t="shared" si="384"/>
        <v>0</v>
      </c>
      <c r="CN151" s="1"/>
      <c r="CO151" s="1"/>
      <c r="CP151" s="1"/>
      <c r="CQ151" s="1">
        <f t="shared" si="472"/>
        <v>1</v>
      </c>
      <c r="CR151" s="195">
        <f t="shared" si="385"/>
        <v>10000</v>
      </c>
      <c r="CS151" s="195"/>
      <c r="CT151" s="195"/>
      <c r="CU151" s="1"/>
      <c r="CV151" s="199">
        <f t="shared" si="386"/>
        <v>61.469067575696805</v>
      </c>
      <c r="CW151" s="199">
        <f t="shared" si="387"/>
        <v>14.114136755564466</v>
      </c>
      <c r="CX151" s="199">
        <f t="shared" si="388"/>
        <v>0</v>
      </c>
      <c r="CY151" s="199">
        <f t="shared" si="389"/>
        <v>0</v>
      </c>
      <c r="CZ151" s="199">
        <f t="shared" si="390"/>
        <v>0</v>
      </c>
      <c r="DA151" s="199">
        <f t="shared" si="391"/>
        <v>0</v>
      </c>
      <c r="DB151" s="199">
        <f t="shared" si="392"/>
        <v>11.711730499298174</v>
      </c>
      <c r="DC151" s="199">
        <f t="shared" si="393"/>
        <v>0.7807820332865449</v>
      </c>
      <c r="DD151" s="199">
        <f t="shared" si="394"/>
        <v>0</v>
      </c>
      <c r="DE151" s="199">
        <f t="shared" si="395"/>
        <v>0</v>
      </c>
      <c r="DF151" s="199">
        <f t="shared" si="396"/>
        <v>0</v>
      </c>
      <c r="DG151" s="199">
        <f t="shared" si="397"/>
        <v>34.484539803489064</v>
      </c>
      <c r="DH151" s="199">
        <f t="shared" si="398"/>
        <v>0</v>
      </c>
      <c r="DI151" s="199">
        <f t="shared" si="399"/>
        <v>86.08622418287547</v>
      </c>
      <c r="DJ151" s="199">
        <f t="shared" si="400"/>
        <v>4.645653098054943</v>
      </c>
      <c r="DK151" s="199">
        <f t="shared" si="401"/>
        <v>0</v>
      </c>
      <c r="DL151" s="199">
        <f t="shared" si="402"/>
        <v>0</v>
      </c>
      <c r="DM151" s="199">
        <f t="shared" si="403"/>
        <v>0</v>
      </c>
      <c r="DN151" s="199">
        <f t="shared" si="404"/>
        <v>4.003459875676759</v>
      </c>
      <c r="DO151" s="199">
        <f t="shared" si="405"/>
        <v>0</v>
      </c>
      <c r="DP151" s="199">
        <f t="shared" si="406"/>
        <v>1.038440104271105</v>
      </c>
      <c r="DQ151" s="199">
        <f t="shared" si="407"/>
        <v>0</v>
      </c>
      <c r="DR151" s="199">
        <f t="shared" si="408"/>
        <v>1.8618648486063765</v>
      </c>
      <c r="DS151" s="199">
        <f t="shared" si="409"/>
        <v>0</v>
      </c>
      <c r="DT151" s="199">
        <f t="shared" si="410"/>
        <v>15.78247443352717</v>
      </c>
      <c r="DU151" s="199">
        <f t="shared" si="411"/>
        <v>0.0010510527371165028</v>
      </c>
      <c r="DV151" s="199">
        <f t="shared" si="412"/>
        <v>0</v>
      </c>
      <c r="DW151" s="199">
        <f t="shared" si="413"/>
        <v>0</v>
      </c>
      <c r="DX151" s="199">
        <f t="shared" si="414"/>
        <v>0</v>
      </c>
      <c r="DY151" s="199">
        <f t="shared" si="415"/>
        <v>0</v>
      </c>
      <c r="DZ151" s="199">
        <f t="shared" si="416"/>
        <v>0</v>
      </c>
      <c r="EA151" s="199">
        <f t="shared" si="417"/>
        <v>58.522616402646875</v>
      </c>
      <c r="EB151" s="199">
        <f t="shared" si="418"/>
        <v>6.925336434730298</v>
      </c>
      <c r="EC151" s="202">
        <f t="shared" si="368"/>
        <v>301.4273771004612</v>
      </c>
      <c r="ED151" s="202">
        <f>SUM(CV151:DI151,DS151:DT151,DW151,DY151,EA151:EB151)</f>
        <v>289.87690812111487</v>
      </c>
      <c r="EE151" s="203">
        <f t="shared" si="419"/>
        <v>47.98415939419815</v>
      </c>
      <c r="EF151" s="199"/>
      <c r="EI151" s="1">
        <f t="shared" si="420"/>
        <v>0.5699766927982697</v>
      </c>
      <c r="EJ151" s="1">
        <f t="shared" si="421"/>
        <v>0.010606863429336002</v>
      </c>
      <c r="EK151" s="1">
        <f t="shared" si="422"/>
        <v>0</v>
      </c>
      <c r="EL151" s="1">
        <f t="shared" si="423"/>
        <v>0</v>
      </c>
      <c r="EM151" s="1">
        <f t="shared" si="424"/>
        <v>0</v>
      </c>
      <c r="EN151" s="1">
        <f t="shared" si="425"/>
        <v>0</v>
      </c>
      <c r="EO151" s="1">
        <f t="shared" si="426"/>
        <v>0.2644897670328</v>
      </c>
      <c r="EP151" s="1">
        <f t="shared" si="427"/>
        <v>0</v>
      </c>
      <c r="EQ151" s="1">
        <f t="shared" si="428"/>
        <v>0</v>
      </c>
      <c r="ER151" s="1">
        <f t="shared" si="429"/>
        <v>0</v>
      </c>
      <c r="ES151" s="1">
        <f t="shared" si="430"/>
        <v>0</v>
      </c>
      <c r="ET151" s="1">
        <f t="shared" si="431"/>
        <v>0.14589546715944002</v>
      </c>
      <c r="EU151" s="1">
        <f t="shared" si="432"/>
        <v>0</v>
      </c>
      <c r="EV151" s="1">
        <f t="shared" si="433"/>
        <v>0</v>
      </c>
      <c r="EW151" s="1">
        <f t="shared" si="434"/>
        <v>0.059350736407200004</v>
      </c>
      <c r="EX151" s="1">
        <f t="shared" si="435"/>
        <v>0</v>
      </c>
      <c r="EY151" s="1">
        <f t="shared" si="436"/>
        <v>0</v>
      </c>
      <c r="EZ151" s="1">
        <f t="shared" si="437"/>
        <v>0</v>
      </c>
      <c r="FA151" s="1">
        <f t="shared" si="438"/>
        <v>0.059350736407200004</v>
      </c>
      <c r="FB151" s="1">
        <f t="shared" si="439"/>
        <v>0</v>
      </c>
      <c r="FC151" s="1">
        <f t="shared" si="440"/>
        <v>0.059350736407200004</v>
      </c>
      <c r="FD151" s="1">
        <f t="shared" si="441"/>
        <v>0</v>
      </c>
      <c r="FE151" s="1">
        <f t="shared" si="442"/>
        <v>0.059350736407200004</v>
      </c>
      <c r="FF151" s="1">
        <f t="shared" si="443"/>
        <v>0</v>
      </c>
      <c r="FG151" s="1">
        <f t="shared" si="444"/>
        <v>0.059350736407200004</v>
      </c>
      <c r="FH151" s="1">
        <f t="shared" si="445"/>
        <v>0</v>
      </c>
      <c r="FI151" s="1">
        <f t="shared" si="446"/>
        <v>0</v>
      </c>
      <c r="FJ151" s="1">
        <f t="shared" si="447"/>
        <v>0</v>
      </c>
      <c r="FK151" s="1">
        <f t="shared" si="448"/>
        <v>0</v>
      </c>
      <c r="FL151" s="1">
        <f t="shared" si="449"/>
        <v>0</v>
      </c>
      <c r="FM151" s="1">
        <f t="shared" si="450"/>
        <v>0</v>
      </c>
      <c r="FN151" s="1">
        <f t="shared" si="451"/>
        <v>7.46760736344</v>
      </c>
      <c r="FO151" s="1">
        <f>IF(O151=0,0,SUM(EI151:FN151))</f>
        <v>8.755329835895845</v>
      </c>
    </row>
    <row r="152" spans="1:171" s="45" customFormat="1" ht="12.75">
      <c r="A152" s="33">
        <v>145</v>
      </c>
      <c r="B152" s="34" t="s">
        <v>356</v>
      </c>
      <c r="C152" s="34" t="s">
        <v>351</v>
      </c>
      <c r="D152" s="35" t="s">
        <v>352</v>
      </c>
      <c r="E152" s="35">
        <v>5</v>
      </c>
      <c r="F152" s="26" t="s">
        <v>299</v>
      </c>
      <c r="G152" s="35" t="s">
        <v>74</v>
      </c>
      <c r="H152" s="35" t="s">
        <v>75</v>
      </c>
      <c r="I152" s="35">
        <v>3</v>
      </c>
      <c r="J152" s="35"/>
      <c r="K152" s="26">
        <f t="shared" si="452"/>
        <v>1</v>
      </c>
      <c r="L152" s="26">
        <f t="shared" si="453"/>
        <v>1</v>
      </c>
      <c r="M152" s="33">
        <v>484937</v>
      </c>
      <c r="N152" s="33">
        <v>1224133</v>
      </c>
      <c r="O152" s="27">
        <f t="shared" si="454"/>
        <v>96000</v>
      </c>
      <c r="P152" s="30">
        <v>96000</v>
      </c>
      <c r="Q152" s="30">
        <v>102800</v>
      </c>
      <c r="R152" s="30">
        <v>48800</v>
      </c>
      <c r="S152" s="31">
        <v>0</v>
      </c>
      <c r="T152" s="31">
        <v>0</v>
      </c>
      <c r="U152" s="31">
        <v>0</v>
      </c>
      <c r="V152" s="31">
        <v>0</v>
      </c>
      <c r="W152" s="30">
        <v>33500</v>
      </c>
      <c r="X152" s="31">
        <v>0</v>
      </c>
      <c r="Y152" s="31">
        <v>0</v>
      </c>
      <c r="Z152" s="30">
        <v>0</v>
      </c>
      <c r="AA152" s="31">
        <v>0</v>
      </c>
      <c r="AB152" s="30">
        <v>17400</v>
      </c>
      <c r="AC152" s="30">
        <v>0</v>
      </c>
      <c r="AD152" s="30">
        <v>0</v>
      </c>
      <c r="AE152" s="30">
        <v>18200</v>
      </c>
      <c r="AF152" s="30">
        <v>20000</v>
      </c>
      <c r="AG152" s="30">
        <v>14800</v>
      </c>
      <c r="AH152" s="30">
        <v>29900</v>
      </c>
      <c r="AI152" s="30">
        <v>0</v>
      </c>
      <c r="AJ152" s="30">
        <v>0</v>
      </c>
      <c r="AK152" s="30">
        <v>0</v>
      </c>
      <c r="AL152" s="30">
        <v>0</v>
      </c>
      <c r="AM152" s="30">
        <v>9500</v>
      </c>
      <c r="AN152" s="31">
        <v>0</v>
      </c>
      <c r="AO152" s="30">
        <v>0</v>
      </c>
      <c r="AP152" s="31">
        <v>4400</v>
      </c>
      <c r="AQ152" s="31">
        <v>0</v>
      </c>
      <c r="AR152" s="31">
        <v>0</v>
      </c>
      <c r="AS152" s="31">
        <v>0</v>
      </c>
      <c r="AT152" s="31">
        <v>0</v>
      </c>
      <c r="AU152" s="30">
        <v>55</v>
      </c>
      <c r="AW152" s="1"/>
      <c r="AX152" s="2">
        <f t="shared" si="455"/>
        <v>90464</v>
      </c>
      <c r="AY152" s="32">
        <f t="shared" si="369"/>
        <v>84480</v>
      </c>
      <c r="AZ152" s="186">
        <f t="shared" si="370"/>
        <v>0.4729261498050349</v>
      </c>
      <c r="BA152" s="186">
        <f t="shared" si="371"/>
        <v>0.08236513549671251</v>
      </c>
      <c r="BB152" s="186">
        <f t="shared" si="372"/>
        <v>0.2846822842738975</v>
      </c>
      <c r="BC152" s="53">
        <f t="shared" si="456"/>
        <v>96000</v>
      </c>
      <c r="BD152" s="53">
        <f t="shared" si="373"/>
        <v>47564.35509716517</v>
      </c>
      <c r="BE152" s="53">
        <f t="shared" si="374"/>
        <v>8283.839990676805</v>
      </c>
      <c r="BF152" s="53">
        <f t="shared" si="375"/>
        <v>28631.804912158026</v>
      </c>
      <c r="BG152" s="53"/>
      <c r="BH152" s="53">
        <f t="shared" si="457"/>
        <v>5</v>
      </c>
      <c r="BI152" s="53">
        <f t="shared" si="458"/>
        <v>5</v>
      </c>
      <c r="BJ152" s="53">
        <f t="shared" si="459"/>
        <v>3</v>
      </c>
      <c r="BK152" s="53">
        <f t="shared" si="460"/>
        <v>3</v>
      </c>
      <c r="BL152" s="53"/>
      <c r="BM152" s="53">
        <f t="shared" si="461"/>
        <v>2</v>
      </c>
      <c r="BN152" s="53">
        <f t="shared" si="462"/>
        <v>2</v>
      </c>
      <c r="BO152" s="53">
        <f t="shared" si="463"/>
        <v>2</v>
      </c>
      <c r="BP152" s="53">
        <f t="shared" si="464"/>
        <v>0</v>
      </c>
      <c r="BQ152" s="53"/>
      <c r="BR152" s="53">
        <f t="shared" si="465"/>
        <v>6.5</v>
      </c>
      <c r="BS152" s="53">
        <f t="shared" si="466"/>
        <v>34.2</v>
      </c>
      <c r="BT152" s="53">
        <f t="shared" si="467"/>
        <v>11</v>
      </c>
      <c r="BU152" s="53">
        <f t="shared" si="376"/>
        <v>24816</v>
      </c>
      <c r="BV152" s="53"/>
      <c r="BW152" s="53">
        <f t="shared" si="468"/>
        <v>15600</v>
      </c>
      <c r="BX152" s="53">
        <f t="shared" si="469"/>
        <v>-21036</v>
      </c>
      <c r="BY152" s="53">
        <f t="shared" si="377"/>
        <v>-18814.91095745311</v>
      </c>
      <c r="BZ152" s="240">
        <f t="shared" si="470"/>
        <v>5.791300000000001</v>
      </c>
      <c r="CC152" s="1">
        <f t="shared" si="378"/>
        <v>0</v>
      </c>
      <c r="CD152" s="195">
        <f t="shared" si="379"/>
        <v>5746.4</v>
      </c>
      <c r="CE152" s="195">
        <f t="shared" si="380"/>
        <v>5746.4</v>
      </c>
      <c r="CF152" s="239">
        <f t="shared" si="381"/>
        <v>2.9</v>
      </c>
      <c r="CG152" s="239">
        <f t="shared" si="381"/>
        <v>19.92</v>
      </c>
      <c r="CH152" s="1">
        <f t="shared" si="471"/>
        <v>9561.6</v>
      </c>
      <c r="CI152" s="1"/>
      <c r="CJ152" s="1"/>
      <c r="CK152" s="211">
        <f t="shared" si="382"/>
        <v>0</v>
      </c>
      <c r="CL152" s="211">
        <f t="shared" si="383"/>
        <v>0</v>
      </c>
      <c r="CM152" s="211">
        <f t="shared" si="384"/>
        <v>0</v>
      </c>
      <c r="CN152" s="1"/>
      <c r="CO152" s="1"/>
      <c r="CP152" s="1"/>
      <c r="CQ152" s="1">
        <f t="shared" si="472"/>
        <v>1</v>
      </c>
      <c r="CR152" s="195">
        <f t="shared" si="385"/>
        <v>10000</v>
      </c>
      <c r="CS152" s="195"/>
      <c r="CT152" s="195"/>
      <c r="CU152" s="1"/>
      <c r="CV152" s="199">
        <f t="shared" si="386"/>
        <v>52.223306998195305</v>
      </c>
      <c r="CW152" s="199">
        <f t="shared" si="387"/>
        <v>14.654678163224382</v>
      </c>
      <c r="CX152" s="199">
        <f t="shared" si="388"/>
        <v>0</v>
      </c>
      <c r="CY152" s="199">
        <f t="shared" si="389"/>
        <v>0</v>
      </c>
      <c r="CZ152" s="199">
        <f t="shared" si="390"/>
        <v>0</v>
      </c>
      <c r="DA152" s="199">
        <f t="shared" si="391"/>
        <v>0</v>
      </c>
      <c r="DB152" s="199">
        <f t="shared" si="392"/>
        <v>8.718732705033084</v>
      </c>
      <c r="DC152" s="199">
        <f t="shared" si="393"/>
        <v>0</v>
      </c>
      <c r="DD152" s="199">
        <f t="shared" si="394"/>
        <v>0</v>
      </c>
      <c r="DE152" s="199">
        <f t="shared" si="395"/>
        <v>0</v>
      </c>
      <c r="DF152" s="199">
        <f t="shared" si="396"/>
        <v>0</v>
      </c>
      <c r="DG152" s="199">
        <f t="shared" si="397"/>
        <v>23.07811509925807</v>
      </c>
      <c r="DH152" s="199">
        <f t="shared" si="398"/>
        <v>0</v>
      </c>
      <c r="DI152" s="199">
        <f t="shared" si="399"/>
        <v>0</v>
      </c>
      <c r="DJ152" s="199">
        <f t="shared" si="400"/>
        <v>2.4867907760176458</v>
      </c>
      <c r="DK152" s="199">
        <f t="shared" si="401"/>
        <v>2.732737116502907</v>
      </c>
      <c r="DL152" s="199">
        <f t="shared" si="402"/>
        <v>2.0222254662121513</v>
      </c>
      <c r="DM152" s="199">
        <f t="shared" si="403"/>
        <v>4.085441989171846</v>
      </c>
      <c r="DN152" s="199">
        <f t="shared" si="404"/>
        <v>0</v>
      </c>
      <c r="DO152" s="199">
        <f t="shared" si="405"/>
        <v>0</v>
      </c>
      <c r="DP152" s="199">
        <f t="shared" si="406"/>
        <v>0</v>
      </c>
      <c r="DQ152" s="199">
        <f t="shared" si="407"/>
        <v>0</v>
      </c>
      <c r="DR152" s="199">
        <f t="shared" si="408"/>
        <v>1.426428714658111</v>
      </c>
      <c r="DS152" s="199">
        <f t="shared" si="409"/>
        <v>0</v>
      </c>
      <c r="DT152" s="199">
        <f t="shared" si="410"/>
        <v>0</v>
      </c>
      <c r="DU152" s="199">
        <f t="shared" si="411"/>
        <v>0.0012846200120312813</v>
      </c>
      <c r="DV152" s="199">
        <f t="shared" si="412"/>
        <v>0</v>
      </c>
      <c r="DW152" s="199">
        <f t="shared" si="413"/>
        <v>0</v>
      </c>
      <c r="DX152" s="199">
        <f t="shared" si="414"/>
        <v>0</v>
      </c>
      <c r="DY152" s="199">
        <f t="shared" si="415"/>
        <v>0</v>
      </c>
      <c r="DZ152" s="199">
        <f t="shared" si="416"/>
        <v>0.0035602326047724083</v>
      </c>
      <c r="EA152" s="199">
        <f t="shared" si="417"/>
        <v>49.04752612793262</v>
      </c>
      <c r="EB152" s="199">
        <f t="shared" si="418"/>
        <v>5.660709781431722</v>
      </c>
      <c r="EC152" s="202">
        <f t="shared" si="368"/>
        <v>166.14153779025463</v>
      </c>
      <c r="ED152" s="202">
        <f>SUM(CV152:DI152,DS152:DT152,DW152,DY152,EA152:EB152)</f>
        <v>153.3830688750752</v>
      </c>
      <c r="EE152" s="203">
        <f t="shared" si="419"/>
        <v>25.389941106304963</v>
      </c>
      <c r="EF152" s="199"/>
      <c r="EI152" s="1">
        <f t="shared" si="420"/>
        <v>0.5699766927982697</v>
      </c>
      <c r="EJ152" s="1">
        <f t="shared" si="421"/>
        <v>0.010606863429336002</v>
      </c>
      <c r="EK152" s="1">
        <f t="shared" si="422"/>
        <v>0</v>
      </c>
      <c r="EL152" s="1">
        <f t="shared" si="423"/>
        <v>0</v>
      </c>
      <c r="EM152" s="1">
        <f t="shared" si="424"/>
        <v>0</v>
      </c>
      <c r="EN152" s="1">
        <f t="shared" si="425"/>
        <v>0</v>
      </c>
      <c r="EO152" s="1">
        <f t="shared" si="426"/>
        <v>0.2644897670328</v>
      </c>
      <c r="EP152" s="1">
        <f t="shared" si="427"/>
        <v>0</v>
      </c>
      <c r="EQ152" s="1">
        <f t="shared" si="428"/>
        <v>0</v>
      </c>
      <c r="ER152" s="1">
        <f t="shared" si="429"/>
        <v>0</v>
      </c>
      <c r="ES152" s="1">
        <f t="shared" si="430"/>
        <v>0</v>
      </c>
      <c r="ET152" s="1">
        <f t="shared" si="431"/>
        <v>0.14589546715944002</v>
      </c>
      <c r="EU152" s="1">
        <f t="shared" si="432"/>
        <v>0</v>
      </c>
      <c r="EV152" s="1">
        <f t="shared" si="433"/>
        <v>0</v>
      </c>
      <c r="EW152" s="1">
        <f t="shared" si="434"/>
        <v>0.059350736407200004</v>
      </c>
      <c r="EX152" s="1">
        <f t="shared" si="435"/>
        <v>0.059350736407200004</v>
      </c>
      <c r="EY152" s="1">
        <f t="shared" si="436"/>
        <v>0.059350736407200004</v>
      </c>
      <c r="EZ152" s="1">
        <f t="shared" si="437"/>
        <v>0.059350736407200004</v>
      </c>
      <c r="FA152" s="1">
        <f t="shared" si="438"/>
        <v>0</v>
      </c>
      <c r="FB152" s="1">
        <f t="shared" si="439"/>
        <v>0</v>
      </c>
      <c r="FC152" s="1">
        <f t="shared" si="440"/>
        <v>0</v>
      </c>
      <c r="FD152" s="1">
        <f t="shared" si="441"/>
        <v>0</v>
      </c>
      <c r="FE152" s="1">
        <f t="shared" si="442"/>
        <v>0.059350736407200004</v>
      </c>
      <c r="FF152" s="1">
        <f t="shared" si="443"/>
        <v>0</v>
      </c>
      <c r="FG152" s="1">
        <f t="shared" si="444"/>
        <v>0</v>
      </c>
      <c r="FH152" s="1">
        <f t="shared" si="445"/>
        <v>0</v>
      </c>
      <c r="FI152" s="1">
        <f t="shared" si="446"/>
        <v>0</v>
      </c>
      <c r="FJ152" s="1">
        <f t="shared" si="447"/>
        <v>0</v>
      </c>
      <c r="FK152" s="1">
        <f t="shared" si="448"/>
        <v>0</v>
      </c>
      <c r="FL152" s="1">
        <f t="shared" si="449"/>
        <v>0</v>
      </c>
      <c r="FM152" s="1">
        <f t="shared" si="450"/>
        <v>0.0034234991863440005</v>
      </c>
      <c r="FN152" s="1">
        <f t="shared" si="451"/>
        <v>7.46760736344</v>
      </c>
      <c r="FO152" s="1">
        <f>IF(O152=0,0,SUM(EI152:FN152))</f>
        <v>8.75875333508219</v>
      </c>
    </row>
    <row r="153" spans="1:171" s="45" customFormat="1" ht="12.75">
      <c r="A153" s="33">
        <v>146</v>
      </c>
      <c r="B153" s="34" t="s">
        <v>357</v>
      </c>
      <c r="C153" s="34" t="s">
        <v>358</v>
      </c>
      <c r="D153" s="35" t="s">
        <v>352</v>
      </c>
      <c r="E153" s="35">
        <v>5</v>
      </c>
      <c r="F153" s="26" t="s">
        <v>299</v>
      </c>
      <c r="G153" s="35" t="s">
        <v>74</v>
      </c>
      <c r="H153" s="35" t="s">
        <v>75</v>
      </c>
      <c r="I153" s="35">
        <v>3</v>
      </c>
      <c r="J153" s="35"/>
      <c r="K153" s="26">
        <f t="shared" si="452"/>
        <v>0</v>
      </c>
      <c r="L153" s="26">
        <f t="shared" si="453"/>
        <v>1</v>
      </c>
      <c r="M153" s="33">
        <v>471630</v>
      </c>
      <c r="N153" s="33">
        <v>1222300</v>
      </c>
      <c r="O153" s="27">
        <f t="shared" si="454"/>
        <v>37850</v>
      </c>
      <c r="P153" s="30">
        <v>37850</v>
      </c>
      <c r="Q153" s="30">
        <v>39000</v>
      </c>
      <c r="R153" s="30">
        <v>19200</v>
      </c>
      <c r="S153" s="31">
        <v>0</v>
      </c>
      <c r="T153" s="31">
        <v>0</v>
      </c>
      <c r="U153" s="31">
        <v>0</v>
      </c>
      <c r="V153" s="31">
        <v>0</v>
      </c>
      <c r="W153" s="30">
        <v>0</v>
      </c>
      <c r="X153" s="31">
        <v>0</v>
      </c>
      <c r="Y153" s="31">
        <v>0</v>
      </c>
      <c r="Z153" s="30">
        <v>0</v>
      </c>
      <c r="AA153" s="31">
        <v>0</v>
      </c>
      <c r="AB153" s="30">
        <v>0</v>
      </c>
      <c r="AC153" s="30">
        <v>6500</v>
      </c>
      <c r="AD153" s="30">
        <v>0</v>
      </c>
      <c r="AE153" s="30">
        <v>8500</v>
      </c>
      <c r="AF153" s="30">
        <v>0</v>
      </c>
      <c r="AG153" s="30">
        <v>0</v>
      </c>
      <c r="AH153" s="30">
        <v>7000</v>
      </c>
      <c r="AI153" s="30">
        <v>0</v>
      </c>
      <c r="AJ153" s="30">
        <v>0</v>
      </c>
      <c r="AK153" s="30">
        <v>0</v>
      </c>
      <c r="AL153" s="30">
        <v>0</v>
      </c>
      <c r="AM153" s="30">
        <v>0</v>
      </c>
      <c r="AN153" s="31">
        <v>0</v>
      </c>
      <c r="AO153" s="30">
        <v>8000</v>
      </c>
      <c r="AP153" s="31">
        <v>0</v>
      </c>
      <c r="AQ153" s="31">
        <v>3000</v>
      </c>
      <c r="AR153" s="31">
        <v>0</v>
      </c>
      <c r="AS153" s="31">
        <v>0</v>
      </c>
      <c r="AT153" s="31">
        <v>0</v>
      </c>
      <c r="AU153" s="30">
        <v>10</v>
      </c>
      <c r="AW153" s="1"/>
      <c r="AX153" s="2">
        <f t="shared" si="455"/>
        <v>27280</v>
      </c>
      <c r="AY153" s="32">
        <f t="shared" si="369"/>
        <v>26475.589743589742</v>
      </c>
      <c r="AZ153" s="186">
        <f t="shared" si="370"/>
        <v>0.4729261498050349</v>
      </c>
      <c r="BA153" s="186">
        <f t="shared" si="371"/>
        <v>0.08236513549671251</v>
      </c>
      <c r="BB153" s="186">
        <f t="shared" si="372"/>
        <v>0.2846822842738975</v>
      </c>
      <c r="BC153" s="53">
        <f t="shared" si="456"/>
        <v>37850</v>
      </c>
      <c r="BD153" s="53">
        <f t="shared" si="373"/>
        <v>14906.419886019963</v>
      </c>
      <c r="BE153" s="53">
        <f t="shared" si="374"/>
        <v>2596.112086821749</v>
      </c>
      <c r="BF153" s="53">
        <f t="shared" si="375"/>
        <v>8973.057770748028</v>
      </c>
      <c r="BG153" s="53"/>
      <c r="BH153" s="53">
        <f t="shared" si="457"/>
        <v>3</v>
      </c>
      <c r="BI153" s="53">
        <f t="shared" si="458"/>
        <v>3</v>
      </c>
      <c r="BJ153" s="53">
        <f t="shared" si="459"/>
        <v>3</v>
      </c>
      <c r="BK153" s="53">
        <f t="shared" si="460"/>
        <v>2</v>
      </c>
      <c r="BL153" s="53"/>
      <c r="BM153" s="53">
        <f t="shared" si="461"/>
        <v>2</v>
      </c>
      <c r="BN153" s="53">
        <f t="shared" si="462"/>
        <v>2</v>
      </c>
      <c r="BO153" s="53">
        <f t="shared" si="463"/>
        <v>2</v>
      </c>
      <c r="BP153" s="53">
        <f t="shared" si="464"/>
        <v>0</v>
      </c>
      <c r="BQ153" s="53"/>
      <c r="BR153" s="53">
        <f t="shared" si="465"/>
        <v>6.5</v>
      </c>
      <c r="BS153" s="53">
        <f t="shared" si="466"/>
        <v>34.2</v>
      </c>
      <c r="BT153" s="53">
        <f t="shared" si="467"/>
        <v>11</v>
      </c>
      <c r="BU153" s="53">
        <f t="shared" si="376"/>
        <v>24816</v>
      </c>
      <c r="BV153" s="53"/>
      <c r="BW153" s="53">
        <f t="shared" si="468"/>
        <v>15600</v>
      </c>
      <c r="BX153" s="53">
        <f t="shared" si="469"/>
        <v>-21036</v>
      </c>
      <c r="BY153" s="53">
        <f t="shared" si="377"/>
        <v>-18814.91095745311</v>
      </c>
      <c r="BZ153" s="240">
        <f t="shared" si="470"/>
        <v>5.791300000000001</v>
      </c>
      <c r="CC153" s="1">
        <f t="shared" si="378"/>
        <v>0</v>
      </c>
      <c r="CD153" s="195">
        <f t="shared" si="379"/>
        <v>2873.2</v>
      </c>
      <c r="CE153" s="195">
        <f t="shared" si="380"/>
        <v>2873.2</v>
      </c>
      <c r="CF153" s="239">
        <f t="shared" si="381"/>
        <v>1.45</v>
      </c>
      <c r="CG153" s="239">
        <f t="shared" si="381"/>
        <v>9.96</v>
      </c>
      <c r="CH153" s="1">
        <f t="shared" si="471"/>
        <v>4780.8</v>
      </c>
      <c r="CI153" s="1"/>
      <c r="CJ153" s="1"/>
      <c r="CK153" s="211">
        <f t="shared" si="382"/>
        <v>0</v>
      </c>
      <c r="CL153" s="211">
        <f t="shared" si="383"/>
        <v>0</v>
      </c>
      <c r="CM153" s="211">
        <f t="shared" si="384"/>
        <v>0</v>
      </c>
      <c r="CN153" s="1"/>
      <c r="CO153" s="1"/>
      <c r="CP153" s="1"/>
      <c r="CQ153" s="1">
        <f t="shared" si="472"/>
        <v>1</v>
      </c>
      <c r="CR153" s="195">
        <f t="shared" si="385"/>
        <v>10000</v>
      </c>
      <c r="CS153" s="195"/>
      <c r="CT153" s="195"/>
      <c r="CU153" s="1"/>
      <c r="CV153" s="199">
        <f t="shared" si="386"/>
        <v>19.81234409464608</v>
      </c>
      <c r="CW153" s="199">
        <f t="shared" si="387"/>
        <v>5.765775015039101</v>
      </c>
      <c r="CX153" s="199">
        <f t="shared" si="388"/>
        <v>0</v>
      </c>
      <c r="CY153" s="199">
        <f t="shared" si="389"/>
        <v>0</v>
      </c>
      <c r="CZ153" s="199">
        <f t="shared" si="390"/>
        <v>0</v>
      </c>
      <c r="DA153" s="199">
        <f t="shared" si="391"/>
        <v>0</v>
      </c>
      <c r="DB153" s="199">
        <f t="shared" si="392"/>
        <v>0</v>
      </c>
      <c r="DC153" s="199">
        <f t="shared" si="393"/>
        <v>0</v>
      </c>
      <c r="DD153" s="199">
        <f t="shared" si="394"/>
        <v>0</v>
      </c>
      <c r="DE153" s="199">
        <f t="shared" si="395"/>
        <v>0</v>
      </c>
      <c r="DF153" s="199">
        <f t="shared" si="396"/>
        <v>0</v>
      </c>
      <c r="DG153" s="199">
        <f t="shared" si="397"/>
        <v>0</v>
      </c>
      <c r="DH153" s="199">
        <f t="shared" si="398"/>
        <v>8.621134950872266</v>
      </c>
      <c r="DI153" s="199">
        <f t="shared" si="399"/>
        <v>0</v>
      </c>
      <c r="DJ153" s="199">
        <f t="shared" si="400"/>
        <v>1.1614132745137358</v>
      </c>
      <c r="DK153" s="199">
        <f t="shared" si="401"/>
        <v>0</v>
      </c>
      <c r="DL153" s="199">
        <f t="shared" si="402"/>
        <v>0</v>
      </c>
      <c r="DM153" s="199">
        <f t="shared" si="403"/>
        <v>0.9564579907760176</v>
      </c>
      <c r="DN153" s="199">
        <f t="shared" si="404"/>
        <v>0</v>
      </c>
      <c r="DO153" s="199">
        <f t="shared" si="405"/>
        <v>0</v>
      </c>
      <c r="DP153" s="199">
        <f t="shared" si="406"/>
        <v>0</v>
      </c>
      <c r="DQ153" s="199">
        <f t="shared" si="407"/>
        <v>0</v>
      </c>
      <c r="DR153" s="199">
        <f t="shared" si="408"/>
        <v>0</v>
      </c>
      <c r="DS153" s="199">
        <f t="shared" si="409"/>
        <v>0</v>
      </c>
      <c r="DT153" s="199">
        <f t="shared" si="410"/>
        <v>22.95632644876679</v>
      </c>
      <c r="DU153" s="199">
        <f t="shared" si="411"/>
        <v>0</v>
      </c>
      <c r="DV153" s="199">
        <f t="shared" si="412"/>
        <v>0.0008758772809304191</v>
      </c>
      <c r="DW153" s="199">
        <f t="shared" si="413"/>
        <v>0</v>
      </c>
      <c r="DX153" s="199">
        <f t="shared" si="414"/>
        <v>0</v>
      </c>
      <c r="DY153" s="199">
        <f t="shared" si="415"/>
        <v>0</v>
      </c>
      <c r="DZ153" s="199">
        <f t="shared" si="416"/>
        <v>0.0006473150190495289</v>
      </c>
      <c r="EA153" s="199">
        <f t="shared" si="417"/>
        <v>15.371237922598755</v>
      </c>
      <c r="EB153" s="199">
        <f t="shared" si="418"/>
        <v>2.017555934496357</v>
      </c>
      <c r="EC153" s="202">
        <f t="shared" si="368"/>
        <v>76.66376882400908</v>
      </c>
      <c r="ED153" s="202">
        <f>SUM(CV153:DI153,DS153:DT153,DW153,DY153,EA153:EB153)</f>
        <v>74.54437436641935</v>
      </c>
      <c r="EE153" s="203">
        <f t="shared" si="419"/>
        <v>12.33954496314878</v>
      </c>
      <c r="EF153" s="199"/>
      <c r="EI153" s="1">
        <f t="shared" si="420"/>
        <v>0.18495710758393283</v>
      </c>
      <c r="EJ153" s="1">
        <f t="shared" si="421"/>
        <v>0.002442336444552</v>
      </c>
      <c r="EK153" s="1">
        <f t="shared" si="422"/>
        <v>0</v>
      </c>
      <c r="EL153" s="1">
        <f t="shared" si="423"/>
        <v>0</v>
      </c>
      <c r="EM153" s="1">
        <f t="shared" si="424"/>
        <v>0</v>
      </c>
      <c r="EN153" s="1">
        <f t="shared" si="425"/>
        <v>0</v>
      </c>
      <c r="EO153" s="1">
        <f t="shared" si="426"/>
        <v>0</v>
      </c>
      <c r="EP153" s="1">
        <f t="shared" si="427"/>
        <v>0</v>
      </c>
      <c r="EQ153" s="1">
        <f t="shared" si="428"/>
        <v>0</v>
      </c>
      <c r="ER153" s="1">
        <f t="shared" si="429"/>
        <v>0</v>
      </c>
      <c r="ES153" s="1">
        <f t="shared" si="430"/>
        <v>0</v>
      </c>
      <c r="ET153" s="1">
        <f t="shared" si="431"/>
        <v>0</v>
      </c>
      <c r="EU153" s="1">
        <f t="shared" si="432"/>
        <v>0.07346601658824001</v>
      </c>
      <c r="EV153" s="1">
        <f t="shared" si="433"/>
        <v>0</v>
      </c>
      <c r="EW153" s="1">
        <f t="shared" si="434"/>
        <v>0.059350736407200004</v>
      </c>
      <c r="EX153" s="1">
        <f t="shared" si="435"/>
        <v>0</v>
      </c>
      <c r="EY153" s="1">
        <f t="shared" si="436"/>
        <v>0</v>
      </c>
      <c r="EZ153" s="1">
        <f t="shared" si="437"/>
        <v>0.059350736407200004</v>
      </c>
      <c r="FA153" s="1">
        <f t="shared" si="438"/>
        <v>0</v>
      </c>
      <c r="FB153" s="1">
        <f t="shared" si="439"/>
        <v>0</v>
      </c>
      <c r="FC153" s="1">
        <f t="shared" si="440"/>
        <v>0</v>
      </c>
      <c r="FD153" s="1">
        <f t="shared" si="441"/>
        <v>0</v>
      </c>
      <c r="FE153" s="1">
        <f t="shared" si="442"/>
        <v>0</v>
      </c>
      <c r="FF153" s="1">
        <f t="shared" si="443"/>
        <v>0</v>
      </c>
      <c r="FG153" s="1">
        <f t="shared" si="444"/>
        <v>0.059350736407200004</v>
      </c>
      <c r="FH153" s="1">
        <f t="shared" si="445"/>
        <v>0</v>
      </c>
      <c r="FI153" s="1">
        <f t="shared" si="446"/>
        <v>0</v>
      </c>
      <c r="FJ153" s="1">
        <f t="shared" si="447"/>
        <v>0</v>
      </c>
      <c r="FK153" s="1">
        <f t="shared" si="448"/>
        <v>0</v>
      </c>
      <c r="FL153" s="1">
        <f t="shared" si="449"/>
        <v>0</v>
      </c>
      <c r="FM153" s="1">
        <f t="shared" si="450"/>
        <v>0.0034234991863440005</v>
      </c>
      <c r="FN153" s="1">
        <f t="shared" si="451"/>
        <v>4.472293968912</v>
      </c>
      <c r="FO153" s="1">
        <f>IF(O153=0,0,SUM(EI153:FN153))</f>
        <v>4.914635137936669</v>
      </c>
    </row>
    <row r="154" spans="1:171" ht="12.75">
      <c r="A154" s="24">
        <v>153</v>
      </c>
      <c r="B154" s="25" t="s">
        <v>359</v>
      </c>
      <c r="C154" s="25" t="s">
        <v>360</v>
      </c>
      <c r="D154" s="26" t="s">
        <v>361</v>
      </c>
      <c r="E154" s="26" t="s">
        <v>362</v>
      </c>
      <c r="F154" s="26" t="s">
        <v>363</v>
      </c>
      <c r="G154" s="26" t="s">
        <v>74</v>
      </c>
      <c r="H154" s="26" t="s">
        <v>75</v>
      </c>
      <c r="I154" s="26">
        <v>3</v>
      </c>
      <c r="J154" s="26"/>
      <c r="K154" s="26">
        <f t="shared" si="452"/>
        <v>1</v>
      </c>
      <c r="L154" s="26">
        <f t="shared" si="453"/>
        <v>1</v>
      </c>
      <c r="M154" s="24">
        <v>174210</v>
      </c>
      <c r="N154" s="24">
        <v>644503</v>
      </c>
      <c r="O154" s="27">
        <f t="shared" si="454"/>
        <v>495000</v>
      </c>
      <c r="P154" s="28">
        <v>495000</v>
      </c>
      <c r="Q154" s="28">
        <v>520000</v>
      </c>
      <c r="R154" s="28">
        <v>225000</v>
      </c>
      <c r="S154" s="29">
        <v>61000</v>
      </c>
      <c r="T154" s="29">
        <v>0</v>
      </c>
      <c r="U154" s="29">
        <v>42000</v>
      </c>
      <c r="V154" s="29">
        <v>0</v>
      </c>
      <c r="W154" s="28">
        <v>150000</v>
      </c>
      <c r="X154" s="29">
        <v>0</v>
      </c>
      <c r="Y154" s="29">
        <v>0</v>
      </c>
      <c r="Z154" s="28">
        <v>0</v>
      </c>
      <c r="AA154" s="29">
        <v>0</v>
      </c>
      <c r="AB154" s="28">
        <v>90000</v>
      </c>
      <c r="AC154" s="29">
        <v>25000</v>
      </c>
      <c r="AD154" s="28">
        <v>0</v>
      </c>
      <c r="AE154" s="28">
        <v>115000</v>
      </c>
      <c r="AF154" s="28">
        <v>20000</v>
      </c>
      <c r="AG154" s="28">
        <v>60000</v>
      </c>
      <c r="AH154" s="28">
        <v>57000</v>
      </c>
      <c r="AI154" s="28">
        <v>20000</v>
      </c>
      <c r="AJ154" s="28">
        <v>0</v>
      </c>
      <c r="AK154" s="28">
        <v>145000</v>
      </c>
      <c r="AL154" s="28">
        <v>56000</v>
      </c>
      <c r="AM154" s="30">
        <v>20000</v>
      </c>
      <c r="AN154" s="30">
        <v>20000</v>
      </c>
      <c r="AO154" s="30">
        <v>0</v>
      </c>
      <c r="AP154" s="30">
        <v>0</v>
      </c>
      <c r="AQ154" s="30">
        <v>18000</v>
      </c>
      <c r="AR154" s="30">
        <v>0</v>
      </c>
      <c r="AS154" s="30">
        <v>19000</v>
      </c>
      <c r="AT154" s="30">
        <v>0</v>
      </c>
      <c r="AU154" s="30">
        <v>550</v>
      </c>
      <c r="AX154" s="2">
        <f t="shared" si="455"/>
        <v>423280</v>
      </c>
      <c r="AY154" s="32">
        <f t="shared" si="369"/>
        <v>402930</v>
      </c>
      <c r="AZ154" s="186">
        <f t="shared" si="370"/>
        <v>0.4729261498050349</v>
      </c>
      <c r="BA154" s="186">
        <f t="shared" si="371"/>
        <v>0.08236513549671251</v>
      </c>
      <c r="BB154" s="186">
        <f t="shared" si="372"/>
        <v>0.2846822842738975</v>
      </c>
      <c r="BC154" s="53">
        <f t="shared" si="456"/>
        <v>495000</v>
      </c>
      <c r="BD154" s="53">
        <f t="shared" si="373"/>
        <v>226859.67802202606</v>
      </c>
      <c r="BE154" s="53">
        <f t="shared" si="374"/>
        <v>39510.033705532725</v>
      </c>
      <c r="BF154" s="53">
        <f t="shared" si="375"/>
        <v>136560.28827244122</v>
      </c>
      <c r="BG154" s="53"/>
      <c r="BH154" s="53">
        <f t="shared" si="457"/>
        <v>18</v>
      </c>
      <c r="BI154" s="53">
        <f t="shared" si="458"/>
        <v>14</v>
      </c>
      <c r="BJ154" s="53">
        <f t="shared" si="459"/>
        <v>6</v>
      </c>
      <c r="BK154" s="53">
        <f t="shared" si="460"/>
        <v>11</v>
      </c>
      <c r="BL154" s="53"/>
      <c r="BM154" s="53">
        <f t="shared" si="461"/>
        <v>8</v>
      </c>
      <c r="BN154" s="53">
        <f t="shared" si="462"/>
        <v>6</v>
      </c>
      <c r="BO154" s="53">
        <f t="shared" si="463"/>
        <v>3</v>
      </c>
      <c r="BP154" s="53">
        <f t="shared" si="464"/>
        <v>0</v>
      </c>
      <c r="BQ154" s="53"/>
      <c r="BR154" s="53">
        <f t="shared" si="465"/>
        <v>26</v>
      </c>
      <c r="BS154" s="53">
        <f t="shared" si="466"/>
        <v>102.60000000000001</v>
      </c>
      <c r="BT154" s="53">
        <f t="shared" si="467"/>
        <v>16.5</v>
      </c>
      <c r="BU154" s="53">
        <f t="shared" si="376"/>
        <v>69648.00000000001</v>
      </c>
      <c r="BV154" s="53"/>
      <c r="BW154" s="53">
        <f t="shared" si="468"/>
        <v>44200</v>
      </c>
      <c r="BX154" s="53">
        <f t="shared" si="469"/>
        <v>-58938.000000000015</v>
      </c>
      <c r="BY154" s="53">
        <f t="shared" si="377"/>
        <v>-52644.91437945049</v>
      </c>
      <c r="BZ154" s="240">
        <f t="shared" si="470"/>
        <v>15.724900000000002</v>
      </c>
      <c r="CC154" s="1">
        <f t="shared" si="378"/>
        <v>0</v>
      </c>
      <c r="CD154" s="195">
        <f t="shared" si="379"/>
        <v>8619.599999999999</v>
      </c>
      <c r="CE154" s="195">
        <f t="shared" si="380"/>
        <v>8619.599999999999</v>
      </c>
      <c r="CF154" s="239">
        <f t="shared" si="381"/>
        <v>4.35</v>
      </c>
      <c r="CG154" s="239">
        <f t="shared" si="381"/>
        <v>29.880000000000003</v>
      </c>
      <c r="CH154" s="1">
        <f t="shared" si="471"/>
        <v>14342.400000000001</v>
      </c>
      <c r="CK154" s="211">
        <f t="shared" si="382"/>
        <v>0</v>
      </c>
      <c r="CL154" s="211">
        <f t="shared" si="383"/>
        <v>0</v>
      </c>
      <c r="CM154" s="211">
        <f t="shared" si="384"/>
        <v>0</v>
      </c>
      <c r="CQ154" s="1">
        <f t="shared" si="472"/>
        <v>1</v>
      </c>
      <c r="CR154" s="195">
        <f t="shared" si="385"/>
        <v>10000</v>
      </c>
      <c r="CS154" s="195"/>
      <c r="CT154" s="195"/>
      <c r="CV154" s="199">
        <f t="shared" si="386"/>
        <v>264.16458792861437</v>
      </c>
      <c r="CW154" s="199">
        <f t="shared" si="387"/>
        <v>67.56767595748946</v>
      </c>
      <c r="CX154" s="199">
        <f t="shared" si="388"/>
        <v>120.08694605975535</v>
      </c>
      <c r="CY154" s="199">
        <f t="shared" si="389"/>
        <v>0</v>
      </c>
      <c r="CZ154" s="199">
        <f t="shared" si="390"/>
        <v>99.4996591136956</v>
      </c>
      <c r="DA154" s="199">
        <f t="shared" si="391"/>
        <v>0</v>
      </c>
      <c r="DB154" s="199">
        <f t="shared" si="392"/>
        <v>39.03910166432725</v>
      </c>
      <c r="DC154" s="199">
        <f t="shared" si="393"/>
        <v>0</v>
      </c>
      <c r="DD154" s="199">
        <f t="shared" si="394"/>
        <v>0</v>
      </c>
      <c r="DE154" s="199">
        <f t="shared" si="395"/>
        <v>0</v>
      </c>
      <c r="DF154" s="199">
        <f t="shared" si="396"/>
        <v>0</v>
      </c>
      <c r="DG154" s="199">
        <f t="shared" si="397"/>
        <v>119.3695608582314</v>
      </c>
      <c r="DH154" s="199">
        <f t="shared" si="398"/>
        <v>33.15821134950872</v>
      </c>
      <c r="DI154" s="199">
        <f t="shared" si="399"/>
        <v>0</v>
      </c>
      <c r="DJ154" s="199">
        <f t="shared" si="400"/>
        <v>15.713238419891717</v>
      </c>
      <c r="DK154" s="199">
        <f t="shared" si="401"/>
        <v>2.732737116502907</v>
      </c>
      <c r="DL154" s="199">
        <f t="shared" si="402"/>
        <v>8.198211349508723</v>
      </c>
      <c r="DM154" s="199">
        <f t="shared" si="403"/>
        <v>7.788300782033286</v>
      </c>
      <c r="DN154" s="199">
        <f t="shared" si="404"/>
        <v>2.732737116502907</v>
      </c>
      <c r="DO154" s="199">
        <f t="shared" si="405"/>
        <v>0</v>
      </c>
      <c r="DP154" s="199">
        <f t="shared" si="406"/>
        <v>19.81234409464608</v>
      </c>
      <c r="DQ154" s="199">
        <f t="shared" si="407"/>
        <v>7.6516639262081405</v>
      </c>
      <c r="DR154" s="199">
        <f t="shared" si="408"/>
        <v>3.0030078203328654</v>
      </c>
      <c r="DS154" s="199">
        <f t="shared" si="409"/>
        <v>53.05313815921395</v>
      </c>
      <c r="DT154" s="199">
        <f t="shared" si="410"/>
        <v>0</v>
      </c>
      <c r="DU154" s="199">
        <f t="shared" si="411"/>
        <v>0</v>
      </c>
      <c r="DV154" s="199">
        <f t="shared" si="412"/>
        <v>0.005255263685582514</v>
      </c>
      <c r="DW154" s="199">
        <f t="shared" si="413"/>
        <v>0</v>
      </c>
      <c r="DX154" s="199">
        <f t="shared" si="414"/>
        <v>1.2298985361941044</v>
      </c>
      <c r="DY154" s="199">
        <f t="shared" si="415"/>
        <v>0</v>
      </c>
      <c r="DZ154" s="199">
        <f t="shared" si="416"/>
        <v>0.03560232604772408</v>
      </c>
      <c r="EA154" s="199">
        <f t="shared" si="417"/>
        <v>233.93370860236612</v>
      </c>
      <c r="EB154" s="199">
        <f t="shared" si="418"/>
        <v>28.16334848205334</v>
      </c>
      <c r="EC154" s="202">
        <f t="shared" si="368"/>
        <v>1126.9389349268097</v>
      </c>
      <c r="ED154" s="202">
        <f>SUM(CV154:DI154,DS154:DT154,DW154,DY154,EA154:EB154)</f>
        <v>1058.0359381752558</v>
      </c>
      <c r="EE154" s="203">
        <f t="shared" si="419"/>
        <v>175.13973579771806</v>
      </c>
      <c r="EF154" s="199"/>
      <c r="EI154" s="1">
        <f t="shared" si="420"/>
        <v>0.5699766927982697</v>
      </c>
      <c r="EJ154" s="1">
        <f t="shared" si="421"/>
        <v>0.010606863429336002</v>
      </c>
      <c r="EK154" s="1">
        <f t="shared" si="422"/>
        <v>0.24682268761392</v>
      </c>
      <c r="EL154" s="1">
        <f t="shared" si="423"/>
        <v>0</v>
      </c>
      <c r="EM154" s="1">
        <f t="shared" si="424"/>
        <v>0.05894874689256</v>
      </c>
      <c r="EN154" s="1">
        <f t="shared" si="425"/>
        <v>0</v>
      </c>
      <c r="EO154" s="1">
        <f t="shared" si="426"/>
        <v>0.2644897670328</v>
      </c>
      <c r="EP154" s="1">
        <f t="shared" si="427"/>
        <v>0</v>
      </c>
      <c r="EQ154" s="1">
        <f t="shared" si="428"/>
        <v>0</v>
      </c>
      <c r="ER154" s="1">
        <f t="shared" si="429"/>
        <v>0</v>
      </c>
      <c r="ES154" s="1">
        <f t="shared" si="430"/>
        <v>0</v>
      </c>
      <c r="ET154" s="1">
        <f t="shared" si="431"/>
        <v>0.14589546715944002</v>
      </c>
      <c r="EU154" s="1">
        <f t="shared" si="432"/>
        <v>0.14589546715944002</v>
      </c>
      <c r="EV154" s="1">
        <f t="shared" si="433"/>
        <v>0</v>
      </c>
      <c r="EW154" s="1">
        <f t="shared" si="434"/>
        <v>0.10099701098903999</v>
      </c>
      <c r="EX154" s="1">
        <f t="shared" si="435"/>
        <v>0.059350736407200004</v>
      </c>
      <c r="EY154" s="1">
        <f t="shared" si="436"/>
        <v>0.10099701098903999</v>
      </c>
      <c r="EZ154" s="1">
        <f t="shared" si="437"/>
        <v>0.10099701098903999</v>
      </c>
      <c r="FA154" s="1">
        <f t="shared" si="438"/>
        <v>0.059350736407200004</v>
      </c>
      <c r="FB154" s="1">
        <f t="shared" si="439"/>
        <v>0</v>
      </c>
      <c r="FC154" s="1">
        <f t="shared" si="440"/>
        <v>0.10099701098903999</v>
      </c>
      <c r="FD154" s="1">
        <f t="shared" si="441"/>
        <v>0.10099701098903999</v>
      </c>
      <c r="FE154" s="1">
        <f t="shared" si="442"/>
        <v>0.059350736407200004</v>
      </c>
      <c r="FF154" s="1">
        <f t="shared" si="443"/>
        <v>0.059350736407200004</v>
      </c>
      <c r="FG154" s="1">
        <f t="shared" si="444"/>
        <v>0</v>
      </c>
      <c r="FH154" s="1">
        <f t="shared" si="445"/>
        <v>0</v>
      </c>
      <c r="FI154" s="1">
        <f t="shared" si="446"/>
        <v>0</v>
      </c>
      <c r="FJ154" s="1">
        <f t="shared" si="447"/>
        <v>0</v>
      </c>
      <c r="FK154" s="1">
        <f t="shared" si="448"/>
        <v>0</v>
      </c>
      <c r="FL154" s="1">
        <f t="shared" si="449"/>
        <v>0</v>
      </c>
      <c r="FM154" s="1">
        <f t="shared" si="450"/>
        <v>0.0057571153094400015</v>
      </c>
      <c r="FN154" s="1">
        <f t="shared" si="451"/>
        <v>7.46760736344</v>
      </c>
      <c r="FO154" s="1">
        <f>IF(O154=0,0,SUM(EI154:FN154))</f>
        <v>9.658388171409204</v>
      </c>
    </row>
    <row r="155" spans="1:171" ht="12.75">
      <c r="A155" s="24">
        <v>155</v>
      </c>
      <c r="B155" s="25" t="s">
        <v>364</v>
      </c>
      <c r="C155" s="25" t="s">
        <v>365</v>
      </c>
      <c r="D155" s="26" t="s">
        <v>366</v>
      </c>
      <c r="E155" s="26" t="s">
        <v>362</v>
      </c>
      <c r="F155" s="26" t="s">
        <v>363</v>
      </c>
      <c r="G155" s="26" t="s">
        <v>74</v>
      </c>
      <c r="H155" s="26" t="s">
        <v>75</v>
      </c>
      <c r="I155" s="26">
        <v>3</v>
      </c>
      <c r="J155" s="26"/>
      <c r="K155" s="26">
        <f t="shared" si="452"/>
        <v>1</v>
      </c>
      <c r="L155" s="26">
        <f t="shared" si="453"/>
        <v>1</v>
      </c>
      <c r="M155" s="24">
        <v>180300</v>
      </c>
      <c r="N155" s="24">
        <v>655115</v>
      </c>
      <c r="O155" s="27">
        <f t="shared" si="454"/>
        <v>77900</v>
      </c>
      <c r="P155" s="28">
        <v>77900</v>
      </c>
      <c r="Q155" s="28">
        <v>85000</v>
      </c>
      <c r="R155" s="28">
        <v>31465</v>
      </c>
      <c r="S155" s="29">
        <v>0</v>
      </c>
      <c r="T155" s="29">
        <v>0</v>
      </c>
      <c r="U155" s="29">
        <v>0</v>
      </c>
      <c r="V155" s="29">
        <v>0</v>
      </c>
      <c r="W155" s="28">
        <v>0</v>
      </c>
      <c r="X155" s="29">
        <v>0</v>
      </c>
      <c r="Y155" s="29">
        <v>0</v>
      </c>
      <c r="Z155" s="28">
        <v>19800</v>
      </c>
      <c r="AA155" s="29">
        <v>0</v>
      </c>
      <c r="AB155" s="28">
        <v>20000</v>
      </c>
      <c r="AC155" s="29">
        <v>0</v>
      </c>
      <c r="AD155" s="28">
        <v>0</v>
      </c>
      <c r="AE155" s="28">
        <v>20000</v>
      </c>
      <c r="AF155" s="28">
        <v>0</v>
      </c>
      <c r="AG155" s="28">
        <v>0</v>
      </c>
      <c r="AH155" s="28">
        <v>0</v>
      </c>
      <c r="AI155" s="28">
        <v>0</v>
      </c>
      <c r="AJ155" s="28">
        <v>0</v>
      </c>
      <c r="AK155" s="28">
        <v>0</v>
      </c>
      <c r="AL155" s="28">
        <v>0</v>
      </c>
      <c r="AM155" s="30">
        <v>0</v>
      </c>
      <c r="AN155" s="30">
        <v>0</v>
      </c>
      <c r="AO155" s="30">
        <v>0</v>
      </c>
      <c r="AP155" s="30">
        <v>0</v>
      </c>
      <c r="AQ155" s="30">
        <v>0</v>
      </c>
      <c r="AR155" s="30">
        <v>0</v>
      </c>
      <c r="AS155" s="30">
        <v>0</v>
      </c>
      <c r="AT155" s="30">
        <v>0</v>
      </c>
      <c r="AU155" s="30">
        <v>22</v>
      </c>
      <c r="AX155" s="2">
        <f t="shared" si="455"/>
        <v>74800</v>
      </c>
      <c r="AY155" s="32">
        <f t="shared" si="369"/>
        <v>68552</v>
      </c>
      <c r="AZ155" s="186">
        <f t="shared" si="370"/>
        <v>0.4729261498050349</v>
      </c>
      <c r="BA155" s="186">
        <f t="shared" si="371"/>
        <v>0.08236513549671251</v>
      </c>
      <c r="BB155" s="186">
        <f t="shared" si="372"/>
        <v>0.2846822842738975</v>
      </c>
      <c r="BC155" s="53">
        <f t="shared" si="456"/>
        <v>77900</v>
      </c>
      <c r="BD155" s="53">
        <f>$AY155*AZ155/SUM($AZ155:$BB155)</f>
        <v>38596.492313220486</v>
      </c>
      <c r="BE155" s="53">
        <f>$AY155*BA155/SUM($AZ155:$BB155)</f>
        <v>6721.990992434615</v>
      </c>
      <c r="BF155" s="53">
        <f>$AY155*BB155/SUM($AZ155:$BB155)</f>
        <v>23233.516694344897</v>
      </c>
      <c r="BG155" s="53"/>
      <c r="BH155" s="53">
        <f t="shared" si="457"/>
        <v>4</v>
      </c>
      <c r="BI155" s="53">
        <f t="shared" si="458"/>
        <v>4</v>
      </c>
      <c r="BJ155" s="53">
        <f t="shared" si="459"/>
        <v>3</v>
      </c>
      <c r="BK155" s="53">
        <f t="shared" si="460"/>
        <v>3</v>
      </c>
      <c r="BL155" s="53"/>
      <c r="BM155" s="53">
        <f t="shared" si="461"/>
        <v>2</v>
      </c>
      <c r="BN155" s="53">
        <f t="shared" si="462"/>
        <v>2</v>
      </c>
      <c r="BO155" s="53">
        <f t="shared" si="463"/>
        <v>2</v>
      </c>
      <c r="BP155" s="53">
        <f t="shared" si="464"/>
        <v>0</v>
      </c>
      <c r="BQ155" s="53"/>
      <c r="BR155" s="53">
        <f t="shared" si="465"/>
        <v>6.5</v>
      </c>
      <c r="BS155" s="53">
        <f t="shared" si="466"/>
        <v>34.2</v>
      </c>
      <c r="BT155" s="53">
        <f t="shared" si="467"/>
        <v>11</v>
      </c>
      <c r="BU155" s="53">
        <f t="shared" si="376"/>
        <v>24816</v>
      </c>
      <c r="BV155" s="53"/>
      <c r="BW155" s="53">
        <f t="shared" si="468"/>
        <v>15600</v>
      </c>
      <c r="BX155" s="53">
        <f t="shared" si="469"/>
        <v>-21036</v>
      </c>
      <c r="BY155" s="53">
        <f t="shared" si="377"/>
        <v>-18814.91095745311</v>
      </c>
      <c r="BZ155" s="240">
        <f t="shared" si="470"/>
        <v>5.791300000000001</v>
      </c>
      <c r="CC155" s="1">
        <f t="shared" si="378"/>
        <v>0</v>
      </c>
      <c r="CD155" s="195">
        <f t="shared" si="379"/>
        <v>5746.4</v>
      </c>
      <c r="CE155" s="195">
        <f t="shared" si="380"/>
        <v>5746.4</v>
      </c>
      <c r="CF155" s="239">
        <f t="shared" si="381"/>
        <v>2.9</v>
      </c>
      <c r="CG155" s="239">
        <f t="shared" si="381"/>
        <v>19.92</v>
      </c>
      <c r="CH155" s="1">
        <f t="shared" si="471"/>
        <v>9561.6</v>
      </c>
      <c r="CK155" s="211">
        <f t="shared" si="382"/>
        <v>0</v>
      </c>
      <c r="CL155" s="211">
        <f t="shared" si="383"/>
        <v>0</v>
      </c>
      <c r="CM155" s="211">
        <f t="shared" si="384"/>
        <v>0</v>
      </c>
      <c r="CQ155" s="1">
        <f t="shared" si="472"/>
        <v>1</v>
      </c>
      <c r="CR155" s="195">
        <f>(CQ$2/CQ$4+CQ$3)*CQ155</f>
        <v>10000</v>
      </c>
      <c r="CS155" s="195"/>
      <c r="CT155" s="195"/>
      <c r="CV155" s="199">
        <f t="shared" si="386"/>
        <v>43.18074994986966</v>
      </c>
      <c r="CW155" s="199">
        <f t="shared" si="387"/>
        <v>9.44896410667736</v>
      </c>
      <c r="CX155" s="199">
        <f t="shared" si="388"/>
        <v>0</v>
      </c>
      <c r="CY155" s="199">
        <f t="shared" si="389"/>
        <v>0</v>
      </c>
      <c r="CZ155" s="199">
        <f t="shared" si="390"/>
        <v>0</v>
      </c>
      <c r="DA155" s="199">
        <f t="shared" si="391"/>
        <v>0</v>
      </c>
      <c r="DB155" s="199">
        <f t="shared" si="392"/>
        <v>0</v>
      </c>
      <c r="DC155" s="199">
        <f t="shared" si="393"/>
        <v>0</v>
      </c>
      <c r="DD155" s="199">
        <f t="shared" si="394"/>
        <v>0</v>
      </c>
      <c r="DE155" s="199">
        <f t="shared" si="395"/>
        <v>6.012021656306397</v>
      </c>
      <c r="DF155" s="199">
        <f t="shared" si="396"/>
        <v>0</v>
      </c>
      <c r="DG155" s="199">
        <f t="shared" si="397"/>
        <v>26.526569079606976</v>
      </c>
      <c r="DH155" s="199">
        <f t="shared" si="398"/>
        <v>0</v>
      </c>
      <c r="DI155" s="199">
        <f t="shared" si="399"/>
        <v>0</v>
      </c>
      <c r="DJ155" s="199">
        <f t="shared" si="400"/>
        <v>2.732737116502907</v>
      </c>
      <c r="DK155" s="199">
        <f t="shared" si="401"/>
        <v>0</v>
      </c>
      <c r="DL155" s="199">
        <f t="shared" si="402"/>
        <v>0</v>
      </c>
      <c r="DM155" s="199">
        <f t="shared" si="403"/>
        <v>0</v>
      </c>
      <c r="DN155" s="199">
        <f t="shared" si="404"/>
        <v>0</v>
      </c>
      <c r="DO155" s="199">
        <f t="shared" si="405"/>
        <v>0</v>
      </c>
      <c r="DP155" s="199">
        <f t="shared" si="406"/>
        <v>0</v>
      </c>
      <c r="DQ155" s="199">
        <f t="shared" si="407"/>
        <v>0</v>
      </c>
      <c r="DR155" s="199">
        <f t="shared" si="408"/>
        <v>0</v>
      </c>
      <c r="DS155" s="199">
        <f t="shared" si="409"/>
        <v>0</v>
      </c>
      <c r="DT155" s="199">
        <f t="shared" si="410"/>
        <v>0</v>
      </c>
      <c r="DU155" s="199">
        <f t="shared" si="411"/>
        <v>0</v>
      </c>
      <c r="DV155" s="199">
        <f t="shared" si="412"/>
        <v>0</v>
      </c>
      <c r="DW155" s="199">
        <f t="shared" si="413"/>
        <v>0</v>
      </c>
      <c r="DX155" s="199">
        <f t="shared" si="414"/>
        <v>0</v>
      </c>
      <c r="DY155" s="199">
        <f t="shared" si="415"/>
        <v>0</v>
      </c>
      <c r="DZ155" s="199">
        <f t="shared" si="416"/>
        <v>0.0014240930419089633</v>
      </c>
      <c r="EA155" s="199">
        <f t="shared" si="417"/>
        <v>39.80002380589532</v>
      </c>
      <c r="EB155" s="199">
        <f t="shared" si="418"/>
        <v>4.593430124724283</v>
      </c>
      <c r="EC155" s="202">
        <f t="shared" si="368"/>
        <v>132.2959199326248</v>
      </c>
      <c r="ED155" s="202">
        <f>SUM(CV155:DI155,DS155:DT155,DW155,DY155,EA155:EB155)</f>
        <v>129.56175872308</v>
      </c>
      <c r="EE155" s="203">
        <f>ED155*365/2205</f>
        <v>21.446731035793288</v>
      </c>
      <c r="EF155" s="199"/>
      <c r="EI155" s="1">
        <f t="shared" si="420"/>
        <v>0.5699766927982697</v>
      </c>
      <c r="EJ155" s="1">
        <f t="shared" si="421"/>
        <v>0.010606863429336002</v>
      </c>
      <c r="EK155" s="1">
        <f t="shared" si="422"/>
        <v>0</v>
      </c>
      <c r="EL155" s="1">
        <f t="shared" si="423"/>
        <v>0</v>
      </c>
      <c r="EM155" s="1">
        <f t="shared" si="424"/>
        <v>0</v>
      </c>
      <c r="EN155" s="1">
        <f t="shared" si="425"/>
        <v>0</v>
      </c>
      <c r="EO155" s="1">
        <f t="shared" si="426"/>
        <v>0</v>
      </c>
      <c r="EP155" s="1">
        <f t="shared" si="427"/>
        <v>0</v>
      </c>
      <c r="EQ155" s="1">
        <f t="shared" si="428"/>
        <v>0.21621849683808003</v>
      </c>
      <c r="ER155" s="1">
        <f t="shared" si="429"/>
        <v>0</v>
      </c>
      <c r="ES155" s="1">
        <f t="shared" si="430"/>
        <v>0</v>
      </c>
      <c r="ET155" s="1">
        <f t="shared" si="431"/>
        <v>0.14589546715944002</v>
      </c>
      <c r="EU155" s="1">
        <f t="shared" si="432"/>
        <v>0</v>
      </c>
      <c r="EV155" s="1">
        <f t="shared" si="433"/>
        <v>0</v>
      </c>
      <c r="EW155" s="1">
        <f t="shared" si="434"/>
        <v>0.059350736407200004</v>
      </c>
      <c r="EX155" s="1">
        <f t="shared" si="435"/>
        <v>0</v>
      </c>
      <c r="EY155" s="1">
        <f t="shared" si="436"/>
        <v>0</v>
      </c>
      <c r="EZ155" s="1">
        <f t="shared" si="437"/>
        <v>0</v>
      </c>
      <c r="FA155" s="1">
        <f t="shared" si="438"/>
        <v>0</v>
      </c>
      <c r="FB155" s="1">
        <f t="shared" si="439"/>
        <v>0</v>
      </c>
      <c r="FC155" s="1">
        <f t="shared" si="440"/>
        <v>0</v>
      </c>
      <c r="FD155" s="1">
        <f t="shared" si="441"/>
        <v>0</v>
      </c>
      <c r="FE155" s="1">
        <f t="shared" si="442"/>
        <v>0</v>
      </c>
      <c r="FF155" s="1">
        <f t="shared" si="443"/>
        <v>0</v>
      </c>
      <c r="FG155" s="1">
        <f t="shared" si="444"/>
        <v>0</v>
      </c>
      <c r="FH155" s="1">
        <f t="shared" si="445"/>
        <v>0</v>
      </c>
      <c r="FI155" s="1">
        <f t="shared" si="446"/>
        <v>0</v>
      </c>
      <c r="FJ155" s="1">
        <f t="shared" si="447"/>
        <v>0</v>
      </c>
      <c r="FK155" s="1">
        <f t="shared" si="448"/>
        <v>0</v>
      </c>
      <c r="FL155" s="1">
        <f t="shared" si="449"/>
        <v>0</v>
      </c>
      <c r="FM155" s="1">
        <f t="shared" si="450"/>
        <v>0.0034234991863440005</v>
      </c>
      <c r="FN155" s="1">
        <f t="shared" si="451"/>
        <v>7.46760736344</v>
      </c>
      <c r="FO155" s="1">
        <f>IF(O155=0,0,SUM(EI155:FN155))</f>
        <v>8.473079119258669</v>
      </c>
    </row>
    <row r="157" spans="14:136" s="45" customFormat="1" ht="12.75">
      <c r="N157" s="45" t="s">
        <v>367</v>
      </c>
      <c r="P157" s="36">
        <f>SUM(P5:P153)</f>
        <v>17333014</v>
      </c>
      <c r="Q157" s="36">
        <f aca="true" t="shared" si="473" ref="Q157:AU157">SUM(Q5:Q153)</f>
        <v>18307502</v>
      </c>
      <c r="R157" s="36">
        <f t="shared" si="473"/>
        <v>8398470</v>
      </c>
      <c r="S157" s="36">
        <f t="shared" si="473"/>
        <v>2305510</v>
      </c>
      <c r="T157" s="36">
        <f t="shared" si="473"/>
        <v>205400</v>
      </c>
      <c r="U157" s="36">
        <f t="shared" si="473"/>
        <v>18000</v>
      </c>
      <c r="V157" s="36">
        <f t="shared" si="473"/>
        <v>10600</v>
      </c>
      <c r="W157" s="36">
        <f t="shared" si="473"/>
        <v>6187883</v>
      </c>
      <c r="X157" s="36">
        <f t="shared" si="473"/>
        <v>87240</v>
      </c>
      <c r="Y157" s="36">
        <f t="shared" si="473"/>
        <v>516600</v>
      </c>
      <c r="Z157" s="36">
        <f t="shared" si="473"/>
        <v>920200</v>
      </c>
      <c r="AA157" s="36">
        <f t="shared" si="473"/>
        <v>200400</v>
      </c>
      <c r="AB157" s="36">
        <f t="shared" si="473"/>
        <v>2308650</v>
      </c>
      <c r="AC157" s="36">
        <f t="shared" si="473"/>
        <v>1550420</v>
      </c>
      <c r="AD157" s="36">
        <f t="shared" si="473"/>
        <v>386290</v>
      </c>
      <c r="AE157" s="36">
        <f t="shared" si="473"/>
        <v>4400484</v>
      </c>
      <c r="AF157" s="36">
        <f t="shared" si="473"/>
        <v>2056470</v>
      </c>
      <c r="AG157" s="36">
        <f t="shared" si="473"/>
        <v>960700</v>
      </c>
      <c r="AH157" s="36">
        <f t="shared" si="473"/>
        <v>2950792</v>
      </c>
      <c r="AI157" s="36">
        <f t="shared" si="473"/>
        <v>873360</v>
      </c>
      <c r="AJ157" s="36">
        <f t="shared" si="473"/>
        <v>327100</v>
      </c>
      <c r="AK157" s="36">
        <f t="shared" si="473"/>
        <v>2557040</v>
      </c>
      <c r="AL157" s="36">
        <f t="shared" si="473"/>
        <v>682040</v>
      </c>
      <c r="AM157" s="36">
        <f t="shared" si="473"/>
        <v>1238479</v>
      </c>
      <c r="AN157" s="36">
        <f t="shared" si="473"/>
        <v>319250</v>
      </c>
      <c r="AO157" s="36">
        <f t="shared" si="473"/>
        <v>893249</v>
      </c>
      <c r="AP157" s="36">
        <f t="shared" si="473"/>
        <v>230714</v>
      </c>
      <c r="AQ157" s="36">
        <f t="shared" si="473"/>
        <v>477643</v>
      </c>
      <c r="AR157" s="36">
        <f t="shared" si="473"/>
        <v>219840</v>
      </c>
      <c r="AS157" s="36">
        <f t="shared" si="473"/>
        <v>708863</v>
      </c>
      <c r="AT157" s="36">
        <f t="shared" si="473"/>
        <v>2823.3</v>
      </c>
      <c r="AU157" s="36">
        <f t="shared" si="473"/>
        <v>32421</v>
      </c>
      <c r="AV157" s="189"/>
      <c r="AY157" s="49">
        <f>SUM(AY$5:AY$153)</f>
        <v>13589670.801647289</v>
      </c>
      <c r="AZ157" s="49"/>
      <c r="BA157" s="49"/>
      <c r="BB157" s="49"/>
      <c r="BC157" s="49"/>
      <c r="BD157" s="49"/>
      <c r="BE157" s="49"/>
      <c r="BF157" s="49"/>
      <c r="BG157" s="49"/>
      <c r="BH157" s="49"/>
      <c r="BI157" s="49"/>
      <c r="BJ157" s="49"/>
      <c r="BK157" s="49"/>
      <c r="BL157" s="49"/>
      <c r="BM157" s="49">
        <f>SUM(BM5:BM155)</f>
        <v>373</v>
      </c>
      <c r="BN157" s="49">
        <f>SUM(BN5:BN155)</f>
        <v>386</v>
      </c>
      <c r="BO157" s="49">
        <f>SUM(BO5:BO155)</f>
        <v>304</v>
      </c>
      <c r="BP157" s="49">
        <f>SUM(BP5:BP155)</f>
        <v>0</v>
      </c>
      <c r="BQ157" s="49"/>
      <c r="BR157" s="49">
        <f>SUM(BR5:BR155)</f>
        <v>1212.25</v>
      </c>
      <c r="BS157" s="49">
        <f aca="true" t="shared" si="474" ref="BS157:BZ157">SUM(BS5:BS155)</f>
        <v>6600.59999999999</v>
      </c>
      <c r="BT157" s="49">
        <f t="shared" si="474"/>
        <v>1672</v>
      </c>
      <c r="BU157" s="49"/>
      <c r="BV157" s="49"/>
      <c r="BW157" s="49">
        <f t="shared" si="474"/>
        <v>2763800</v>
      </c>
      <c r="BX157" s="49">
        <f t="shared" si="474"/>
        <v>-3883038</v>
      </c>
      <c r="BY157" s="49">
        <f t="shared" si="474"/>
        <v>-3489535.057962117</v>
      </c>
      <c r="BZ157" s="49">
        <f t="shared" si="474"/>
        <v>1053.0756500000005</v>
      </c>
      <c r="CC157" s="49">
        <f>SUM(CC5:CC155)</f>
        <v>0</v>
      </c>
      <c r="CD157" s="49">
        <f>SUM(CD5:CD155)</f>
        <v>747031.9999999987</v>
      </c>
      <c r="CE157" s="49">
        <f>SUM(CE5:CE155)</f>
        <v>747031.9999999987</v>
      </c>
      <c r="CF157" s="49">
        <f>SUM(CF5:CF155)</f>
        <v>376.99999999999926</v>
      </c>
      <c r="CG157" s="49">
        <f>SUM(CG5:CG155)</f>
        <v>2589.6000000000054</v>
      </c>
      <c r="CH157" s="49"/>
      <c r="CI157" s="49"/>
      <c r="CJ157" s="49"/>
      <c r="CK157" s="208">
        <f>SUM(CK5:CK155)</f>
        <v>0</v>
      </c>
      <c r="CL157" s="208">
        <f>SUM(CL5:CL155)</f>
        <v>0</v>
      </c>
      <c r="CM157" s="208">
        <f>SUM(CM5:CM155)</f>
        <v>0</v>
      </c>
      <c r="CN157" s="49"/>
      <c r="CO157" s="49"/>
      <c r="CP157" s="49"/>
      <c r="CQ157" s="49"/>
      <c r="CR157" s="49">
        <f>SUM(CR5:CR155)</f>
        <v>1120000</v>
      </c>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f>COUNTIF(EE5:EE155,"&lt;10")</f>
        <v>38</v>
      </c>
      <c r="EF157" s="49"/>
    </row>
    <row r="158" spans="14:80" s="45" customFormat="1" ht="12.75">
      <c r="N158" s="45" t="s">
        <v>368</v>
      </c>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189"/>
      <c r="AY158" s="49">
        <f>SUM(AY$5:AY$155)</f>
        <v>14061152.801647289</v>
      </c>
      <c r="AZ158" s="49"/>
      <c r="BA158" s="49"/>
      <c r="BB158" s="49"/>
      <c r="BC158" s="49"/>
      <c r="BD158" s="49"/>
      <c r="BE158" s="49"/>
      <c r="BF158" s="49"/>
      <c r="BG158" s="49"/>
      <c r="BH158" s="49"/>
      <c r="BI158" s="49"/>
      <c r="BJ158" s="49"/>
      <c r="BK158" s="49"/>
      <c r="BL158" s="49"/>
      <c r="BM158" s="49"/>
      <c r="BN158" s="49"/>
      <c r="BO158" s="49"/>
      <c r="BP158" s="49"/>
      <c r="BQ158" s="49" t="s">
        <v>651</v>
      </c>
      <c r="BR158" s="233">
        <v>0.089</v>
      </c>
      <c r="BS158" s="233">
        <v>0.109</v>
      </c>
      <c r="BT158" s="233">
        <v>0.135</v>
      </c>
      <c r="BU158" s="49"/>
      <c r="BV158" s="49"/>
      <c r="BW158" s="49"/>
      <c r="BX158" s="49"/>
      <c r="BY158" s="49"/>
      <c r="BZ158" s="49"/>
      <c r="CB158" s="53">
        <f>27500*BU3</f>
        <v>13200000</v>
      </c>
    </row>
    <row r="159" spans="19:136" ht="12.75">
      <c r="S159" s="2">
        <f>COUNTIF(S5:S155,"&gt;0")</f>
        <v>55</v>
      </c>
      <c r="T159" s="2">
        <f>COUNTIF(T5:T155,"&gt;0")</f>
        <v>6</v>
      </c>
      <c r="AT159" s="2" t="s">
        <v>369</v>
      </c>
      <c r="AU159" s="2">
        <f>COUNTIF(AU$5:AU$155,"=0")</f>
        <v>40</v>
      </c>
      <c r="BQ159" s="45" t="s">
        <v>652</v>
      </c>
      <c r="BR159" s="234">
        <v>0.0081</v>
      </c>
      <c r="BS159" s="234">
        <v>0.0063</v>
      </c>
      <c r="BT159" s="234">
        <v>0.0106</v>
      </c>
      <c r="BX159" s="49"/>
      <c r="BY159" s="49"/>
      <c r="BZ159" s="49"/>
      <c r="CE159" s="235" t="s">
        <v>698</v>
      </c>
      <c r="CF159" s="236">
        <f>CF157/CF3</f>
        <v>519.999999999999</v>
      </c>
      <c r="CG159" s="195"/>
      <c r="CH159" s="195"/>
      <c r="CI159" s="195"/>
      <c r="CJ159" s="195"/>
      <c r="CK159" s="195"/>
      <c r="CL159" s="195"/>
      <c r="CM159" s="195"/>
      <c r="CN159" s="195"/>
      <c r="CO159" s="195"/>
      <c r="CP159" s="195"/>
      <c r="CQ159" s="195"/>
      <c r="CR159" s="195"/>
      <c r="CS159" s="195"/>
      <c r="CT159" s="195"/>
      <c r="CU159" s="195"/>
      <c r="CV159" s="195"/>
      <c r="CW159" s="195"/>
      <c r="CX159" s="195"/>
      <c r="CY159" s="195"/>
      <c r="CZ159" s="195"/>
      <c r="DA159" s="195"/>
      <c r="DB159" s="195"/>
      <c r="DC159" s="195"/>
      <c r="DD159" s="195"/>
      <c r="DE159" s="195"/>
      <c r="DF159" s="195"/>
      <c r="DG159" s="195"/>
      <c r="DH159" s="195"/>
      <c r="DI159" s="195"/>
      <c r="DJ159" s="195"/>
      <c r="DK159" s="195"/>
      <c r="DL159" s="195"/>
      <c r="DM159" s="195"/>
      <c r="DN159" s="195"/>
      <c r="DO159" s="195"/>
      <c r="DP159" s="195"/>
      <c r="DQ159" s="195"/>
      <c r="DR159" s="195"/>
      <c r="DS159" s="195"/>
      <c r="DT159" s="195"/>
      <c r="DU159" s="195"/>
      <c r="DV159" s="195"/>
      <c r="DW159" s="195"/>
      <c r="DX159" s="195"/>
      <c r="DY159" s="195"/>
      <c r="DZ159" s="195"/>
      <c r="EA159" s="195"/>
      <c r="EB159" s="195"/>
      <c r="EC159" s="195"/>
      <c r="ED159" s="195"/>
      <c r="EE159" s="195"/>
      <c r="EF159" s="195"/>
    </row>
    <row r="160" spans="46:83" ht="12.75">
      <c r="AT160" s="2" t="s">
        <v>370</v>
      </c>
      <c r="AU160" s="2">
        <f>COUNTIF(AU$5:AU$155,"&gt;0")</f>
        <v>111</v>
      </c>
      <c r="BX160" s="190"/>
      <c r="BY160" s="190"/>
      <c r="BZ160" s="190"/>
      <c r="CA160" s="1">
        <v>15000000</v>
      </c>
      <c r="CB160" s="1">
        <f>CA160/2750</f>
        <v>5454.545454545455</v>
      </c>
      <c r="CD160" s="1" t="s">
        <v>575</v>
      </c>
      <c r="CE160" s="1">
        <f>CE157/CF157</f>
        <v>1981.517241379311</v>
      </c>
    </row>
    <row r="161" spans="46:81" ht="12.75">
      <c r="AT161" s="2" t="s">
        <v>371</v>
      </c>
      <c r="AU161" s="2">
        <f>COUNTIF(AU$5:AU$155,"&lt;=20")</f>
        <v>58</v>
      </c>
      <c r="BR161" s="45" t="s">
        <v>552</v>
      </c>
      <c r="BT161" s="49">
        <f>SUM(BR157:BT157)</f>
        <v>9484.849999999991</v>
      </c>
      <c r="BU161" s="49"/>
      <c r="BV161" s="49"/>
      <c r="BW161" s="49"/>
      <c r="BX161" s="190"/>
      <c r="BY161" s="190"/>
      <c r="BZ161" s="190"/>
      <c r="CB161" s="1">
        <f>CC161/1500</f>
        <v>13333.333333333334</v>
      </c>
      <c r="CC161" s="1">
        <v>20000000</v>
      </c>
    </row>
    <row r="162" spans="46:75" ht="12.75">
      <c r="AT162" s="2" t="s">
        <v>372</v>
      </c>
      <c r="AU162" s="2">
        <f>COUNTIF(AU$5:AU$155,"&lt;=10")</f>
        <v>54</v>
      </c>
      <c r="BR162" s="45" t="s">
        <v>553</v>
      </c>
      <c r="BT162" s="190">
        <f>BR$157*BR158+BS$157*BS158+BT$157*BT158</f>
        <v>1053.0756499999989</v>
      </c>
      <c r="BU162" s="190"/>
      <c r="BV162" s="190" t="s">
        <v>559</v>
      </c>
      <c r="BW162" s="190">
        <f>BY$157/BT162</f>
        <v>-3313.6603794438893</v>
      </c>
    </row>
    <row r="163" spans="70:75" ht="12.75">
      <c r="BR163" s="45" t="s">
        <v>554</v>
      </c>
      <c r="BT163" s="190">
        <f>BR$157*BR159+BS$157*BS159+BT$157*BT159</f>
        <v>69.12620499999994</v>
      </c>
      <c r="BU163" s="190"/>
      <c r="BV163" s="190" t="s">
        <v>559</v>
      </c>
      <c r="BW163" s="190">
        <f>BY$157/BT163</f>
        <v>-50480.63983784615</v>
      </c>
    </row>
    <row r="164" spans="46:47" ht="12.75">
      <c r="AT164" s="2" t="s">
        <v>373</v>
      </c>
      <c r="AU164" s="2">
        <f>AU161-AU162</f>
        <v>4</v>
      </c>
    </row>
    <row r="165" spans="46:47" ht="12.75">
      <c r="AT165" s="2" t="s">
        <v>374</v>
      </c>
      <c r="AU165" s="2">
        <f>AU162-AU159</f>
        <v>14</v>
      </c>
    </row>
    <row r="167" spans="46:47" ht="12.75">
      <c r="AT167" s="2" t="s">
        <v>375</v>
      </c>
      <c r="AU167" s="2">
        <f>AU164+AU165</f>
        <v>18</v>
      </c>
    </row>
    <row r="168" spans="46:47" ht="12.75">
      <c r="AT168" s="2" t="s">
        <v>376</v>
      </c>
      <c r="AU168" s="51">
        <f>AU165/AU167</f>
        <v>0.7777777777777778</v>
      </c>
    </row>
  </sheetData>
  <mergeCells count="9">
    <mergeCell ref="EH6:EH10"/>
    <mergeCell ref="EH1:EH2"/>
    <mergeCell ref="P3:Q3"/>
    <mergeCell ref="S3:V3"/>
    <mergeCell ref="W3:X3"/>
    <mergeCell ref="Y3:AA3"/>
    <mergeCell ref="AB3:AC3"/>
    <mergeCell ref="AE3:AL3"/>
    <mergeCell ref="AP3:AQ3"/>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6"/>
  </sheetPr>
  <dimension ref="A1:P44"/>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43" sqref="A43:IV43"/>
    </sheetView>
  </sheetViews>
  <sheetFormatPr defaultColWidth="9.140625" defaultRowHeight="12.75"/>
  <cols>
    <col min="1" max="1" width="29.28125" style="162" customWidth="1"/>
    <col min="2" max="2" width="10.421875" style="162" customWidth="1"/>
    <col min="3" max="3" width="10.140625" style="162" bestFit="1" customWidth="1"/>
    <col min="4" max="4" width="9.28125" style="162" bestFit="1" customWidth="1"/>
    <col min="5" max="5" width="10.57421875" style="162" bestFit="1" customWidth="1"/>
    <col min="6" max="7" width="10.28125" style="162" bestFit="1" customWidth="1"/>
    <col min="8" max="8" width="9.7109375" style="162" bestFit="1" customWidth="1"/>
    <col min="9" max="10" width="10.140625" style="162" bestFit="1" customWidth="1"/>
    <col min="11" max="12" width="9.421875" style="162" bestFit="1" customWidth="1"/>
    <col min="13" max="13" width="9.8515625" style="162" bestFit="1" customWidth="1"/>
    <col min="14" max="14" width="10.57421875" style="162" bestFit="1" customWidth="1"/>
    <col min="15" max="15" width="11.28125" style="162" customWidth="1"/>
    <col min="16" max="16" width="9.28125" style="162" bestFit="1" customWidth="1"/>
    <col min="17" max="16384" width="9.140625" style="162" customWidth="1"/>
  </cols>
  <sheetData>
    <row r="1" ht="12.75">
      <c r="A1" s="162" t="s">
        <v>492</v>
      </c>
    </row>
    <row r="2" spans="1:2" ht="12.75">
      <c r="A2" s="163" t="s">
        <v>493</v>
      </c>
      <c r="B2" s="163"/>
    </row>
    <row r="3" spans="1:16" ht="12.75">
      <c r="A3" s="164"/>
      <c r="B3" s="164"/>
      <c r="C3" s="263" t="s">
        <v>494</v>
      </c>
      <c r="D3" s="264"/>
      <c r="E3" s="264" t="s">
        <v>495</v>
      </c>
      <c r="F3" s="264"/>
      <c r="G3" s="265"/>
      <c r="H3" s="263" t="s">
        <v>496</v>
      </c>
      <c r="I3" s="264"/>
      <c r="J3" s="264"/>
      <c r="K3" s="264"/>
      <c r="L3" s="265"/>
      <c r="M3" s="165" t="s">
        <v>497</v>
      </c>
      <c r="N3" s="165" t="s">
        <v>498</v>
      </c>
      <c r="O3" s="261" t="s">
        <v>499</v>
      </c>
      <c r="P3" s="166"/>
    </row>
    <row r="4" spans="1:16" ht="12.75">
      <c r="A4" s="167" t="s">
        <v>381</v>
      </c>
      <c r="B4" s="167" t="s">
        <v>500</v>
      </c>
      <c r="C4" s="167" t="s">
        <v>501</v>
      </c>
      <c r="D4" s="167" t="s">
        <v>502</v>
      </c>
      <c r="E4" s="167" t="s">
        <v>503</v>
      </c>
      <c r="F4" s="167" t="s">
        <v>504</v>
      </c>
      <c r="G4" s="167" t="s">
        <v>505</v>
      </c>
      <c r="H4" s="167" t="s">
        <v>506</v>
      </c>
      <c r="I4" s="167" t="s">
        <v>507</v>
      </c>
      <c r="J4" s="167" t="s">
        <v>508</v>
      </c>
      <c r="K4" s="167" t="s">
        <v>396</v>
      </c>
      <c r="L4" s="167" t="s">
        <v>262</v>
      </c>
      <c r="M4" s="167" t="s">
        <v>398</v>
      </c>
      <c r="N4" s="167" t="s">
        <v>509</v>
      </c>
      <c r="O4" s="262"/>
      <c r="P4" s="168"/>
    </row>
    <row r="5" spans="1:16" ht="12.75">
      <c r="A5" s="169"/>
      <c r="B5" s="170" t="s">
        <v>510</v>
      </c>
      <c r="C5" s="170" t="s">
        <v>73</v>
      </c>
      <c r="D5" s="170" t="s">
        <v>105</v>
      </c>
      <c r="E5" s="170" t="s">
        <v>114</v>
      </c>
      <c r="F5" s="170" t="s">
        <v>144</v>
      </c>
      <c r="G5" s="170" t="s">
        <v>155</v>
      </c>
      <c r="H5" s="170" t="s">
        <v>172</v>
      </c>
      <c r="I5" s="170" t="s">
        <v>186</v>
      </c>
      <c r="J5" s="170" t="s">
        <v>211</v>
      </c>
      <c r="K5" s="170" t="s">
        <v>243</v>
      </c>
      <c r="L5" s="170" t="s">
        <v>263</v>
      </c>
      <c r="M5" s="170" t="s">
        <v>270</v>
      </c>
      <c r="N5" s="170" t="s">
        <v>299</v>
      </c>
      <c r="O5" s="171"/>
      <c r="P5" s="170"/>
    </row>
    <row r="6" spans="1:16" ht="12.75">
      <c r="A6" s="172" t="s">
        <v>511</v>
      </c>
      <c r="B6" s="38" t="s">
        <v>512</v>
      </c>
      <c r="C6" s="173">
        <f>'T18'!D6</f>
        <v>14825</v>
      </c>
      <c r="D6" s="173">
        <f>'T18'!E6</f>
        <v>298</v>
      </c>
      <c r="E6" s="173">
        <f>'T18'!G6</f>
        <v>33928</v>
      </c>
      <c r="F6" s="173">
        <f>'T18'!H6</f>
        <v>1840</v>
      </c>
      <c r="G6" s="173">
        <f>'T18'!I6</f>
        <v>2446</v>
      </c>
      <c r="H6" s="173">
        <f>'T18'!K6</f>
        <v>9316</v>
      </c>
      <c r="I6" s="173">
        <f>'T18'!L6</f>
        <v>72824</v>
      </c>
      <c r="J6" s="173">
        <f>'T18'!M6</f>
        <v>46065</v>
      </c>
      <c r="K6" s="173">
        <f>'T18'!N6</f>
        <v>556</v>
      </c>
      <c r="L6" s="173">
        <f>'T18'!O6</f>
        <v>583</v>
      </c>
      <c r="M6" s="173">
        <f>'T18'!Q6</f>
        <v>1440</v>
      </c>
      <c r="N6" s="173">
        <f>'T18'!R6</f>
        <v>24908</v>
      </c>
      <c r="O6" s="174">
        <f>SUM(C6:N6)</f>
        <v>209029</v>
      </c>
      <c r="P6" s="223">
        <f>SUM(O6,O12,O20)/(SUM(O6:O14,O20:O22)-O27)</f>
        <v>0.11882498200647854</v>
      </c>
    </row>
    <row r="7" spans="1:15" s="179" customFormat="1" ht="12.75">
      <c r="A7" s="175" t="s">
        <v>456</v>
      </c>
      <c r="B7" s="176" t="s">
        <v>512</v>
      </c>
      <c r="C7" s="177">
        <f>'T18'!D19</f>
        <v>248081</v>
      </c>
      <c r="D7" s="177">
        <f>'T18'!E19</f>
        <v>12372</v>
      </c>
      <c r="E7" s="177">
        <f>'T18'!G19</f>
        <v>288183</v>
      </c>
      <c r="F7" s="177">
        <f>'T18'!H19</f>
        <v>39974</v>
      </c>
      <c r="G7" s="177">
        <f>'T18'!I19</f>
        <v>139692</v>
      </c>
      <c r="H7" s="177">
        <f>'T18'!K19</f>
        <v>114572</v>
      </c>
      <c r="I7" s="177">
        <f>'T18'!L19</f>
        <v>626138</v>
      </c>
      <c r="J7" s="177">
        <f>'T18'!M19</f>
        <v>470959</v>
      </c>
      <c r="K7" s="177">
        <f>'T18'!N19</f>
        <v>16921</v>
      </c>
      <c r="L7" s="177">
        <f>'T18'!O19</f>
        <v>16573</v>
      </c>
      <c r="M7" s="177">
        <f>'T18'!Q19</f>
        <v>97995</v>
      </c>
      <c r="N7" s="177">
        <f>'T18'!R19</f>
        <v>153884</v>
      </c>
      <c r="O7" s="178">
        <f aca="true" t="shared" si="0" ref="O7:O22">SUM(C7:N7)</f>
        <v>2225344</v>
      </c>
    </row>
    <row r="8" spans="1:15" s="179" customFormat="1" ht="12.75">
      <c r="A8" s="175" t="s">
        <v>462</v>
      </c>
      <c r="B8" s="176" t="s">
        <v>512</v>
      </c>
      <c r="C8" s="177">
        <f>'T18'!D27</f>
        <v>0</v>
      </c>
      <c r="D8" s="177">
        <f>'T18'!E27</f>
        <v>0</v>
      </c>
      <c r="E8" s="177">
        <f>'T18'!G27</f>
        <v>418</v>
      </c>
      <c r="F8" s="177">
        <f>'T18'!H27</f>
        <v>802</v>
      </c>
      <c r="G8" s="177">
        <f>'T18'!I27</f>
        <v>233</v>
      </c>
      <c r="H8" s="177">
        <f>'T18'!K27</f>
        <v>1041</v>
      </c>
      <c r="I8" s="177">
        <f>'T18'!L27</f>
        <v>1079</v>
      </c>
      <c r="J8" s="177">
        <f>'T18'!M27</f>
        <v>1790</v>
      </c>
      <c r="K8" s="177">
        <f>'T18'!N27</f>
        <v>0</v>
      </c>
      <c r="L8" s="177">
        <f>'T18'!O27</f>
        <v>0</v>
      </c>
      <c r="M8" s="177">
        <f>'T18'!Q27</f>
        <v>110</v>
      </c>
      <c r="N8" s="177">
        <f>'T18'!R27</f>
        <v>694</v>
      </c>
      <c r="O8" s="178">
        <f t="shared" si="0"/>
        <v>6167</v>
      </c>
    </row>
    <row r="9" spans="1:15" s="179" customFormat="1" ht="12.75">
      <c r="A9" s="175" t="s">
        <v>463</v>
      </c>
      <c r="B9" s="176" t="s">
        <v>512</v>
      </c>
      <c r="C9" s="177">
        <f>'T18'!D28</f>
        <v>35374</v>
      </c>
      <c r="D9" s="177">
        <f>'T18'!E28</f>
        <v>0</v>
      </c>
      <c r="E9" s="177">
        <f>'T18'!G28</f>
        <v>57432</v>
      </c>
      <c r="F9" s="177">
        <f>'T18'!H28</f>
        <v>11057</v>
      </c>
      <c r="G9" s="177">
        <f>'T18'!I28</f>
        <v>11333</v>
      </c>
      <c r="H9" s="177">
        <f>'T18'!K28</f>
        <v>16018</v>
      </c>
      <c r="I9" s="177">
        <f>'T18'!L28</f>
        <v>127406</v>
      </c>
      <c r="J9" s="177">
        <f>'T18'!M28</f>
        <v>131156</v>
      </c>
      <c r="K9" s="177">
        <f>'T18'!N28</f>
        <v>2446</v>
      </c>
      <c r="L9" s="177">
        <f>'T18'!O28</f>
        <v>1998</v>
      </c>
      <c r="M9" s="177">
        <f>'T18'!Q28</f>
        <v>10962</v>
      </c>
      <c r="N9" s="177">
        <f>'T18'!R28</f>
        <v>159044</v>
      </c>
      <c r="O9" s="178">
        <f t="shared" si="0"/>
        <v>564226</v>
      </c>
    </row>
    <row r="10" spans="1:15" ht="12.75">
      <c r="A10" s="180" t="s">
        <v>464</v>
      </c>
      <c r="B10" s="38" t="s">
        <v>512</v>
      </c>
      <c r="C10" s="173">
        <f>'T18'!D29</f>
        <v>3485</v>
      </c>
      <c r="D10" s="173">
        <f>'T18'!E29</f>
        <v>631</v>
      </c>
      <c r="E10" s="173">
        <f>'T18'!G29</f>
        <v>3220</v>
      </c>
      <c r="F10" s="173">
        <f>'T18'!H29</f>
        <v>505</v>
      </c>
      <c r="G10" s="173">
        <f>'T18'!I29</f>
        <v>337</v>
      </c>
      <c r="H10" s="173">
        <f>'T18'!K29</f>
        <v>43</v>
      </c>
      <c r="I10" s="173">
        <f>'T18'!L29</f>
        <v>11987</v>
      </c>
      <c r="J10" s="173">
        <f>'T18'!M29</f>
        <v>2853</v>
      </c>
      <c r="K10" s="173">
        <f>'T18'!N29</f>
        <v>151</v>
      </c>
      <c r="L10" s="173">
        <f>'T18'!O29</f>
        <v>11</v>
      </c>
      <c r="M10" s="173">
        <f>'T18'!Q29</f>
        <v>561</v>
      </c>
      <c r="N10" s="173">
        <f>'T18'!R29</f>
        <v>149</v>
      </c>
      <c r="O10" s="174">
        <f t="shared" si="0"/>
        <v>23933</v>
      </c>
    </row>
    <row r="11" spans="1:15" s="179" customFormat="1" ht="12.75">
      <c r="A11" s="181" t="s">
        <v>465</v>
      </c>
      <c r="B11" s="176" t="s">
        <v>512</v>
      </c>
      <c r="C11" s="177">
        <f>'T18'!D30</f>
        <v>170605</v>
      </c>
      <c r="D11" s="177">
        <f>'T18'!E30</f>
        <v>9743</v>
      </c>
      <c r="E11" s="177">
        <f>'T18'!G30</f>
        <v>198895</v>
      </c>
      <c r="F11" s="177">
        <f>'T18'!H30</f>
        <v>41678</v>
      </c>
      <c r="G11" s="177">
        <f>'T18'!I30</f>
        <v>90995</v>
      </c>
      <c r="H11" s="177">
        <f>'T18'!K30</f>
        <v>59053</v>
      </c>
      <c r="I11" s="177">
        <f>'T18'!L30</f>
        <v>337171</v>
      </c>
      <c r="J11" s="177">
        <f>'T18'!M30</f>
        <v>247789</v>
      </c>
      <c r="K11" s="177">
        <f>'T18'!N30</f>
        <v>15825</v>
      </c>
      <c r="L11" s="177">
        <f>'T18'!O30</f>
        <v>9632</v>
      </c>
      <c r="M11" s="177">
        <f>'T18'!Q30</f>
        <v>62374</v>
      </c>
      <c r="N11" s="177">
        <f>'T18'!R30</f>
        <v>199588</v>
      </c>
      <c r="O11" s="178">
        <f t="shared" si="0"/>
        <v>1443348</v>
      </c>
    </row>
    <row r="12" spans="1:15" ht="12.75">
      <c r="A12" s="182" t="s">
        <v>469</v>
      </c>
      <c r="B12" s="38" t="s">
        <v>512</v>
      </c>
      <c r="C12" s="173">
        <f>'T18'!D34</f>
        <v>38624</v>
      </c>
      <c r="D12" s="173">
        <f>'T18'!E34</f>
        <v>305</v>
      </c>
      <c r="E12" s="173">
        <f>'T18'!G34</f>
        <v>14125</v>
      </c>
      <c r="F12" s="173">
        <f>'T18'!H34</f>
        <v>3859</v>
      </c>
      <c r="G12" s="173">
        <f>'T18'!I34</f>
        <v>2120</v>
      </c>
      <c r="H12" s="173">
        <f>'T18'!K34</f>
        <v>2172</v>
      </c>
      <c r="I12" s="173">
        <f>'T18'!L34</f>
        <v>57131</v>
      </c>
      <c r="J12" s="173">
        <f>'T18'!M34</f>
        <v>46517</v>
      </c>
      <c r="K12" s="173">
        <f>'T18'!N34</f>
        <v>1814</v>
      </c>
      <c r="L12" s="173">
        <f>'T18'!O34</f>
        <v>81</v>
      </c>
      <c r="M12" s="173">
        <f>'T18'!Q34</f>
        <v>5536</v>
      </c>
      <c r="N12" s="173">
        <f>'T18'!R34</f>
        <v>56790</v>
      </c>
      <c r="O12" s="174">
        <f t="shared" si="0"/>
        <v>229074</v>
      </c>
    </row>
    <row r="13" spans="1:15" ht="12.75">
      <c r="A13" s="182" t="s">
        <v>513</v>
      </c>
      <c r="B13" s="38" t="s">
        <v>512</v>
      </c>
      <c r="C13" s="173">
        <f>'T18'!D38</f>
        <v>4718</v>
      </c>
      <c r="D13" s="173">
        <f>'T18'!E38</f>
        <v>0</v>
      </c>
      <c r="E13" s="173">
        <f>'T18'!G38</f>
        <v>12458</v>
      </c>
      <c r="F13" s="173">
        <f>'T18'!H38</f>
        <v>0</v>
      </c>
      <c r="G13" s="173">
        <f>'T18'!I38</f>
        <v>824</v>
      </c>
      <c r="H13" s="173">
        <f>'T18'!K38</f>
        <v>1759</v>
      </c>
      <c r="I13" s="173">
        <f>'T18'!L38</f>
        <v>72477</v>
      </c>
      <c r="J13" s="173">
        <f>'T18'!M38</f>
        <v>45646</v>
      </c>
      <c r="K13" s="173">
        <f>'T18'!N38</f>
        <v>0</v>
      </c>
      <c r="L13" s="173">
        <f>'T18'!O38</f>
        <v>-9</v>
      </c>
      <c r="M13" s="173">
        <f>'T18'!Q38</f>
        <v>267</v>
      </c>
      <c r="N13" s="173">
        <f>'T18'!R38</f>
        <v>3808</v>
      </c>
      <c r="O13" s="174">
        <f t="shared" si="0"/>
        <v>141948</v>
      </c>
    </row>
    <row r="14" spans="1:15" ht="12.75">
      <c r="A14" s="182" t="s">
        <v>476</v>
      </c>
      <c r="B14" s="38" t="s">
        <v>512</v>
      </c>
      <c r="C14" s="173">
        <f>'T18'!D41</f>
        <v>297</v>
      </c>
      <c r="D14" s="173">
        <f>'T18'!E41</f>
        <v>248</v>
      </c>
      <c r="E14" s="173">
        <f>'T18'!G41</f>
        <v>1733</v>
      </c>
      <c r="F14" s="173">
        <f>'T18'!H41</f>
        <v>0</v>
      </c>
      <c r="G14" s="173">
        <f>'T18'!I41</f>
        <v>523</v>
      </c>
      <c r="H14" s="173">
        <f>'T18'!K41</f>
        <v>1148</v>
      </c>
      <c r="I14" s="173">
        <f>'T18'!L41</f>
        <v>6587</v>
      </c>
      <c r="J14" s="173">
        <f>'T18'!M41</f>
        <v>709</v>
      </c>
      <c r="K14" s="173">
        <f>'T18'!N41</f>
        <v>2297</v>
      </c>
      <c r="L14" s="173">
        <f>'T18'!O41</f>
        <v>0</v>
      </c>
      <c r="M14" s="173">
        <f>'T18'!Q41</f>
        <v>-1</v>
      </c>
      <c r="N14" s="173">
        <f>'T18'!R41</f>
        <v>468</v>
      </c>
      <c r="O14" s="174">
        <f t="shared" si="0"/>
        <v>14009</v>
      </c>
    </row>
    <row r="15" spans="1:15" ht="12.75">
      <c r="A15" s="182" t="s">
        <v>27</v>
      </c>
      <c r="B15" s="38" t="s">
        <v>512</v>
      </c>
      <c r="C15" s="173">
        <f>'T18'!D42</f>
        <v>3977</v>
      </c>
      <c r="D15" s="173">
        <f>'T18'!E42</f>
        <v>2238</v>
      </c>
      <c r="E15" s="173">
        <f>'T18'!G42</f>
        <v>2020</v>
      </c>
      <c r="F15" s="173">
        <f>'T18'!H42</f>
        <v>0</v>
      </c>
      <c r="G15" s="173">
        <f>'T18'!I42</f>
        <v>3138</v>
      </c>
      <c r="H15" s="173">
        <f>'T18'!K42</f>
        <v>559</v>
      </c>
      <c r="I15" s="173">
        <f>'T18'!L42</f>
        <v>18244</v>
      </c>
      <c r="J15" s="173">
        <f>'T18'!M42</f>
        <v>15077</v>
      </c>
      <c r="K15" s="173">
        <f>'T18'!N42</f>
        <v>9130</v>
      </c>
      <c r="L15" s="173">
        <f>'T18'!O42</f>
        <v>0</v>
      </c>
      <c r="M15" s="173">
        <f>'T18'!Q42</f>
        <v>0</v>
      </c>
      <c r="N15" s="173">
        <f>'T18'!R42</f>
        <v>6855</v>
      </c>
      <c r="O15" s="174">
        <f t="shared" si="0"/>
        <v>61238</v>
      </c>
    </row>
    <row r="16" spans="1:15" ht="12.75">
      <c r="A16" s="182" t="s">
        <v>477</v>
      </c>
      <c r="B16" s="38" t="s">
        <v>512</v>
      </c>
      <c r="C16" s="173">
        <v>0</v>
      </c>
      <c r="D16" s="173">
        <v>1</v>
      </c>
      <c r="E16" s="173">
        <v>3</v>
      </c>
      <c r="F16" s="173">
        <v>4</v>
      </c>
      <c r="G16" s="173">
        <v>5</v>
      </c>
      <c r="H16" s="173">
        <v>7</v>
      </c>
      <c r="I16" s="173">
        <v>8</v>
      </c>
      <c r="J16" s="173">
        <v>9</v>
      </c>
      <c r="K16" s="173">
        <v>10</v>
      </c>
      <c r="L16" s="173">
        <v>11</v>
      </c>
      <c r="M16" s="173">
        <v>13</v>
      </c>
      <c r="N16" s="173">
        <v>14</v>
      </c>
      <c r="O16" s="174">
        <f t="shared" si="0"/>
        <v>85</v>
      </c>
    </row>
    <row r="17" spans="1:15" ht="12.75">
      <c r="A17" s="182" t="s">
        <v>514</v>
      </c>
      <c r="B17" s="38" t="s">
        <v>512</v>
      </c>
      <c r="C17" s="173">
        <f>'T18'!D45</f>
        <v>6294</v>
      </c>
      <c r="D17" s="173">
        <f>'T18'!E45</f>
        <v>0</v>
      </c>
      <c r="E17" s="173">
        <f>'T18'!G45</f>
        <v>23095</v>
      </c>
      <c r="F17" s="173">
        <f>'T18'!H45</f>
        <v>6492</v>
      </c>
      <c r="G17" s="173">
        <f>'T18'!I45</f>
        <v>8231</v>
      </c>
      <c r="H17" s="173">
        <f>'T18'!K45</f>
        <v>318</v>
      </c>
      <c r="I17" s="173">
        <f>'T18'!L45</f>
        <v>68560</v>
      </c>
      <c r="J17" s="173">
        <f>'T18'!M45</f>
        <v>53143</v>
      </c>
      <c r="K17" s="173">
        <f>'T18'!N45</f>
        <v>694</v>
      </c>
      <c r="L17" s="173">
        <f>'T18'!O45</f>
        <v>0</v>
      </c>
      <c r="M17" s="173">
        <f>'T18'!Q45</f>
        <v>4059</v>
      </c>
      <c r="N17" s="173">
        <f>'T18'!R45</f>
        <v>46616</v>
      </c>
      <c r="O17" s="174">
        <f t="shared" si="0"/>
        <v>217502</v>
      </c>
    </row>
    <row r="18" spans="1:15" ht="12.75">
      <c r="A18" s="182" t="s">
        <v>515</v>
      </c>
      <c r="B18" s="38" t="s">
        <v>512</v>
      </c>
      <c r="C18" s="173">
        <f>'T18'!D46</f>
        <v>11460</v>
      </c>
      <c r="D18" s="173">
        <f>'T18'!E46</f>
        <v>285</v>
      </c>
      <c r="E18" s="173">
        <f>'T18'!G46</f>
        <v>12797</v>
      </c>
      <c r="F18" s="173">
        <f>'T18'!H46</f>
        <v>2113</v>
      </c>
      <c r="G18" s="173">
        <f>'T18'!I46</f>
        <v>2439</v>
      </c>
      <c r="H18" s="173">
        <f>'T18'!K46</f>
        <v>2730</v>
      </c>
      <c r="I18" s="173">
        <f>'T18'!L46</f>
        <v>24336</v>
      </c>
      <c r="J18" s="173">
        <f>'T18'!M46</f>
        <v>13429</v>
      </c>
      <c r="K18" s="173">
        <f>'T18'!N46</f>
        <v>218</v>
      </c>
      <c r="L18" s="173">
        <f>'T18'!O46</f>
        <v>368</v>
      </c>
      <c r="M18" s="173">
        <f>'T18'!Q46</f>
        <v>2652</v>
      </c>
      <c r="N18" s="173">
        <f>'T18'!R46</f>
        <v>14401</v>
      </c>
      <c r="O18" s="174">
        <f t="shared" si="0"/>
        <v>87228</v>
      </c>
    </row>
    <row r="19" spans="1:15" ht="12.75">
      <c r="A19" s="182" t="s">
        <v>516</v>
      </c>
      <c r="B19" s="38" t="s">
        <v>512</v>
      </c>
      <c r="C19" s="173">
        <f>'T18'!D47</f>
        <v>28711</v>
      </c>
      <c r="D19" s="173">
        <f>'T18'!E47</f>
        <v>7127</v>
      </c>
      <c r="E19" s="173">
        <f>'T18'!G47</f>
        <v>48788</v>
      </c>
      <c r="F19" s="173">
        <f>'T18'!H47</f>
        <v>14522</v>
      </c>
      <c r="G19" s="173">
        <f>'T18'!I47</f>
        <v>6732</v>
      </c>
      <c r="H19" s="173">
        <f>'T18'!K47</f>
        <v>6750</v>
      </c>
      <c r="I19" s="173">
        <f>'T18'!L47</f>
        <v>9542</v>
      </c>
      <c r="J19" s="173">
        <f>'T18'!M47</f>
        <v>10502</v>
      </c>
      <c r="K19" s="173">
        <f>'T18'!N47</f>
        <v>16154</v>
      </c>
      <c r="L19" s="173">
        <f>'T18'!O47</f>
        <v>1923</v>
      </c>
      <c r="M19" s="173">
        <f>'T18'!Q47</f>
        <v>19445</v>
      </c>
      <c r="N19" s="173">
        <f>'T18'!R47</f>
        <v>16540</v>
      </c>
      <c r="O19" s="174">
        <f t="shared" si="0"/>
        <v>186736</v>
      </c>
    </row>
    <row r="20" spans="1:15" ht="12.75">
      <c r="A20" s="182" t="s">
        <v>482</v>
      </c>
      <c r="B20" s="38" t="s">
        <v>512</v>
      </c>
      <c r="C20" s="173">
        <f>'T18'!D48</f>
        <v>23273</v>
      </c>
      <c r="D20" s="173">
        <f>'T18'!E48</f>
        <v>720</v>
      </c>
      <c r="E20" s="173">
        <f>'T18'!G48</f>
        <v>32373</v>
      </c>
      <c r="F20" s="173">
        <f>'T18'!H48</f>
        <v>7059</v>
      </c>
      <c r="G20" s="173">
        <f>'T18'!I48</f>
        <v>11000</v>
      </c>
      <c r="H20" s="173">
        <f>'T18'!K48</f>
        <v>10021</v>
      </c>
      <c r="I20" s="173">
        <f>'T18'!L48</f>
        <v>58721</v>
      </c>
      <c r="J20" s="173">
        <f>'T18'!M48</f>
        <v>44492</v>
      </c>
      <c r="K20" s="173">
        <f>'T18'!N48</f>
        <v>2281</v>
      </c>
      <c r="L20" s="173">
        <f>'T18'!O48</f>
        <v>1284</v>
      </c>
      <c r="M20" s="173">
        <f>'T18'!Q48</f>
        <v>8280</v>
      </c>
      <c r="N20" s="173">
        <f>'T18'!R48</f>
        <v>50010</v>
      </c>
      <c r="O20" s="174">
        <f t="shared" si="0"/>
        <v>249514</v>
      </c>
    </row>
    <row r="21" spans="1:15" ht="12.75">
      <c r="A21" s="182" t="s">
        <v>517</v>
      </c>
      <c r="B21" s="38" t="s">
        <v>512</v>
      </c>
      <c r="C21" s="173">
        <f>'T18'!D50</f>
        <v>0</v>
      </c>
      <c r="D21" s="173">
        <f>'T18'!E50</f>
        <v>0</v>
      </c>
      <c r="E21" s="173">
        <f>'T18'!G50</f>
        <v>0</v>
      </c>
      <c r="F21" s="173">
        <f>'T18'!H50</f>
        <v>0</v>
      </c>
      <c r="G21" s="173">
        <f>'T18'!I50</f>
        <v>0</v>
      </c>
      <c r="H21" s="173">
        <f>'T18'!K50</f>
        <v>0</v>
      </c>
      <c r="I21" s="173">
        <f>'T18'!L50</f>
        <v>4</v>
      </c>
      <c r="J21" s="173">
        <f>'T18'!M50</f>
        <v>0</v>
      </c>
      <c r="K21" s="173">
        <f>'T18'!N50</f>
        <v>0</v>
      </c>
      <c r="L21" s="173">
        <f>'T18'!O50</f>
        <v>0</v>
      </c>
      <c r="M21" s="173">
        <f>'T18'!Q50</f>
        <v>68</v>
      </c>
      <c r="N21" s="173">
        <f>'T18'!R50</f>
        <v>28</v>
      </c>
      <c r="O21" s="174">
        <f t="shared" si="0"/>
        <v>100</v>
      </c>
    </row>
    <row r="22" spans="1:15" ht="12.75">
      <c r="A22" s="182" t="s">
        <v>518</v>
      </c>
      <c r="B22" s="38" t="s">
        <v>512</v>
      </c>
      <c r="C22" s="173">
        <f>'T18'!D51</f>
        <v>421</v>
      </c>
      <c r="D22" s="173">
        <f>'T18'!E51</f>
        <v>130</v>
      </c>
      <c r="E22" s="173">
        <f>'T18'!G51</f>
        <v>3597</v>
      </c>
      <c r="F22" s="173">
        <f>'T18'!H51</f>
        <v>1052</v>
      </c>
      <c r="G22" s="173">
        <f>'T18'!I51</f>
        <v>1104</v>
      </c>
      <c r="H22" s="173">
        <f>'T18'!K51</f>
        <v>703</v>
      </c>
      <c r="I22" s="173">
        <f>'T18'!L51</f>
        <v>6816</v>
      </c>
      <c r="J22" s="173">
        <f>'T18'!M51</f>
        <v>3778</v>
      </c>
      <c r="K22" s="173">
        <f>'T18'!N51</f>
        <v>75</v>
      </c>
      <c r="L22" s="173">
        <f>'T18'!O51</f>
        <v>0</v>
      </c>
      <c r="M22" s="173">
        <f>'T18'!Q51</f>
        <v>773</v>
      </c>
      <c r="N22" s="173">
        <f>'T18'!R51</f>
        <v>2817</v>
      </c>
      <c r="O22" s="174">
        <f t="shared" si="0"/>
        <v>21266</v>
      </c>
    </row>
    <row r="23" spans="1:15" ht="12.75">
      <c r="A23" s="179" t="s">
        <v>519</v>
      </c>
      <c r="O23" s="174"/>
    </row>
    <row r="26" spans="1:7" ht="12.75">
      <c r="A26" s="182" t="s">
        <v>520</v>
      </c>
      <c r="B26" s="179"/>
      <c r="F26" s="183"/>
      <c r="G26" s="183"/>
    </row>
    <row r="27" spans="1:15" ht="12.75">
      <c r="A27" s="162" t="s">
        <v>521</v>
      </c>
      <c r="B27" s="38"/>
      <c r="C27" s="183">
        <v>-45894</v>
      </c>
      <c r="D27" s="183">
        <v>-12</v>
      </c>
      <c r="E27" s="183">
        <v>-154446</v>
      </c>
      <c r="F27" s="183">
        <v>-40257</v>
      </c>
      <c r="G27" s="183">
        <v>-193</v>
      </c>
      <c r="H27" s="183">
        <v>-9369</v>
      </c>
      <c r="I27" s="183">
        <v>-41537</v>
      </c>
      <c r="J27" s="183">
        <v>-11813</v>
      </c>
      <c r="K27" s="183">
        <v>-191</v>
      </c>
      <c r="L27" s="183">
        <v>-7683</v>
      </c>
      <c r="M27" s="183">
        <v>-2302</v>
      </c>
      <c r="N27" s="183">
        <v>-345150</v>
      </c>
      <c r="O27" s="174">
        <f>SUM(C27:N27)</f>
        <v>-658847</v>
      </c>
    </row>
    <row r="28" spans="1:15" ht="12.75">
      <c r="A28" s="162" t="s">
        <v>522</v>
      </c>
      <c r="B28" s="38"/>
      <c r="C28" s="183">
        <v>-1664</v>
      </c>
      <c r="D28" s="183">
        <v>0</v>
      </c>
      <c r="E28" s="183">
        <v>-47</v>
      </c>
      <c r="F28" s="183">
        <v>0</v>
      </c>
      <c r="G28" s="183">
        <v>0</v>
      </c>
      <c r="H28" s="183">
        <v>9</v>
      </c>
      <c r="I28" s="183">
        <v>0</v>
      </c>
      <c r="J28" s="183">
        <v>0</v>
      </c>
      <c r="K28" s="183">
        <v>0</v>
      </c>
      <c r="L28" s="183">
        <v>0</v>
      </c>
      <c r="M28" s="183">
        <v>0</v>
      </c>
      <c r="N28" s="183">
        <v>0</v>
      </c>
      <c r="O28" s="174">
        <f>SUM(C28:N28)</f>
        <v>-1702</v>
      </c>
    </row>
    <row r="29" spans="2:15" ht="12.75">
      <c r="B29" s="38"/>
      <c r="C29" s="183"/>
      <c r="D29" s="183"/>
      <c r="E29" s="183"/>
      <c r="F29" s="183"/>
      <c r="G29" s="183"/>
      <c r="H29" s="183"/>
      <c r="I29" s="183"/>
      <c r="J29" s="183"/>
      <c r="K29" s="183"/>
      <c r="L29" s="183"/>
      <c r="M29" s="183"/>
      <c r="N29" s="183"/>
      <c r="O29" s="174"/>
    </row>
    <row r="30" spans="2:15" ht="12.75">
      <c r="B30" s="38"/>
      <c r="C30" s="183"/>
      <c r="D30" s="183"/>
      <c r="E30" s="183"/>
      <c r="F30" s="183"/>
      <c r="G30" s="183"/>
      <c r="H30" s="183"/>
      <c r="I30" s="183"/>
      <c r="J30" s="183"/>
      <c r="K30" s="183"/>
      <c r="L30" s="183"/>
      <c r="M30" s="183"/>
      <c r="N30" s="183"/>
      <c r="O30" s="174"/>
    </row>
    <row r="31" ht="12.75">
      <c r="A31" s="162" t="s">
        <v>523</v>
      </c>
    </row>
    <row r="32" spans="1:16" ht="12.75">
      <c r="A32" s="164"/>
      <c r="B32" s="164"/>
      <c r="C32" s="263" t="s">
        <v>494</v>
      </c>
      <c r="D32" s="264"/>
      <c r="E32" s="264" t="s">
        <v>495</v>
      </c>
      <c r="F32" s="264"/>
      <c r="G32" s="265"/>
      <c r="H32" s="263" t="s">
        <v>496</v>
      </c>
      <c r="I32" s="264"/>
      <c r="J32" s="264"/>
      <c r="K32" s="264"/>
      <c r="L32" s="265"/>
      <c r="M32" s="165" t="s">
        <v>497</v>
      </c>
      <c r="N32" s="165" t="s">
        <v>498</v>
      </c>
      <c r="O32" s="261" t="s">
        <v>499</v>
      </c>
      <c r="P32" s="166" t="s">
        <v>524</v>
      </c>
    </row>
    <row r="33" spans="1:16" ht="12.75">
      <c r="A33" s="167" t="s">
        <v>381</v>
      </c>
      <c r="B33" s="167" t="s">
        <v>500</v>
      </c>
      <c r="C33" s="167" t="s">
        <v>501</v>
      </c>
      <c r="D33" s="167" t="s">
        <v>502</v>
      </c>
      <c r="E33" s="167" t="s">
        <v>503</v>
      </c>
      <c r="F33" s="167" t="s">
        <v>504</v>
      </c>
      <c r="G33" s="167" t="s">
        <v>505</v>
      </c>
      <c r="H33" s="167" t="s">
        <v>506</v>
      </c>
      <c r="I33" s="167" t="s">
        <v>507</v>
      </c>
      <c r="J33" s="167" t="s">
        <v>508</v>
      </c>
      <c r="K33" s="167" t="s">
        <v>396</v>
      </c>
      <c r="L33" s="167" t="s">
        <v>262</v>
      </c>
      <c r="M33" s="167" t="s">
        <v>398</v>
      </c>
      <c r="N33" s="167" t="s">
        <v>509</v>
      </c>
      <c r="O33" s="262"/>
      <c r="P33" s="168" t="s">
        <v>525</v>
      </c>
    </row>
    <row r="34" spans="1:16" ht="12.75">
      <c r="A34" s="169"/>
      <c r="B34" s="170" t="s">
        <v>510</v>
      </c>
      <c r="C34" s="170" t="s">
        <v>73</v>
      </c>
      <c r="D34" s="170" t="s">
        <v>105</v>
      </c>
      <c r="E34" s="170" t="s">
        <v>114</v>
      </c>
      <c r="F34" s="170" t="s">
        <v>144</v>
      </c>
      <c r="G34" s="170" t="s">
        <v>155</v>
      </c>
      <c r="H34" s="170" t="s">
        <v>172</v>
      </c>
      <c r="I34" s="170" t="s">
        <v>186</v>
      </c>
      <c r="J34" s="170" t="s">
        <v>211</v>
      </c>
      <c r="K34" s="170" t="s">
        <v>243</v>
      </c>
      <c r="L34" s="170" t="s">
        <v>263</v>
      </c>
      <c r="M34" s="170" t="s">
        <v>270</v>
      </c>
      <c r="N34" s="170" t="s">
        <v>299</v>
      </c>
      <c r="O34" s="171"/>
      <c r="P34" s="170" t="s">
        <v>363</v>
      </c>
    </row>
    <row r="35" spans="1:16" ht="12.75">
      <c r="A35" s="175" t="s">
        <v>526</v>
      </c>
      <c r="C35" s="183">
        <f aca="true" t="shared" si="1" ref="C35:N35">C7-C27</f>
        <v>293975</v>
      </c>
      <c r="D35" s="183">
        <f t="shared" si="1"/>
        <v>12384</v>
      </c>
      <c r="E35" s="183">
        <f t="shared" si="1"/>
        <v>442629</v>
      </c>
      <c r="F35" s="183">
        <f t="shared" si="1"/>
        <v>80231</v>
      </c>
      <c r="G35" s="183">
        <f t="shared" si="1"/>
        <v>139885</v>
      </c>
      <c r="H35" s="183">
        <f t="shared" si="1"/>
        <v>123941</v>
      </c>
      <c r="I35" s="183">
        <f t="shared" si="1"/>
        <v>667675</v>
      </c>
      <c r="J35" s="183">
        <f t="shared" si="1"/>
        <v>482772</v>
      </c>
      <c r="K35" s="183">
        <f t="shared" si="1"/>
        <v>17112</v>
      </c>
      <c r="L35" s="183">
        <f t="shared" si="1"/>
        <v>24256</v>
      </c>
      <c r="M35" s="183">
        <f t="shared" si="1"/>
        <v>100297</v>
      </c>
      <c r="N35" s="183">
        <f t="shared" si="1"/>
        <v>499034</v>
      </c>
      <c r="O35" s="174">
        <f>SUM(C35:N35)</f>
        <v>2884191</v>
      </c>
      <c r="P35" s="50">
        <f>O35/SUM(O$35:O$38)</f>
        <v>0.5886543770412239</v>
      </c>
    </row>
    <row r="36" spans="1:16" ht="12.75">
      <c r="A36" s="181" t="s">
        <v>465</v>
      </c>
      <c r="C36" s="183">
        <f>C11</f>
        <v>170605</v>
      </c>
      <c r="D36" s="183">
        <f aca="true" t="shared" si="2" ref="D36:N36">D11</f>
        <v>9743</v>
      </c>
      <c r="E36" s="183">
        <f t="shared" si="2"/>
        <v>198895</v>
      </c>
      <c r="F36" s="183">
        <f t="shared" si="2"/>
        <v>41678</v>
      </c>
      <c r="G36" s="183">
        <f t="shared" si="2"/>
        <v>90995</v>
      </c>
      <c r="H36" s="183">
        <f t="shared" si="2"/>
        <v>59053</v>
      </c>
      <c r="I36" s="183">
        <f t="shared" si="2"/>
        <v>337171</v>
      </c>
      <c r="J36" s="183">
        <f t="shared" si="2"/>
        <v>247789</v>
      </c>
      <c r="K36" s="183">
        <f t="shared" si="2"/>
        <v>15825</v>
      </c>
      <c r="L36" s="183">
        <f t="shared" si="2"/>
        <v>9632</v>
      </c>
      <c r="M36" s="183">
        <f t="shared" si="2"/>
        <v>62374</v>
      </c>
      <c r="N36" s="183">
        <f t="shared" si="2"/>
        <v>199588</v>
      </c>
      <c r="O36" s="174">
        <f>SUM(C36:N36)</f>
        <v>1443348</v>
      </c>
      <c r="P36" s="50">
        <f>O36/SUM(O$35:O$38)</f>
        <v>0.2945828198596058</v>
      </c>
    </row>
    <row r="37" spans="1:16" ht="12.75">
      <c r="A37" s="175" t="s">
        <v>462</v>
      </c>
      <c r="C37" s="183">
        <f>C8-C28</f>
        <v>1664</v>
      </c>
      <c r="D37" s="183">
        <f aca="true" t="shared" si="3" ref="D37:N37">D8-D28</f>
        <v>0</v>
      </c>
      <c r="E37" s="183">
        <f t="shared" si="3"/>
        <v>465</v>
      </c>
      <c r="F37" s="183">
        <f t="shared" si="3"/>
        <v>802</v>
      </c>
      <c r="G37" s="183">
        <f t="shared" si="3"/>
        <v>233</v>
      </c>
      <c r="H37" s="183">
        <f t="shared" si="3"/>
        <v>1032</v>
      </c>
      <c r="I37" s="183">
        <f t="shared" si="3"/>
        <v>1079</v>
      </c>
      <c r="J37" s="183">
        <f t="shared" si="3"/>
        <v>1790</v>
      </c>
      <c r="K37" s="183">
        <f t="shared" si="3"/>
        <v>0</v>
      </c>
      <c r="L37" s="183">
        <f t="shared" si="3"/>
        <v>0</v>
      </c>
      <c r="M37" s="183">
        <f t="shared" si="3"/>
        <v>110</v>
      </c>
      <c r="N37" s="183">
        <f t="shared" si="3"/>
        <v>694</v>
      </c>
      <c r="O37" s="174">
        <f>SUM(C37:N37)</f>
        <v>7869</v>
      </c>
      <c r="P37" s="50">
        <f>O37/SUM(O$35:O$38)</f>
        <v>0.0016060383285771958</v>
      </c>
    </row>
    <row r="38" spans="1:16" ht="12.75">
      <c r="A38" s="175" t="s">
        <v>463</v>
      </c>
      <c r="C38" s="183">
        <f>C9</f>
        <v>35374</v>
      </c>
      <c r="D38" s="183">
        <f aca="true" t="shared" si="4" ref="D38:N38">D9</f>
        <v>0</v>
      </c>
      <c r="E38" s="183">
        <f t="shared" si="4"/>
        <v>57432</v>
      </c>
      <c r="F38" s="183">
        <f t="shared" si="4"/>
        <v>11057</v>
      </c>
      <c r="G38" s="183">
        <f t="shared" si="4"/>
        <v>11333</v>
      </c>
      <c r="H38" s="183">
        <f t="shared" si="4"/>
        <v>16018</v>
      </c>
      <c r="I38" s="183">
        <f t="shared" si="4"/>
        <v>127406</v>
      </c>
      <c r="J38" s="183">
        <f t="shared" si="4"/>
        <v>131156</v>
      </c>
      <c r="K38" s="183">
        <f t="shared" si="4"/>
        <v>2446</v>
      </c>
      <c r="L38" s="183">
        <f t="shared" si="4"/>
        <v>1998</v>
      </c>
      <c r="M38" s="183">
        <f t="shared" si="4"/>
        <v>10962</v>
      </c>
      <c r="N38" s="183">
        <f t="shared" si="4"/>
        <v>159044</v>
      </c>
      <c r="O38" s="174">
        <f>SUM(C38:N38)</f>
        <v>564226</v>
      </c>
      <c r="P38" s="50">
        <f>O38/SUM(O$35:O$38)</f>
        <v>0.11515676477059307</v>
      </c>
    </row>
    <row r="39" spans="1:16" ht="12.75">
      <c r="A39" s="184" t="s">
        <v>464</v>
      </c>
      <c r="C39" s="183">
        <f>C10</f>
        <v>3485</v>
      </c>
      <c r="D39" s="183">
        <f aca="true" t="shared" si="5" ref="D39:N39">D10</f>
        <v>631</v>
      </c>
      <c r="E39" s="183">
        <f t="shared" si="5"/>
        <v>3220</v>
      </c>
      <c r="F39" s="183">
        <f t="shared" si="5"/>
        <v>505</v>
      </c>
      <c r="G39" s="183">
        <f t="shared" si="5"/>
        <v>337</v>
      </c>
      <c r="H39" s="183">
        <f t="shared" si="5"/>
        <v>43</v>
      </c>
      <c r="I39" s="183">
        <f t="shared" si="5"/>
        <v>11987</v>
      </c>
      <c r="J39" s="183">
        <f t="shared" si="5"/>
        <v>2853</v>
      </c>
      <c r="K39" s="183">
        <f t="shared" si="5"/>
        <v>151</v>
      </c>
      <c r="L39" s="183">
        <f t="shared" si="5"/>
        <v>11</v>
      </c>
      <c r="M39" s="183">
        <f t="shared" si="5"/>
        <v>561</v>
      </c>
      <c r="N39" s="183">
        <f t="shared" si="5"/>
        <v>149</v>
      </c>
      <c r="O39" s="174"/>
      <c r="P39" s="50"/>
    </row>
    <row r="40" spans="1:16" ht="12.75">
      <c r="A40" s="184" t="s">
        <v>527</v>
      </c>
      <c r="C40" s="183">
        <f>C13</f>
        <v>4718</v>
      </c>
      <c r="D40" s="183">
        <f aca="true" t="shared" si="6" ref="D40:N40">D13</f>
        <v>0</v>
      </c>
      <c r="E40" s="183">
        <f t="shared" si="6"/>
        <v>12458</v>
      </c>
      <c r="F40" s="183">
        <f t="shared" si="6"/>
        <v>0</v>
      </c>
      <c r="G40" s="183">
        <f t="shared" si="6"/>
        <v>824</v>
      </c>
      <c r="H40" s="183">
        <f t="shared" si="6"/>
        <v>1759</v>
      </c>
      <c r="I40" s="183">
        <f t="shared" si="6"/>
        <v>72477</v>
      </c>
      <c r="J40" s="183">
        <f t="shared" si="6"/>
        <v>45646</v>
      </c>
      <c r="K40" s="183">
        <f t="shared" si="6"/>
        <v>0</v>
      </c>
      <c r="L40" s="183">
        <f t="shared" si="6"/>
        <v>-9</v>
      </c>
      <c r="M40" s="183">
        <f t="shared" si="6"/>
        <v>267</v>
      </c>
      <c r="N40" s="183">
        <f t="shared" si="6"/>
        <v>3808</v>
      </c>
      <c r="O40" s="174"/>
      <c r="P40" s="50"/>
    </row>
    <row r="41" spans="1:16" ht="12.75">
      <c r="A41" s="184" t="s">
        <v>476</v>
      </c>
      <c r="C41" s="183">
        <f>C14</f>
        <v>297</v>
      </c>
      <c r="D41" s="183">
        <f aca="true" t="shared" si="7" ref="D41:N41">D14</f>
        <v>248</v>
      </c>
      <c r="E41" s="183">
        <f t="shared" si="7"/>
        <v>1733</v>
      </c>
      <c r="F41" s="183">
        <f t="shared" si="7"/>
        <v>0</v>
      </c>
      <c r="G41" s="183">
        <f t="shared" si="7"/>
        <v>523</v>
      </c>
      <c r="H41" s="183">
        <f t="shared" si="7"/>
        <v>1148</v>
      </c>
      <c r="I41" s="183">
        <f t="shared" si="7"/>
        <v>6587</v>
      </c>
      <c r="J41" s="183">
        <f t="shared" si="7"/>
        <v>709</v>
      </c>
      <c r="K41" s="183">
        <f t="shared" si="7"/>
        <v>2297</v>
      </c>
      <c r="L41" s="183">
        <f t="shared" si="7"/>
        <v>0</v>
      </c>
      <c r="M41" s="183">
        <f t="shared" si="7"/>
        <v>-1</v>
      </c>
      <c r="N41" s="183">
        <f t="shared" si="7"/>
        <v>468</v>
      </c>
      <c r="O41" s="174"/>
      <c r="P41" s="50"/>
    </row>
    <row r="42" spans="1:16" ht="12.75">
      <c r="A42" s="184" t="s">
        <v>528</v>
      </c>
      <c r="C42" s="183">
        <f>C21+C22</f>
        <v>421</v>
      </c>
      <c r="D42" s="183">
        <f aca="true" t="shared" si="8" ref="D42:N42">D21+D22</f>
        <v>130</v>
      </c>
      <c r="E42" s="183">
        <f t="shared" si="8"/>
        <v>3597</v>
      </c>
      <c r="F42" s="183">
        <f t="shared" si="8"/>
        <v>1052</v>
      </c>
      <c r="G42" s="183">
        <f t="shared" si="8"/>
        <v>1104</v>
      </c>
      <c r="H42" s="183">
        <f t="shared" si="8"/>
        <v>703</v>
      </c>
      <c r="I42" s="183">
        <f t="shared" si="8"/>
        <v>6820</v>
      </c>
      <c r="J42" s="183">
        <f t="shared" si="8"/>
        <v>3778</v>
      </c>
      <c r="K42" s="183">
        <f t="shared" si="8"/>
        <v>75</v>
      </c>
      <c r="L42" s="183">
        <f t="shared" si="8"/>
        <v>0</v>
      </c>
      <c r="M42" s="183">
        <f t="shared" si="8"/>
        <v>841</v>
      </c>
      <c r="N42" s="183">
        <f t="shared" si="8"/>
        <v>2845</v>
      </c>
      <c r="O42" s="174"/>
      <c r="P42" s="50"/>
    </row>
    <row r="43" spans="5:15" ht="12.75">
      <c r="E43" s="173"/>
      <c r="F43" s="173"/>
      <c r="G43" s="173"/>
      <c r="H43" s="173"/>
      <c r="I43" s="173"/>
      <c r="J43" s="173"/>
      <c r="K43" s="173"/>
      <c r="L43" s="173"/>
      <c r="M43" s="173"/>
      <c r="N43" s="173"/>
      <c r="O43" s="173"/>
    </row>
    <row r="44" ht="12.75">
      <c r="O44" s="183">
        <f>SUM(O35:O38)</f>
        <v>4899634</v>
      </c>
    </row>
  </sheetData>
  <mergeCells count="8">
    <mergeCell ref="C32:D32"/>
    <mergeCell ref="E32:G32"/>
    <mergeCell ref="H32:L32"/>
    <mergeCell ref="O32:O33"/>
    <mergeCell ref="O3:O4"/>
    <mergeCell ref="C3:D3"/>
    <mergeCell ref="E3:G3"/>
    <mergeCell ref="H3:L3"/>
  </mergeCells>
  <printOptions/>
  <pageMargins left="0.75" right="0.75" top="0.75" bottom="0.75" header="0.5" footer="0.5"/>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codeName="Sheet169">
    <tabColor indexed="44"/>
  </sheetPr>
  <dimension ref="A1:AA58"/>
  <sheetViews>
    <sheetView workbookViewId="0" topLeftCell="A1">
      <selection activeCell="A22" sqref="A22:IV22"/>
    </sheetView>
  </sheetViews>
  <sheetFormatPr defaultColWidth="9.140625" defaultRowHeight="12.75"/>
  <cols>
    <col min="1" max="3" width="1.7109375" style="59" customWidth="1"/>
    <col min="4" max="4" width="27.00390625" style="59" customWidth="1"/>
    <col min="5" max="5" width="8.421875" style="59" bestFit="1" customWidth="1"/>
    <col min="6" max="6" width="9.7109375" style="59" customWidth="1"/>
    <col min="7" max="8" width="7.7109375" style="59" customWidth="1"/>
    <col min="9" max="9" width="12.00390625" style="59" bestFit="1" customWidth="1"/>
    <col min="10" max="10" width="9.28125" style="59" customWidth="1"/>
    <col min="11" max="11" width="8.7109375" style="59" customWidth="1"/>
    <col min="12" max="19" width="9.140625" style="59" customWidth="1"/>
    <col min="20" max="20" width="10.421875" style="59" bestFit="1" customWidth="1"/>
    <col min="21" max="21" width="10.421875" style="58" bestFit="1" customWidth="1"/>
    <col min="22" max="22" width="11.421875" style="58" bestFit="1" customWidth="1"/>
    <col min="23" max="16384" width="9.140625" style="59" customWidth="1"/>
  </cols>
  <sheetData>
    <row r="1" spans="1:20" ht="12.75">
      <c r="A1" s="54" t="s">
        <v>379</v>
      </c>
      <c r="B1" s="55"/>
      <c r="C1" s="55"/>
      <c r="D1" s="56"/>
      <c r="E1" s="55"/>
      <c r="F1" s="55"/>
      <c r="G1" s="55"/>
      <c r="H1" s="55"/>
      <c r="I1" s="55"/>
      <c r="J1" s="55"/>
      <c r="K1" s="55"/>
      <c r="L1" s="57"/>
      <c r="M1" s="57"/>
      <c r="N1" s="57"/>
      <c r="O1" s="57"/>
      <c r="P1" s="57"/>
      <c r="Q1" s="57"/>
      <c r="R1" s="57"/>
      <c r="S1" s="57"/>
      <c r="T1" s="57"/>
    </row>
    <row r="2" spans="1:20" ht="10.5" customHeight="1">
      <c r="A2" s="55"/>
      <c r="B2" s="55"/>
      <c r="C2" s="55"/>
      <c r="D2" s="56" t="s">
        <v>380</v>
      </c>
      <c r="E2" s="55"/>
      <c r="F2" s="55"/>
      <c r="G2" s="55"/>
      <c r="H2" s="55"/>
      <c r="I2" s="55"/>
      <c r="J2" s="55"/>
      <c r="K2" s="55"/>
      <c r="L2" s="57"/>
      <c r="M2" s="57"/>
      <c r="N2" s="57"/>
      <c r="O2" s="57"/>
      <c r="P2" s="57"/>
      <c r="Q2" s="57"/>
      <c r="R2" s="57"/>
      <c r="S2" s="57"/>
      <c r="T2" s="57"/>
    </row>
    <row r="3" spans="1:20" ht="18.75">
      <c r="A3" s="266" t="s">
        <v>381</v>
      </c>
      <c r="B3" s="266"/>
      <c r="C3" s="266"/>
      <c r="D3" s="267"/>
      <c r="E3" s="270" t="s">
        <v>382</v>
      </c>
      <c r="F3" s="271"/>
      <c r="G3" s="272"/>
      <c r="H3" s="270" t="s">
        <v>383</v>
      </c>
      <c r="I3" s="273"/>
      <c r="J3" s="273"/>
      <c r="K3" s="273"/>
      <c r="L3" s="270" t="s">
        <v>384</v>
      </c>
      <c r="M3" s="271"/>
      <c r="N3" s="271"/>
      <c r="O3" s="271"/>
      <c r="P3" s="271"/>
      <c r="Q3" s="272"/>
      <c r="R3" s="60" t="s">
        <v>385</v>
      </c>
      <c r="S3" s="60" t="s">
        <v>386</v>
      </c>
      <c r="T3" s="61"/>
    </row>
    <row r="4" spans="1:20" ht="24" customHeight="1">
      <c r="A4" s="268"/>
      <c r="B4" s="268"/>
      <c r="C4" s="268"/>
      <c r="D4" s="269"/>
      <c r="E4" s="62" t="s">
        <v>387</v>
      </c>
      <c r="F4" s="63" t="s">
        <v>388</v>
      </c>
      <c r="G4" s="63" t="s">
        <v>389</v>
      </c>
      <c r="H4" s="63" t="s">
        <v>390</v>
      </c>
      <c r="I4" s="63" t="s">
        <v>391</v>
      </c>
      <c r="J4" s="63" t="s">
        <v>392</v>
      </c>
      <c r="K4" s="64" t="s">
        <v>389</v>
      </c>
      <c r="L4" s="63" t="s">
        <v>393</v>
      </c>
      <c r="M4" s="63" t="s">
        <v>394</v>
      </c>
      <c r="N4" s="63" t="s">
        <v>395</v>
      </c>
      <c r="O4" s="63" t="s">
        <v>396</v>
      </c>
      <c r="P4" s="63" t="s">
        <v>397</v>
      </c>
      <c r="Q4" s="62" t="s">
        <v>389</v>
      </c>
      <c r="R4" s="63" t="s">
        <v>398</v>
      </c>
      <c r="S4" s="63" t="s">
        <v>399</v>
      </c>
      <c r="T4" s="65" t="s">
        <v>400</v>
      </c>
    </row>
    <row r="5" spans="1:27" s="69" customFormat="1" ht="14.25" customHeight="1">
      <c r="A5" s="66"/>
      <c r="B5" s="66"/>
      <c r="C5" s="66"/>
      <c r="D5" s="66"/>
      <c r="E5" s="67" t="s">
        <v>73</v>
      </c>
      <c r="F5" s="67" t="s">
        <v>105</v>
      </c>
      <c r="G5" s="67"/>
      <c r="H5" s="67" t="s">
        <v>114</v>
      </c>
      <c r="I5" s="67" t="s">
        <v>144</v>
      </c>
      <c r="J5" s="67" t="s">
        <v>155</v>
      </c>
      <c r="K5" s="67"/>
      <c r="L5" s="67" t="s">
        <v>172</v>
      </c>
      <c r="M5" s="67" t="s">
        <v>186</v>
      </c>
      <c r="N5" s="67" t="s">
        <v>211</v>
      </c>
      <c r="O5" s="67" t="s">
        <v>243</v>
      </c>
      <c r="P5" s="67" t="s">
        <v>263</v>
      </c>
      <c r="Q5" s="67"/>
      <c r="R5" s="67" t="s">
        <v>270</v>
      </c>
      <c r="S5" s="67" t="s">
        <v>299</v>
      </c>
      <c r="T5" s="67"/>
      <c r="U5" s="68"/>
      <c r="V5" s="68"/>
      <c r="W5" s="68"/>
      <c r="X5" s="68"/>
      <c r="Y5" s="68"/>
      <c r="Z5" s="68"/>
      <c r="AA5" s="68"/>
    </row>
    <row r="6" spans="1:20" ht="12.75">
      <c r="A6" s="70" t="s">
        <v>401</v>
      </c>
      <c r="B6" s="70"/>
      <c r="C6" s="70"/>
      <c r="D6" s="71"/>
      <c r="E6" s="72">
        <v>559841</v>
      </c>
      <c r="F6" s="72">
        <v>33968</v>
      </c>
      <c r="G6" s="72">
        <v>593809</v>
      </c>
      <c r="H6" s="72">
        <v>782156</v>
      </c>
      <c r="I6" s="72">
        <v>153402</v>
      </c>
      <c r="J6" s="72">
        <v>268323</v>
      </c>
      <c r="K6" s="72">
        <v>1203881</v>
      </c>
      <c r="L6" s="72">
        <v>211405</v>
      </c>
      <c r="M6" s="72">
        <v>1273303</v>
      </c>
      <c r="N6" s="72">
        <v>1003944</v>
      </c>
      <c r="O6" s="72">
        <v>67800</v>
      </c>
      <c r="P6" s="72">
        <v>34495</v>
      </c>
      <c r="Q6" s="72">
        <v>2590947</v>
      </c>
      <c r="R6" s="72">
        <v>203772</v>
      </c>
      <c r="S6" s="72">
        <v>962923</v>
      </c>
      <c r="T6" s="72">
        <v>5555332</v>
      </c>
    </row>
    <row r="7" spans="1:20" ht="12.75">
      <c r="A7" s="70" t="s">
        <v>402</v>
      </c>
      <c r="B7" s="70"/>
      <c r="C7" s="70"/>
      <c r="D7" s="71"/>
      <c r="E7" s="72">
        <v>1485</v>
      </c>
      <c r="F7" s="72">
        <v>0</v>
      </c>
      <c r="G7" s="72">
        <v>1485</v>
      </c>
      <c r="H7" s="72">
        <v>27781</v>
      </c>
      <c r="I7" s="72">
        <v>3141</v>
      </c>
      <c r="J7" s="72">
        <v>10807</v>
      </c>
      <c r="K7" s="72">
        <v>41729</v>
      </c>
      <c r="L7" s="72">
        <v>10720</v>
      </c>
      <c r="M7" s="72">
        <v>42624</v>
      </c>
      <c r="N7" s="72">
        <v>25176</v>
      </c>
      <c r="O7" s="72">
        <v>2525</v>
      </c>
      <c r="P7" s="72">
        <v>3470</v>
      </c>
      <c r="Q7" s="72">
        <v>84515</v>
      </c>
      <c r="R7" s="72">
        <v>5423</v>
      </c>
      <c r="S7" s="72">
        <v>24544</v>
      </c>
      <c r="T7" s="72">
        <v>157696</v>
      </c>
    </row>
    <row r="8" spans="1:20" ht="9" customHeight="1">
      <c r="A8" s="73"/>
      <c r="B8" s="73" t="s">
        <v>403</v>
      </c>
      <c r="C8" s="73"/>
      <c r="D8" s="74"/>
      <c r="E8" s="75">
        <v>0</v>
      </c>
      <c r="F8" s="75">
        <v>0</v>
      </c>
      <c r="G8" s="75">
        <v>0</v>
      </c>
      <c r="H8" s="75">
        <v>7952</v>
      </c>
      <c r="I8" s="75">
        <v>1516</v>
      </c>
      <c r="J8" s="75">
        <v>7904</v>
      </c>
      <c r="K8" s="75">
        <v>17372</v>
      </c>
      <c r="L8" s="75">
        <v>5407</v>
      </c>
      <c r="M8" s="75">
        <v>17183</v>
      </c>
      <c r="N8" s="75">
        <v>12318</v>
      </c>
      <c r="O8" s="75">
        <v>1795</v>
      </c>
      <c r="P8" s="75">
        <v>1755</v>
      </c>
      <c r="Q8" s="75">
        <v>38458</v>
      </c>
      <c r="R8" s="75">
        <v>2018</v>
      </c>
      <c r="S8" s="75">
        <v>10326</v>
      </c>
      <c r="T8" s="75">
        <v>68174</v>
      </c>
    </row>
    <row r="9" spans="1:20" ht="9" customHeight="1">
      <c r="A9" s="73"/>
      <c r="B9" s="73" t="s">
        <v>404</v>
      </c>
      <c r="C9" s="73"/>
      <c r="D9" s="74"/>
      <c r="E9" s="75">
        <v>1485</v>
      </c>
      <c r="F9" s="75">
        <v>0</v>
      </c>
      <c r="G9" s="75">
        <v>1485</v>
      </c>
      <c r="H9" s="75">
        <v>19829</v>
      </c>
      <c r="I9" s="75">
        <v>1625</v>
      </c>
      <c r="J9" s="75">
        <v>2903</v>
      </c>
      <c r="K9" s="75">
        <v>24357</v>
      </c>
      <c r="L9" s="75">
        <v>5313</v>
      </c>
      <c r="M9" s="75">
        <v>25441</v>
      </c>
      <c r="N9" s="75">
        <v>12858</v>
      </c>
      <c r="O9" s="75">
        <v>730</v>
      </c>
      <c r="P9" s="75">
        <v>1715</v>
      </c>
      <c r="Q9" s="75">
        <v>46057</v>
      </c>
      <c r="R9" s="75">
        <v>3405</v>
      </c>
      <c r="S9" s="75">
        <v>14218</v>
      </c>
      <c r="T9" s="75">
        <v>89522</v>
      </c>
    </row>
    <row r="10" spans="1:22" ht="9" customHeight="1">
      <c r="A10" s="73"/>
      <c r="B10" s="73"/>
      <c r="C10" s="74" t="s">
        <v>405</v>
      </c>
      <c r="D10" s="76"/>
      <c r="E10" s="75">
        <v>0</v>
      </c>
      <c r="F10" s="75">
        <v>0</v>
      </c>
      <c r="G10" s="75">
        <v>0</v>
      </c>
      <c r="H10" s="75">
        <v>0</v>
      </c>
      <c r="I10" s="75">
        <v>0</v>
      </c>
      <c r="J10" s="75">
        <v>0</v>
      </c>
      <c r="K10" s="75">
        <v>0</v>
      </c>
      <c r="L10" s="75">
        <v>0</v>
      </c>
      <c r="M10" s="75">
        <v>0</v>
      </c>
      <c r="N10" s="75">
        <v>0</v>
      </c>
      <c r="O10" s="75">
        <v>0</v>
      </c>
      <c r="P10" s="75">
        <v>0</v>
      </c>
      <c r="Q10" s="75">
        <v>0</v>
      </c>
      <c r="R10" s="75">
        <v>0</v>
      </c>
      <c r="S10" s="75">
        <v>0</v>
      </c>
      <c r="T10" s="75">
        <v>0</v>
      </c>
      <c r="U10" s="77"/>
      <c r="V10" s="78"/>
    </row>
    <row r="11" spans="1:21" ht="9" customHeight="1">
      <c r="A11" s="73"/>
      <c r="B11" s="73"/>
      <c r="C11" s="74" t="s">
        <v>406</v>
      </c>
      <c r="D11" s="76"/>
      <c r="E11" s="75">
        <v>0</v>
      </c>
      <c r="F11" s="75">
        <v>0</v>
      </c>
      <c r="G11" s="75">
        <v>0</v>
      </c>
      <c r="H11" s="75">
        <v>0</v>
      </c>
      <c r="I11" s="75">
        <v>0</v>
      </c>
      <c r="J11" s="75">
        <v>0</v>
      </c>
      <c r="K11" s="75">
        <v>0</v>
      </c>
      <c r="L11" s="75">
        <v>0</v>
      </c>
      <c r="M11" s="75">
        <v>0</v>
      </c>
      <c r="N11" s="75">
        <v>0</v>
      </c>
      <c r="O11" s="75">
        <v>0</v>
      </c>
      <c r="P11" s="75">
        <v>0</v>
      </c>
      <c r="Q11" s="75">
        <v>0</v>
      </c>
      <c r="R11" s="75">
        <v>0</v>
      </c>
      <c r="S11" s="75">
        <v>0</v>
      </c>
      <c r="T11" s="75">
        <v>0</v>
      </c>
      <c r="U11" s="77"/>
    </row>
    <row r="12" spans="1:20" ht="9" customHeight="1">
      <c r="A12" s="73"/>
      <c r="B12" s="73"/>
      <c r="C12" s="74" t="s">
        <v>407</v>
      </c>
      <c r="D12" s="76"/>
      <c r="E12" s="75">
        <v>229</v>
      </c>
      <c r="F12" s="75">
        <v>0</v>
      </c>
      <c r="G12" s="75">
        <v>229</v>
      </c>
      <c r="H12" s="75">
        <v>8676</v>
      </c>
      <c r="I12" s="75">
        <v>829</v>
      </c>
      <c r="J12" s="75">
        <v>625</v>
      </c>
      <c r="K12" s="75">
        <v>10130</v>
      </c>
      <c r="L12" s="75">
        <v>3303</v>
      </c>
      <c r="M12" s="75">
        <v>9839</v>
      </c>
      <c r="N12" s="75">
        <v>5567</v>
      </c>
      <c r="O12" s="75">
        <v>242</v>
      </c>
      <c r="P12" s="75">
        <v>1</v>
      </c>
      <c r="Q12" s="75">
        <v>18952</v>
      </c>
      <c r="R12" s="75">
        <v>1889</v>
      </c>
      <c r="S12" s="75">
        <v>9301</v>
      </c>
      <c r="T12" s="75">
        <v>40501</v>
      </c>
    </row>
    <row r="13" spans="1:20" ht="9" customHeight="1">
      <c r="A13" s="73"/>
      <c r="B13" s="73"/>
      <c r="C13" s="74" t="s">
        <v>25</v>
      </c>
      <c r="D13" s="76"/>
      <c r="E13" s="75">
        <v>1256</v>
      </c>
      <c r="F13" s="75">
        <v>0</v>
      </c>
      <c r="G13" s="75">
        <v>1256</v>
      </c>
      <c r="H13" s="75">
        <v>11153</v>
      </c>
      <c r="I13" s="75">
        <v>796</v>
      </c>
      <c r="J13" s="75">
        <v>2278</v>
      </c>
      <c r="K13" s="75">
        <v>14227</v>
      </c>
      <c r="L13" s="75">
        <v>2010</v>
      </c>
      <c r="M13" s="75">
        <v>15602</v>
      </c>
      <c r="N13" s="75">
        <v>7291</v>
      </c>
      <c r="O13" s="75">
        <v>488</v>
      </c>
      <c r="P13" s="75">
        <v>1714</v>
      </c>
      <c r="Q13" s="75">
        <v>27105</v>
      </c>
      <c r="R13" s="75">
        <v>1516</v>
      </c>
      <c r="S13" s="75">
        <v>4917</v>
      </c>
      <c r="T13" s="75">
        <v>49021</v>
      </c>
    </row>
    <row r="14" spans="1:20" ht="10.5" customHeight="1">
      <c r="A14" s="70" t="s">
        <v>408</v>
      </c>
      <c r="B14" s="70"/>
      <c r="C14" s="70"/>
      <c r="D14" s="71"/>
      <c r="E14" s="72">
        <v>-2238</v>
      </c>
      <c r="F14" s="72">
        <v>-270</v>
      </c>
      <c r="G14" s="72">
        <v>-2508</v>
      </c>
      <c r="H14" s="72">
        <v>-124412</v>
      </c>
      <c r="I14" s="72">
        <v>-38380</v>
      </c>
      <c r="J14" s="72">
        <v>-8132</v>
      </c>
      <c r="K14" s="72">
        <v>-170924</v>
      </c>
      <c r="L14" s="72">
        <v>-7602</v>
      </c>
      <c r="M14" s="72">
        <v>82365</v>
      </c>
      <c r="N14" s="72">
        <v>36803</v>
      </c>
      <c r="O14" s="72">
        <v>-2387</v>
      </c>
      <c r="P14" s="72">
        <v>-5469</v>
      </c>
      <c r="Q14" s="72">
        <v>103710</v>
      </c>
      <c r="R14" s="72">
        <v>-1279</v>
      </c>
      <c r="S14" s="72">
        <v>-316688</v>
      </c>
      <c r="T14" s="72">
        <v>-387689</v>
      </c>
    </row>
    <row r="15" spans="1:20" ht="9" customHeight="1">
      <c r="A15" s="73"/>
      <c r="B15" s="73" t="s">
        <v>409</v>
      </c>
      <c r="C15" s="73"/>
      <c r="D15" s="74"/>
      <c r="E15" s="75">
        <v>13575</v>
      </c>
      <c r="F15" s="75">
        <v>0</v>
      </c>
      <c r="G15" s="75">
        <v>13575</v>
      </c>
      <c r="H15" s="75">
        <v>1091</v>
      </c>
      <c r="I15" s="75">
        <v>1441</v>
      </c>
      <c r="J15" s="75">
        <v>587</v>
      </c>
      <c r="K15" s="75">
        <v>3119</v>
      </c>
      <c r="L15" s="75">
        <v>1589</v>
      </c>
      <c r="M15" s="75">
        <v>26720</v>
      </c>
      <c r="N15" s="75">
        <v>8001</v>
      </c>
      <c r="O15" s="75">
        <v>83</v>
      </c>
      <c r="P15" s="75">
        <v>165</v>
      </c>
      <c r="Q15" s="75">
        <v>36558</v>
      </c>
      <c r="R15" s="75">
        <v>1180</v>
      </c>
      <c r="S15" s="75">
        <v>10697</v>
      </c>
      <c r="T15" s="75">
        <v>65129</v>
      </c>
    </row>
    <row r="16" spans="1:20" ht="9" customHeight="1">
      <c r="A16" s="73"/>
      <c r="B16" s="79"/>
      <c r="C16" s="73" t="s">
        <v>410</v>
      </c>
      <c r="D16" s="73"/>
      <c r="E16" s="75">
        <v>0</v>
      </c>
      <c r="F16" s="75">
        <v>0</v>
      </c>
      <c r="G16" s="75">
        <v>0</v>
      </c>
      <c r="H16" s="75">
        <v>1077</v>
      </c>
      <c r="I16" s="75">
        <v>678</v>
      </c>
      <c r="J16" s="75">
        <v>587</v>
      </c>
      <c r="K16" s="75">
        <v>2342</v>
      </c>
      <c r="L16" s="75">
        <v>1332</v>
      </c>
      <c r="M16" s="75">
        <v>5884</v>
      </c>
      <c r="N16" s="75">
        <v>5938</v>
      </c>
      <c r="O16" s="75">
        <v>83</v>
      </c>
      <c r="P16" s="75">
        <v>0</v>
      </c>
      <c r="Q16" s="75">
        <v>13237</v>
      </c>
      <c r="R16" s="75">
        <v>502</v>
      </c>
      <c r="S16" s="75">
        <v>9752</v>
      </c>
      <c r="T16" s="75">
        <v>25833</v>
      </c>
    </row>
    <row r="17" spans="1:20" ht="9" customHeight="1">
      <c r="A17" s="73"/>
      <c r="B17" s="79"/>
      <c r="C17" s="73" t="s">
        <v>411</v>
      </c>
      <c r="D17" s="73"/>
      <c r="E17" s="75">
        <v>13575</v>
      </c>
      <c r="F17" s="75">
        <v>0</v>
      </c>
      <c r="G17" s="75">
        <v>13575</v>
      </c>
      <c r="H17" s="75">
        <v>14</v>
      </c>
      <c r="I17" s="75">
        <v>763</v>
      </c>
      <c r="J17" s="75">
        <v>0</v>
      </c>
      <c r="K17" s="75">
        <v>777</v>
      </c>
      <c r="L17" s="75">
        <v>257</v>
      </c>
      <c r="M17" s="75">
        <v>20836</v>
      </c>
      <c r="N17" s="75">
        <v>2063</v>
      </c>
      <c r="O17" s="75">
        <v>0</v>
      </c>
      <c r="P17" s="75">
        <v>165</v>
      </c>
      <c r="Q17" s="75">
        <v>23321</v>
      </c>
      <c r="R17" s="75">
        <v>678</v>
      </c>
      <c r="S17" s="75">
        <v>945</v>
      </c>
      <c r="T17" s="75">
        <v>39296</v>
      </c>
    </row>
    <row r="18" spans="1:20" ht="9" customHeight="1">
      <c r="A18" s="73"/>
      <c r="B18" s="79"/>
      <c r="C18" s="73" t="s">
        <v>412</v>
      </c>
      <c r="D18" s="74" t="s">
        <v>413</v>
      </c>
      <c r="E18" s="75">
        <v>0</v>
      </c>
      <c r="F18" s="75">
        <v>0</v>
      </c>
      <c r="G18" s="75">
        <v>0</v>
      </c>
      <c r="H18" s="75">
        <v>14</v>
      </c>
      <c r="I18" s="75">
        <v>763</v>
      </c>
      <c r="J18" s="75">
        <v>0</v>
      </c>
      <c r="K18" s="75">
        <v>777</v>
      </c>
      <c r="L18" s="75">
        <v>145</v>
      </c>
      <c r="M18" s="75">
        <v>0</v>
      </c>
      <c r="N18" s="75">
        <v>0</v>
      </c>
      <c r="O18" s="75">
        <v>0</v>
      </c>
      <c r="P18" s="75">
        <v>58</v>
      </c>
      <c r="Q18" s="75">
        <v>203</v>
      </c>
      <c r="R18" s="75">
        <v>678</v>
      </c>
      <c r="S18" s="75">
        <v>945</v>
      </c>
      <c r="T18" s="75">
        <v>2603</v>
      </c>
    </row>
    <row r="19" spans="1:20" ht="9" customHeight="1">
      <c r="A19" s="73"/>
      <c r="B19" s="79"/>
      <c r="C19" s="73"/>
      <c r="D19" s="73" t="s">
        <v>414</v>
      </c>
      <c r="E19" s="75">
        <v>13575</v>
      </c>
      <c r="F19" s="75">
        <v>0</v>
      </c>
      <c r="G19" s="75">
        <v>13575</v>
      </c>
      <c r="H19" s="75">
        <v>0</v>
      </c>
      <c r="I19" s="75">
        <v>0</v>
      </c>
      <c r="J19" s="75">
        <v>0</v>
      </c>
      <c r="K19" s="75">
        <v>0</v>
      </c>
      <c r="L19" s="75">
        <v>75</v>
      </c>
      <c r="M19" s="75">
        <v>20261</v>
      </c>
      <c r="N19" s="75">
        <v>2063</v>
      </c>
      <c r="O19" s="75">
        <v>0</v>
      </c>
      <c r="P19" s="75">
        <v>107</v>
      </c>
      <c r="Q19" s="75">
        <v>22506</v>
      </c>
      <c r="R19" s="75">
        <v>0</v>
      </c>
      <c r="S19" s="75">
        <v>0</v>
      </c>
      <c r="T19" s="75">
        <v>36081</v>
      </c>
    </row>
    <row r="20" spans="1:20" ht="9" customHeight="1">
      <c r="A20" s="73"/>
      <c r="B20" s="79"/>
      <c r="C20" s="73"/>
      <c r="D20" s="73" t="s">
        <v>443</v>
      </c>
      <c r="E20" s="75">
        <v>0</v>
      </c>
      <c r="F20" s="75">
        <v>0</v>
      </c>
      <c r="G20" s="75">
        <v>0</v>
      </c>
      <c r="H20" s="75">
        <v>0</v>
      </c>
      <c r="I20" s="75">
        <v>0</v>
      </c>
      <c r="J20" s="75">
        <v>0</v>
      </c>
      <c r="K20" s="75">
        <v>0</v>
      </c>
      <c r="L20" s="75">
        <v>37</v>
      </c>
      <c r="M20" s="75">
        <v>575</v>
      </c>
      <c r="N20" s="75">
        <v>0</v>
      </c>
      <c r="O20" s="75">
        <v>0</v>
      </c>
      <c r="P20" s="75">
        <v>0</v>
      </c>
      <c r="Q20" s="75">
        <v>612</v>
      </c>
      <c r="R20" s="75">
        <v>0</v>
      </c>
      <c r="S20" s="75">
        <v>0</v>
      </c>
      <c r="T20" s="75">
        <v>612</v>
      </c>
    </row>
    <row r="21" spans="1:20" ht="9" customHeight="1">
      <c r="A21" s="73"/>
      <c r="B21" s="73" t="s">
        <v>415</v>
      </c>
      <c r="C21" s="73"/>
      <c r="D21" s="73"/>
      <c r="E21" s="75">
        <v>31745</v>
      </c>
      <c r="F21" s="75">
        <v>-258</v>
      </c>
      <c r="G21" s="75">
        <v>31487</v>
      </c>
      <c r="H21" s="75">
        <v>28990</v>
      </c>
      <c r="I21" s="75">
        <v>436</v>
      </c>
      <c r="J21" s="75">
        <v>-8526</v>
      </c>
      <c r="K21" s="75">
        <v>20900</v>
      </c>
      <c r="L21" s="75">
        <v>169</v>
      </c>
      <c r="M21" s="75">
        <v>97182</v>
      </c>
      <c r="N21" s="75">
        <v>40615</v>
      </c>
      <c r="O21" s="75">
        <v>-2279</v>
      </c>
      <c r="P21" s="75">
        <v>2049</v>
      </c>
      <c r="Q21" s="75">
        <v>137736</v>
      </c>
      <c r="R21" s="75">
        <v>-157</v>
      </c>
      <c r="S21" s="75">
        <v>17765</v>
      </c>
      <c r="T21" s="75">
        <v>207731</v>
      </c>
    </row>
    <row r="22" spans="1:20" ht="9" customHeight="1">
      <c r="A22" s="73"/>
      <c r="B22" s="73"/>
      <c r="C22" s="73" t="s">
        <v>416</v>
      </c>
      <c r="D22" s="76"/>
      <c r="E22" s="75">
        <v>3053</v>
      </c>
      <c r="F22" s="75">
        <v>-336</v>
      </c>
      <c r="G22" s="75">
        <v>2717</v>
      </c>
      <c r="H22" s="75">
        <v>12026</v>
      </c>
      <c r="I22" s="75">
        <v>841</v>
      </c>
      <c r="J22" s="75">
        <v>-2686</v>
      </c>
      <c r="K22" s="75">
        <v>10181</v>
      </c>
      <c r="L22" s="75">
        <v>-323</v>
      </c>
      <c r="M22" s="75">
        <v>19752</v>
      </c>
      <c r="N22" s="75">
        <v>1864</v>
      </c>
      <c r="O22" s="75">
        <v>-272</v>
      </c>
      <c r="P22" s="75">
        <v>1518</v>
      </c>
      <c r="Q22" s="75">
        <v>22539</v>
      </c>
      <c r="R22" s="75">
        <v>238</v>
      </c>
      <c r="S22" s="75">
        <v>-8388</v>
      </c>
      <c r="T22" s="75">
        <v>27287</v>
      </c>
    </row>
    <row r="23" spans="1:20" ht="9" customHeight="1">
      <c r="A23" s="73"/>
      <c r="B23" s="73"/>
      <c r="C23" s="73" t="s">
        <v>417</v>
      </c>
      <c r="D23" s="76"/>
      <c r="E23" s="75">
        <v>-1752</v>
      </c>
      <c r="F23" s="75">
        <v>0</v>
      </c>
      <c r="G23" s="75">
        <v>-1752</v>
      </c>
      <c r="H23" s="75">
        <v>6964</v>
      </c>
      <c r="I23" s="75">
        <v>2</v>
      </c>
      <c r="J23" s="75">
        <v>-127</v>
      </c>
      <c r="K23" s="75">
        <v>6839</v>
      </c>
      <c r="L23" s="75">
        <v>503</v>
      </c>
      <c r="M23" s="75">
        <v>-13874</v>
      </c>
      <c r="N23" s="75">
        <v>4102</v>
      </c>
      <c r="O23" s="75">
        <v>-752</v>
      </c>
      <c r="P23" s="75">
        <v>130</v>
      </c>
      <c r="Q23" s="75">
        <v>-9891</v>
      </c>
      <c r="R23" s="75">
        <v>-1891</v>
      </c>
      <c r="S23" s="75">
        <v>2835</v>
      </c>
      <c r="T23" s="75">
        <v>-3860</v>
      </c>
    </row>
    <row r="24" spans="1:20" ht="9" customHeight="1">
      <c r="A24" s="73"/>
      <c r="B24" s="73"/>
      <c r="C24" s="73" t="s">
        <v>418</v>
      </c>
      <c r="D24" s="76"/>
      <c r="E24" s="75">
        <v>15652</v>
      </c>
      <c r="F24" s="75">
        <v>159</v>
      </c>
      <c r="G24" s="75">
        <v>15811</v>
      </c>
      <c r="H24" s="75">
        <v>13387</v>
      </c>
      <c r="I24" s="75">
        <v>-123</v>
      </c>
      <c r="J24" s="75">
        <v>141</v>
      </c>
      <c r="K24" s="75">
        <v>13405</v>
      </c>
      <c r="L24" s="75">
        <v>-66</v>
      </c>
      <c r="M24" s="75">
        <v>64052</v>
      </c>
      <c r="N24" s="75">
        <v>23634</v>
      </c>
      <c r="O24" s="75">
        <v>-716</v>
      </c>
      <c r="P24" s="75">
        <v>403</v>
      </c>
      <c r="Q24" s="75">
        <v>87307</v>
      </c>
      <c r="R24" s="75">
        <v>2195</v>
      </c>
      <c r="S24" s="75">
        <v>20928</v>
      </c>
      <c r="T24" s="75">
        <v>139646</v>
      </c>
    </row>
    <row r="25" spans="1:20" ht="9" customHeight="1">
      <c r="A25" s="73"/>
      <c r="B25" s="73"/>
      <c r="C25" s="73" t="s">
        <v>419</v>
      </c>
      <c r="D25" s="76"/>
      <c r="E25" s="75">
        <v>14792</v>
      </c>
      <c r="F25" s="75">
        <v>-81</v>
      </c>
      <c r="G25" s="75">
        <v>14711</v>
      </c>
      <c r="H25" s="75">
        <v>-3387</v>
      </c>
      <c r="I25" s="75">
        <v>-284</v>
      </c>
      <c r="J25" s="75">
        <v>-5854</v>
      </c>
      <c r="K25" s="75">
        <v>-9525</v>
      </c>
      <c r="L25" s="75">
        <v>55</v>
      </c>
      <c r="M25" s="75">
        <v>27252</v>
      </c>
      <c r="N25" s="75">
        <v>11015</v>
      </c>
      <c r="O25" s="75">
        <v>-539</v>
      </c>
      <c r="P25" s="75">
        <v>-2</v>
      </c>
      <c r="Q25" s="75">
        <v>37781</v>
      </c>
      <c r="R25" s="75">
        <v>-699</v>
      </c>
      <c r="S25" s="75">
        <v>2390</v>
      </c>
      <c r="T25" s="75">
        <v>44658</v>
      </c>
    </row>
    <row r="26" spans="1:20" ht="9" customHeight="1">
      <c r="A26" s="73"/>
      <c r="B26" s="73" t="s">
        <v>420</v>
      </c>
      <c r="C26" s="73"/>
      <c r="D26" s="73"/>
      <c r="E26" s="75">
        <v>-45894</v>
      </c>
      <c r="F26" s="75">
        <v>-12</v>
      </c>
      <c r="G26" s="75">
        <v>-45906</v>
      </c>
      <c r="H26" s="75">
        <v>-154446</v>
      </c>
      <c r="I26" s="75">
        <v>-40257</v>
      </c>
      <c r="J26" s="75">
        <v>-193</v>
      </c>
      <c r="K26" s="75">
        <v>-194896</v>
      </c>
      <c r="L26" s="75">
        <v>-9369</v>
      </c>
      <c r="M26" s="75">
        <v>-41537</v>
      </c>
      <c r="N26" s="75">
        <v>-11813</v>
      </c>
      <c r="O26" s="75">
        <v>-191</v>
      </c>
      <c r="P26" s="75">
        <v>-7683</v>
      </c>
      <c r="Q26" s="75">
        <v>-70593</v>
      </c>
      <c r="R26" s="75">
        <v>-2302</v>
      </c>
      <c r="S26" s="75">
        <v>-345150</v>
      </c>
      <c r="T26" s="75">
        <v>-658847</v>
      </c>
    </row>
    <row r="27" spans="1:20" ht="9" customHeight="1">
      <c r="A27" s="73"/>
      <c r="B27" s="73"/>
      <c r="C27" s="73" t="s">
        <v>421</v>
      </c>
      <c r="D27" s="73"/>
      <c r="E27" s="75">
        <v>-47012</v>
      </c>
      <c r="F27" s="75">
        <v>0</v>
      </c>
      <c r="G27" s="75">
        <v>-47012</v>
      </c>
      <c r="H27" s="75">
        <v>-95565</v>
      </c>
      <c r="I27" s="75">
        <v>-2964</v>
      </c>
      <c r="J27" s="75">
        <v>0</v>
      </c>
      <c r="K27" s="75">
        <v>-98529</v>
      </c>
      <c r="L27" s="75">
        <v>-1883</v>
      </c>
      <c r="M27" s="75">
        <v>-31228</v>
      </c>
      <c r="N27" s="75">
        <v>0</v>
      </c>
      <c r="O27" s="75">
        <v>0</v>
      </c>
      <c r="P27" s="75">
        <v>-7557</v>
      </c>
      <c r="Q27" s="75">
        <v>-40668</v>
      </c>
      <c r="R27" s="75">
        <v>0</v>
      </c>
      <c r="S27" s="75">
        <v>-332810</v>
      </c>
      <c r="T27" s="75">
        <v>-519019</v>
      </c>
    </row>
    <row r="28" spans="1:21" ht="9" customHeight="1">
      <c r="A28" s="73"/>
      <c r="B28" s="73"/>
      <c r="C28" s="73"/>
      <c r="D28" s="73" t="s">
        <v>422</v>
      </c>
      <c r="E28" s="75">
        <v>0</v>
      </c>
      <c r="F28" s="75">
        <v>0</v>
      </c>
      <c r="G28" s="75">
        <v>0</v>
      </c>
      <c r="H28" s="75">
        <v>0</v>
      </c>
      <c r="I28" s="75">
        <v>0</v>
      </c>
      <c r="J28" s="75">
        <v>0</v>
      </c>
      <c r="K28" s="75">
        <v>0</v>
      </c>
      <c r="L28" s="75">
        <v>0</v>
      </c>
      <c r="M28" s="75">
        <v>0</v>
      </c>
      <c r="N28" s="75">
        <v>0</v>
      </c>
      <c r="O28" s="75">
        <v>0</v>
      </c>
      <c r="P28" s="75">
        <v>0</v>
      </c>
      <c r="Q28" s="75">
        <v>0</v>
      </c>
      <c r="R28" s="75">
        <v>0</v>
      </c>
      <c r="S28" s="75">
        <v>0</v>
      </c>
      <c r="T28" s="75">
        <v>0</v>
      </c>
      <c r="U28" s="77"/>
    </row>
    <row r="29" spans="1:20" ht="9" customHeight="1">
      <c r="A29" s="73"/>
      <c r="B29" s="73"/>
      <c r="C29" s="57"/>
      <c r="D29" s="73" t="s">
        <v>423</v>
      </c>
      <c r="E29" s="75">
        <v>0</v>
      </c>
      <c r="F29" s="75">
        <v>0</v>
      </c>
      <c r="G29" s="75">
        <v>0</v>
      </c>
      <c r="H29" s="75">
        <v>0</v>
      </c>
      <c r="I29" s="75">
        <v>0</v>
      </c>
      <c r="J29" s="75">
        <v>0</v>
      </c>
      <c r="K29" s="75">
        <v>0</v>
      </c>
      <c r="L29" s="75">
        <v>0</v>
      </c>
      <c r="M29" s="75">
        <v>0</v>
      </c>
      <c r="N29" s="75">
        <v>0</v>
      </c>
      <c r="O29" s="75">
        <v>0</v>
      </c>
      <c r="P29" s="75">
        <v>0</v>
      </c>
      <c r="Q29" s="75">
        <v>0</v>
      </c>
      <c r="R29" s="75">
        <v>0</v>
      </c>
      <c r="S29" s="75">
        <v>-3158</v>
      </c>
      <c r="T29" s="75">
        <v>-3158</v>
      </c>
    </row>
    <row r="30" spans="1:20" ht="9" customHeight="1">
      <c r="A30" s="73"/>
      <c r="B30" s="73"/>
      <c r="C30" s="57"/>
      <c r="D30" s="73" t="s">
        <v>424</v>
      </c>
      <c r="E30" s="75">
        <v>-47012</v>
      </c>
      <c r="F30" s="75">
        <v>0</v>
      </c>
      <c r="G30" s="75">
        <v>-47012</v>
      </c>
      <c r="H30" s="75">
        <v>-95565</v>
      </c>
      <c r="I30" s="75">
        <v>-2964</v>
      </c>
      <c r="J30" s="75">
        <v>0</v>
      </c>
      <c r="K30" s="75">
        <v>-98529</v>
      </c>
      <c r="L30" s="75">
        <v>-1883</v>
      </c>
      <c r="M30" s="75">
        <v>-31228</v>
      </c>
      <c r="N30" s="75">
        <v>0</v>
      </c>
      <c r="O30" s="75">
        <v>0</v>
      </c>
      <c r="P30" s="75">
        <v>-7557</v>
      </c>
      <c r="Q30" s="75">
        <v>-40668</v>
      </c>
      <c r="R30" s="75">
        <v>0</v>
      </c>
      <c r="S30" s="75">
        <v>-329652</v>
      </c>
      <c r="T30" s="75">
        <v>-515861</v>
      </c>
    </row>
    <row r="31" spans="1:20" ht="9" customHeight="1">
      <c r="A31" s="73"/>
      <c r="B31" s="73"/>
      <c r="C31" s="73" t="s">
        <v>425</v>
      </c>
      <c r="D31" s="73"/>
      <c r="E31" s="75">
        <v>1118</v>
      </c>
      <c r="F31" s="75">
        <v>-12</v>
      </c>
      <c r="G31" s="75">
        <v>1106</v>
      </c>
      <c r="H31" s="75">
        <v>-58881</v>
      </c>
      <c r="I31" s="75">
        <v>-37293</v>
      </c>
      <c r="J31" s="75">
        <v>-193</v>
      </c>
      <c r="K31" s="75">
        <v>-96367</v>
      </c>
      <c r="L31" s="75">
        <v>-7486</v>
      </c>
      <c r="M31" s="75">
        <v>-10309</v>
      </c>
      <c r="N31" s="75">
        <v>-11813</v>
      </c>
      <c r="O31" s="75">
        <v>-191</v>
      </c>
      <c r="P31" s="75">
        <v>-126</v>
      </c>
      <c r="Q31" s="75">
        <v>-29925</v>
      </c>
      <c r="R31" s="75">
        <v>-2302</v>
      </c>
      <c r="S31" s="75">
        <v>-12340</v>
      </c>
      <c r="T31" s="75">
        <v>-139828</v>
      </c>
    </row>
    <row r="32" spans="1:20" ht="9" customHeight="1">
      <c r="A32" s="73"/>
      <c r="B32" s="73"/>
      <c r="C32" s="57"/>
      <c r="D32" s="73" t="s">
        <v>426</v>
      </c>
      <c r="E32" s="75">
        <v>0</v>
      </c>
      <c r="F32" s="75">
        <v>0</v>
      </c>
      <c r="G32" s="75">
        <v>0</v>
      </c>
      <c r="H32" s="75">
        <v>-53631</v>
      </c>
      <c r="I32" s="75">
        <v>-30366</v>
      </c>
      <c r="J32" s="75">
        <v>0</v>
      </c>
      <c r="K32" s="75">
        <v>-83997</v>
      </c>
      <c r="L32" s="75">
        <v>-5872</v>
      </c>
      <c r="M32" s="75">
        <v>-6579</v>
      </c>
      <c r="N32" s="75">
        <v>0</v>
      </c>
      <c r="O32" s="75">
        <v>0</v>
      </c>
      <c r="P32" s="75">
        <v>0</v>
      </c>
      <c r="Q32" s="75">
        <v>-12451</v>
      </c>
      <c r="R32" s="75">
        <v>-2666</v>
      </c>
      <c r="S32" s="75">
        <v>-27882</v>
      </c>
      <c r="T32" s="75">
        <v>-126996</v>
      </c>
    </row>
    <row r="33" spans="1:21" ht="9" customHeight="1">
      <c r="A33" s="73"/>
      <c r="B33" s="73"/>
      <c r="C33" s="57"/>
      <c r="D33" s="73" t="s">
        <v>422</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7"/>
    </row>
    <row r="34" spans="1:20" ht="9" customHeight="1">
      <c r="A34" s="73"/>
      <c r="B34" s="73"/>
      <c r="C34" s="57"/>
      <c r="D34" s="73" t="s">
        <v>6</v>
      </c>
      <c r="E34" s="75">
        <v>1118</v>
      </c>
      <c r="F34" s="75">
        <v>-12</v>
      </c>
      <c r="G34" s="75">
        <v>1106</v>
      </c>
      <c r="H34" s="75">
        <v>-5250</v>
      </c>
      <c r="I34" s="75">
        <v>-6927</v>
      </c>
      <c r="J34" s="75">
        <v>-193</v>
      </c>
      <c r="K34" s="75">
        <v>-12370</v>
      </c>
      <c r="L34" s="75">
        <v>-1614</v>
      </c>
      <c r="M34" s="75">
        <v>-3730</v>
      </c>
      <c r="N34" s="75">
        <v>-11813</v>
      </c>
      <c r="O34" s="75">
        <v>-191</v>
      </c>
      <c r="P34" s="75">
        <v>-126</v>
      </c>
      <c r="Q34" s="75">
        <v>-17474</v>
      </c>
      <c r="R34" s="75">
        <v>364</v>
      </c>
      <c r="S34" s="75">
        <v>15542</v>
      </c>
      <c r="T34" s="75">
        <v>-12832</v>
      </c>
    </row>
    <row r="35" spans="1:20" ht="9" customHeight="1">
      <c r="A35" s="73"/>
      <c r="B35" s="73" t="s">
        <v>427</v>
      </c>
      <c r="C35" s="73"/>
      <c r="D35" s="74"/>
      <c r="E35" s="75">
        <v>-1664</v>
      </c>
      <c r="F35" s="75">
        <v>0</v>
      </c>
      <c r="G35" s="75">
        <v>-1664</v>
      </c>
      <c r="H35" s="75">
        <v>-47</v>
      </c>
      <c r="I35" s="75">
        <v>0</v>
      </c>
      <c r="J35" s="75">
        <v>0</v>
      </c>
      <c r="K35" s="75">
        <v>-47</v>
      </c>
      <c r="L35" s="75">
        <v>9</v>
      </c>
      <c r="M35" s="75">
        <v>0</v>
      </c>
      <c r="N35" s="75">
        <v>0</v>
      </c>
      <c r="O35" s="75">
        <v>0</v>
      </c>
      <c r="P35" s="75">
        <v>0</v>
      </c>
      <c r="Q35" s="75">
        <v>9</v>
      </c>
      <c r="R35" s="75">
        <v>0</v>
      </c>
      <c r="S35" s="75">
        <v>0</v>
      </c>
      <c r="T35" s="75">
        <v>-1702</v>
      </c>
    </row>
    <row r="36" spans="1:20" ht="12.75">
      <c r="A36" s="70"/>
      <c r="B36" s="70"/>
      <c r="C36" s="71" t="s">
        <v>428</v>
      </c>
      <c r="D36" s="76"/>
      <c r="E36" s="72">
        <v>559088</v>
      </c>
      <c r="F36" s="72">
        <v>33698</v>
      </c>
      <c r="G36" s="72">
        <v>592786</v>
      </c>
      <c r="H36" s="72">
        <v>685525</v>
      </c>
      <c r="I36" s="72">
        <v>118163</v>
      </c>
      <c r="J36" s="72">
        <v>270998</v>
      </c>
      <c r="K36" s="72">
        <v>1074686</v>
      </c>
      <c r="L36" s="72">
        <v>214523</v>
      </c>
      <c r="M36" s="72">
        <v>1398292</v>
      </c>
      <c r="N36" s="72">
        <v>1065923</v>
      </c>
      <c r="O36" s="72">
        <v>67938</v>
      </c>
      <c r="P36" s="72">
        <v>32496</v>
      </c>
      <c r="Q36" s="72">
        <v>2779172</v>
      </c>
      <c r="R36" s="72">
        <v>207916</v>
      </c>
      <c r="S36" s="72">
        <v>670779</v>
      </c>
      <c r="T36" s="72">
        <v>5325339</v>
      </c>
    </row>
    <row r="37" spans="1:20" ht="12" customHeight="1">
      <c r="A37" s="71" t="s">
        <v>429</v>
      </c>
      <c r="B37" s="73"/>
      <c r="C37" s="73"/>
      <c r="D37" s="73"/>
      <c r="E37" s="73"/>
      <c r="F37" s="73"/>
      <c r="G37" s="73"/>
      <c r="H37" s="73"/>
      <c r="I37" s="73"/>
      <c r="J37" s="73"/>
      <c r="K37" s="57"/>
      <c r="L37" s="73"/>
      <c r="M37" s="73"/>
      <c r="N37" s="73"/>
      <c r="O37" s="73"/>
      <c r="P37" s="73"/>
      <c r="Q37" s="73"/>
      <c r="R37" s="57"/>
      <c r="S37" s="57"/>
      <c r="T37" s="57"/>
    </row>
    <row r="38" spans="1:22" ht="9" customHeight="1">
      <c r="A38" s="73"/>
      <c r="B38" s="73" t="s">
        <v>430</v>
      </c>
      <c r="C38" s="73"/>
      <c r="D38" s="73"/>
      <c r="E38" s="75">
        <v>1506</v>
      </c>
      <c r="F38" s="75">
        <v>93</v>
      </c>
      <c r="G38" s="75">
        <v>1599</v>
      </c>
      <c r="H38" s="75">
        <v>2155</v>
      </c>
      <c r="I38" s="75">
        <v>421</v>
      </c>
      <c r="J38" s="75">
        <v>739</v>
      </c>
      <c r="K38" s="75">
        <v>3314</v>
      </c>
      <c r="L38" s="75">
        <v>580</v>
      </c>
      <c r="M38" s="75">
        <v>3529</v>
      </c>
      <c r="N38" s="75">
        <v>2826</v>
      </c>
      <c r="O38" s="75">
        <v>174</v>
      </c>
      <c r="P38" s="75">
        <v>95</v>
      </c>
      <c r="Q38" s="75">
        <v>7204</v>
      </c>
      <c r="R38" s="75">
        <v>562</v>
      </c>
      <c r="S38" s="75">
        <v>2899</v>
      </c>
      <c r="T38" s="75">
        <v>15578</v>
      </c>
      <c r="U38" s="80"/>
      <c r="V38" s="80"/>
    </row>
    <row r="39" spans="1:22" ht="9" customHeight="1">
      <c r="A39" s="73"/>
      <c r="B39" s="73" t="s">
        <v>431</v>
      </c>
      <c r="C39" s="73"/>
      <c r="D39" s="73"/>
      <c r="E39" s="81">
        <v>1623</v>
      </c>
      <c r="F39" s="81">
        <v>94</v>
      </c>
      <c r="G39" s="81">
        <v>1717</v>
      </c>
      <c r="H39" s="81">
        <v>2362</v>
      </c>
      <c r="I39" s="81">
        <v>426</v>
      </c>
      <c r="J39" s="81">
        <v>781</v>
      </c>
      <c r="K39" s="81">
        <v>3569</v>
      </c>
      <c r="L39" s="81">
        <v>631</v>
      </c>
      <c r="M39" s="81">
        <v>4001</v>
      </c>
      <c r="N39" s="81">
        <v>3209</v>
      </c>
      <c r="O39" s="81">
        <v>206</v>
      </c>
      <c r="P39" s="81">
        <v>113</v>
      </c>
      <c r="Q39" s="81">
        <v>8159</v>
      </c>
      <c r="R39" s="81">
        <v>589</v>
      </c>
      <c r="S39" s="81">
        <v>3162</v>
      </c>
      <c r="T39" s="81">
        <v>17196</v>
      </c>
      <c r="U39" s="82"/>
      <c r="V39" s="82"/>
    </row>
    <row r="40" spans="1:22" ht="9" customHeight="1">
      <c r="A40" s="73"/>
      <c r="B40" s="73" t="s">
        <v>444</v>
      </c>
      <c r="C40" s="73"/>
      <c r="D40" s="73"/>
      <c r="E40" s="83">
        <v>92.8</v>
      </c>
      <c r="F40" s="83">
        <v>98.5</v>
      </c>
      <c r="G40" s="83">
        <v>93.1</v>
      </c>
      <c r="H40" s="83">
        <v>91.2</v>
      </c>
      <c r="I40" s="83">
        <v>98.8</v>
      </c>
      <c r="J40" s="83">
        <v>94.6</v>
      </c>
      <c r="K40" s="83">
        <v>92.9</v>
      </c>
      <c r="L40" s="83">
        <v>92</v>
      </c>
      <c r="M40" s="83">
        <v>88.2</v>
      </c>
      <c r="N40" s="83">
        <v>88.1</v>
      </c>
      <c r="O40" s="83">
        <v>84.4</v>
      </c>
      <c r="P40" s="83">
        <v>84.2</v>
      </c>
      <c r="Q40" s="83">
        <v>88.3</v>
      </c>
      <c r="R40" s="83">
        <v>95.5</v>
      </c>
      <c r="S40" s="83">
        <v>91.7</v>
      </c>
      <c r="T40" s="83">
        <v>90.6</v>
      </c>
      <c r="U40" s="84"/>
      <c r="V40" s="84"/>
    </row>
    <row r="41" spans="1:20" ht="12" customHeight="1">
      <c r="A41" s="71" t="s">
        <v>432</v>
      </c>
      <c r="B41" s="73"/>
      <c r="C41" s="73"/>
      <c r="D41" s="73"/>
      <c r="E41" s="73"/>
      <c r="F41" s="73"/>
      <c r="G41" s="73"/>
      <c r="H41" s="73"/>
      <c r="I41" s="73"/>
      <c r="J41" s="73"/>
      <c r="K41" s="57"/>
      <c r="L41" s="73"/>
      <c r="M41" s="73"/>
      <c r="N41" s="73"/>
      <c r="O41" s="73"/>
      <c r="P41" s="73"/>
      <c r="Q41" s="73"/>
      <c r="R41" s="57"/>
      <c r="S41" s="57"/>
      <c r="T41" s="57"/>
    </row>
    <row r="42" spans="1:20" ht="9" customHeight="1">
      <c r="A42" s="73"/>
      <c r="B42" s="85" t="s">
        <v>433</v>
      </c>
      <c r="C42" s="73"/>
      <c r="D42" s="73"/>
      <c r="E42" s="73"/>
      <c r="F42" s="73"/>
      <c r="G42" s="73"/>
      <c r="H42" s="73"/>
      <c r="I42" s="73"/>
      <c r="J42" s="73"/>
      <c r="K42" s="57"/>
      <c r="L42" s="73"/>
      <c r="M42" s="73"/>
      <c r="N42" s="73"/>
      <c r="O42" s="73"/>
      <c r="P42" s="73"/>
      <c r="Q42" s="73"/>
      <c r="R42" s="57"/>
      <c r="S42" s="57"/>
      <c r="T42" s="57"/>
    </row>
    <row r="43" spans="1:22" ht="9" customHeight="1">
      <c r="A43" s="73"/>
      <c r="B43" s="73" t="s">
        <v>434</v>
      </c>
      <c r="C43" s="73"/>
      <c r="D43" s="73"/>
      <c r="E43" s="86">
        <v>654</v>
      </c>
      <c r="F43" s="86">
        <v>17</v>
      </c>
      <c r="G43" s="86">
        <v>671</v>
      </c>
      <c r="H43" s="86">
        <v>765</v>
      </c>
      <c r="I43" s="86">
        <v>130</v>
      </c>
      <c r="J43" s="86">
        <v>208</v>
      </c>
      <c r="K43" s="86">
        <v>1103</v>
      </c>
      <c r="L43" s="86">
        <v>183</v>
      </c>
      <c r="M43" s="86">
        <v>1359</v>
      </c>
      <c r="N43" s="86">
        <v>996</v>
      </c>
      <c r="O43" s="86">
        <v>18</v>
      </c>
      <c r="P43" s="86">
        <v>32</v>
      </c>
      <c r="Q43" s="86">
        <v>2588</v>
      </c>
      <c r="R43" s="86">
        <v>164</v>
      </c>
      <c r="S43" s="86">
        <v>743</v>
      </c>
      <c r="T43" s="86">
        <v>5269</v>
      </c>
      <c r="U43" s="87"/>
      <c r="V43" s="87"/>
    </row>
    <row r="44" spans="1:22" ht="9" customHeight="1">
      <c r="A44" s="73"/>
      <c r="B44" s="73" t="s">
        <v>435</v>
      </c>
      <c r="C44" s="73"/>
      <c r="D44" s="73"/>
      <c r="E44" s="86">
        <v>34</v>
      </c>
      <c r="F44" s="86">
        <v>0</v>
      </c>
      <c r="G44" s="86">
        <v>34</v>
      </c>
      <c r="H44" s="86">
        <v>127</v>
      </c>
      <c r="I44" s="86">
        <v>0</v>
      </c>
      <c r="J44" s="86">
        <v>6</v>
      </c>
      <c r="K44" s="86">
        <v>133</v>
      </c>
      <c r="L44" s="86">
        <v>53</v>
      </c>
      <c r="M44" s="86">
        <v>222</v>
      </c>
      <c r="N44" s="86">
        <v>210</v>
      </c>
      <c r="O44" s="86">
        <v>0</v>
      </c>
      <c r="P44" s="86">
        <v>0</v>
      </c>
      <c r="Q44" s="86">
        <v>485</v>
      </c>
      <c r="R44" s="86">
        <v>15</v>
      </c>
      <c r="S44" s="86">
        <v>505</v>
      </c>
      <c r="T44" s="86">
        <v>1172</v>
      </c>
      <c r="U44" s="87"/>
      <c r="V44" s="87"/>
    </row>
    <row r="45" spans="1:22" ht="9" customHeight="1">
      <c r="A45" s="73"/>
      <c r="B45" s="73" t="s">
        <v>436</v>
      </c>
      <c r="C45" s="73"/>
      <c r="D45" s="73"/>
      <c r="E45" s="86">
        <v>71</v>
      </c>
      <c r="F45" s="86">
        <v>0</v>
      </c>
      <c r="G45" s="86">
        <v>71</v>
      </c>
      <c r="H45" s="86">
        <v>175</v>
      </c>
      <c r="I45" s="86">
        <v>60</v>
      </c>
      <c r="J45" s="86">
        <v>81</v>
      </c>
      <c r="K45" s="86">
        <v>316</v>
      </c>
      <c r="L45" s="86">
        <v>5</v>
      </c>
      <c r="M45" s="86">
        <v>636</v>
      </c>
      <c r="N45" s="86">
        <v>479</v>
      </c>
      <c r="O45" s="86">
        <v>11</v>
      </c>
      <c r="P45" s="86">
        <v>0</v>
      </c>
      <c r="Q45" s="86">
        <v>1132</v>
      </c>
      <c r="R45" s="86">
        <v>43</v>
      </c>
      <c r="S45" s="86">
        <v>491</v>
      </c>
      <c r="T45" s="86">
        <v>2054</v>
      </c>
      <c r="U45" s="87"/>
      <c r="V45" s="87"/>
    </row>
    <row r="46" spans="1:20" ht="12" customHeight="1">
      <c r="A46" s="71" t="s">
        <v>437</v>
      </c>
      <c r="B46" s="73"/>
      <c r="C46" s="73"/>
      <c r="D46" s="73"/>
      <c r="E46" s="73"/>
      <c r="F46" s="73"/>
      <c r="G46" s="73"/>
      <c r="H46" s="73"/>
      <c r="I46" s="73"/>
      <c r="J46" s="73"/>
      <c r="K46" s="57"/>
      <c r="L46" s="73"/>
      <c r="M46" s="73"/>
      <c r="N46" s="73"/>
      <c r="O46" s="73"/>
      <c r="P46" s="73"/>
      <c r="Q46" s="73"/>
      <c r="R46" s="57"/>
      <c r="S46" s="57"/>
      <c r="T46" s="57"/>
    </row>
    <row r="47" spans="1:22" ht="9" customHeight="1">
      <c r="A47" s="73"/>
      <c r="B47" s="73" t="s">
        <v>438</v>
      </c>
      <c r="C47" s="73"/>
      <c r="D47" s="73"/>
      <c r="E47" s="88">
        <v>0.7879504055892681</v>
      </c>
      <c r="F47" s="88">
        <v>1.4869284811428907</v>
      </c>
      <c r="G47" s="88">
        <v>0.8279272302995253</v>
      </c>
      <c r="H47" s="88">
        <v>1.3750846371897303</v>
      </c>
      <c r="I47" s="88">
        <v>2.236090937447201</v>
      </c>
      <c r="J47" s="88">
        <v>0.903581593450613</v>
      </c>
      <c r="K47" s="89">
        <v>1.38003650932038</v>
      </c>
      <c r="L47" s="88">
        <v>0.8826374239686698</v>
      </c>
      <c r="M47" s="88">
        <v>1.7883572223877555</v>
      </c>
      <c r="N47" s="88">
        <v>1.6285660884871742</v>
      </c>
      <c r="O47" s="88">
        <v>1.830978358285706</v>
      </c>
      <c r="P47" s="88">
        <v>0.5865647659376995</v>
      </c>
      <c r="Q47" s="88">
        <v>1.637768060089359</v>
      </c>
      <c r="R47" s="89">
        <v>1.3016254701114538</v>
      </c>
      <c r="S47" s="89">
        <v>1.2828565409389432</v>
      </c>
      <c r="T47" s="89">
        <v>1.4212740666775387</v>
      </c>
      <c r="U47" s="90"/>
      <c r="V47" s="90"/>
    </row>
    <row r="48" spans="1:22" ht="9" customHeight="1">
      <c r="A48" s="73"/>
      <c r="B48" s="73" t="s">
        <v>439</v>
      </c>
      <c r="C48" s="73"/>
      <c r="D48" s="73"/>
      <c r="E48" s="88">
        <v>32.398178530606</v>
      </c>
      <c r="F48" s="88">
        <v>32.34081983597401</v>
      </c>
      <c r="G48" s="88">
        <v>32.3948980006994</v>
      </c>
      <c r="H48" s="88">
        <v>32.06397239238311</v>
      </c>
      <c r="I48" s="88">
        <v>26.924047866602553</v>
      </c>
      <c r="J48" s="88">
        <v>34.533665882896535</v>
      </c>
      <c r="K48" s="89">
        <v>31.957530734421056</v>
      </c>
      <c r="L48" s="88">
        <v>37.378225005439255</v>
      </c>
      <c r="M48" s="88">
        <v>28.550975559458657</v>
      </c>
      <c r="N48" s="88">
        <v>29.23849197998458</v>
      </c>
      <c r="O48" s="88">
        <v>27.645979754051393</v>
      </c>
      <c r="P48" s="88">
        <v>39.42780961772725</v>
      </c>
      <c r="Q48" s="88">
        <v>29.65650345872202</v>
      </c>
      <c r="R48" s="89">
        <v>32.48476427005849</v>
      </c>
      <c r="S48" s="89">
        <v>27.66512563443122</v>
      </c>
      <c r="T48" s="89">
        <v>30.197154702150783</v>
      </c>
      <c r="U48" s="90"/>
      <c r="V48" s="90"/>
    </row>
    <row r="49" spans="1:22" ht="12" customHeight="1">
      <c r="A49" s="71" t="s">
        <v>431</v>
      </c>
      <c r="B49" s="73"/>
      <c r="C49" s="73"/>
      <c r="D49" s="73"/>
      <c r="E49" s="91">
        <v>1622.6</v>
      </c>
      <c r="F49" s="91">
        <v>94.4</v>
      </c>
      <c r="G49" s="91">
        <v>1717</v>
      </c>
      <c r="H49" s="91">
        <v>2361.9</v>
      </c>
      <c r="I49" s="91">
        <v>426</v>
      </c>
      <c r="J49" s="91">
        <v>781.16</v>
      </c>
      <c r="K49" s="92">
        <v>3569.06</v>
      </c>
      <c r="L49" s="91">
        <v>630.65</v>
      </c>
      <c r="M49" s="91">
        <v>4000.78</v>
      </c>
      <c r="N49" s="91">
        <v>3208.72</v>
      </c>
      <c r="O49" s="91">
        <v>206.42</v>
      </c>
      <c r="P49" s="91">
        <v>112.6</v>
      </c>
      <c r="Q49" s="91">
        <v>8159.17</v>
      </c>
      <c r="R49" s="92">
        <v>588.74</v>
      </c>
      <c r="S49" s="92">
        <v>3161.6</v>
      </c>
      <c r="T49" s="92">
        <v>17195.57</v>
      </c>
      <c r="U49" s="93"/>
      <c r="V49" s="93"/>
    </row>
    <row r="50" spans="1:22" ht="9" customHeight="1">
      <c r="A50" s="73"/>
      <c r="B50" s="73" t="s">
        <v>440</v>
      </c>
      <c r="C50" s="73"/>
      <c r="D50" s="73"/>
      <c r="E50" s="81">
        <v>1577.1</v>
      </c>
      <c r="F50" s="81">
        <v>94.4</v>
      </c>
      <c r="G50" s="81">
        <v>1671</v>
      </c>
      <c r="H50" s="81">
        <v>2355.62</v>
      </c>
      <c r="I50" s="81">
        <v>426</v>
      </c>
      <c r="J50" s="81">
        <v>781.16</v>
      </c>
      <c r="K50" s="94">
        <v>3562.78</v>
      </c>
      <c r="L50" s="81">
        <v>630.65</v>
      </c>
      <c r="M50" s="81">
        <v>3868.24</v>
      </c>
      <c r="N50" s="81">
        <v>3009.75</v>
      </c>
      <c r="O50" s="81">
        <v>201.11</v>
      </c>
      <c r="P50" s="81">
        <v>112.6</v>
      </c>
      <c r="Q50" s="81">
        <v>7822.35</v>
      </c>
      <c r="R50" s="94">
        <v>588.74</v>
      </c>
      <c r="S50" s="94">
        <v>3117.91</v>
      </c>
      <c r="T50" s="94">
        <v>16763.28</v>
      </c>
      <c r="U50" s="93"/>
      <c r="V50" s="93"/>
    </row>
    <row r="51" spans="1:22" ht="9" customHeight="1">
      <c r="A51" s="73"/>
      <c r="B51" s="73" t="s">
        <v>441</v>
      </c>
      <c r="C51" s="73"/>
      <c r="D51" s="73"/>
      <c r="E51" s="81">
        <v>45.5</v>
      </c>
      <c r="F51" s="81">
        <v>0</v>
      </c>
      <c r="G51" s="81">
        <v>45.5</v>
      </c>
      <c r="H51" s="81">
        <v>6.29</v>
      </c>
      <c r="I51" s="81">
        <v>0</v>
      </c>
      <c r="J51" s="81">
        <v>0</v>
      </c>
      <c r="K51" s="94">
        <v>6.29</v>
      </c>
      <c r="L51" s="81">
        <v>0</v>
      </c>
      <c r="M51" s="81">
        <v>132.54</v>
      </c>
      <c r="N51" s="81">
        <v>198.96</v>
      </c>
      <c r="O51" s="81">
        <v>5.31</v>
      </c>
      <c r="P51" s="81">
        <v>0</v>
      </c>
      <c r="Q51" s="81">
        <v>336.81</v>
      </c>
      <c r="R51" s="94">
        <v>0</v>
      </c>
      <c r="S51" s="94">
        <v>43.69</v>
      </c>
      <c r="T51" s="94">
        <v>432.29</v>
      </c>
      <c r="U51" s="93"/>
      <c r="V51" s="93"/>
    </row>
    <row r="52" spans="1:20" ht="12" customHeight="1">
      <c r="A52" s="95" t="s">
        <v>442</v>
      </c>
      <c r="B52" s="96"/>
      <c r="C52" s="96"/>
      <c r="D52" s="96"/>
      <c r="E52" s="97">
        <v>0</v>
      </c>
      <c r="F52" s="97">
        <v>0</v>
      </c>
      <c r="G52" s="97">
        <v>0</v>
      </c>
      <c r="H52" s="97">
        <v>0</v>
      </c>
      <c r="I52" s="97">
        <v>0</v>
      </c>
      <c r="J52" s="97">
        <v>0</v>
      </c>
      <c r="K52" s="97">
        <v>0</v>
      </c>
      <c r="L52" s="97">
        <v>0</v>
      </c>
      <c r="M52" s="97">
        <v>0</v>
      </c>
      <c r="N52" s="97">
        <v>0</v>
      </c>
      <c r="O52" s="97">
        <v>0</v>
      </c>
      <c r="P52" s="97">
        <v>0</v>
      </c>
      <c r="Q52" s="97">
        <v>0</v>
      </c>
      <c r="R52" s="97">
        <v>0</v>
      </c>
      <c r="S52" s="98">
        <v>319115</v>
      </c>
      <c r="T52" s="98">
        <v>319115</v>
      </c>
    </row>
    <row r="53" spans="1:20" ht="12.75">
      <c r="A53" s="57"/>
      <c r="B53" s="57"/>
      <c r="C53" s="57"/>
      <c r="D53" s="57"/>
      <c r="E53" s="57"/>
      <c r="F53" s="57"/>
      <c r="G53" s="57"/>
      <c r="H53" s="57"/>
      <c r="I53" s="57"/>
      <c r="J53" s="57"/>
      <c r="K53" s="57"/>
      <c r="L53" s="91"/>
      <c r="M53" s="57"/>
      <c r="N53" s="57"/>
      <c r="O53" s="57"/>
      <c r="P53" s="57"/>
      <c r="Q53" s="57"/>
      <c r="R53" s="57"/>
      <c r="S53" s="57"/>
      <c r="T53" s="57"/>
    </row>
    <row r="54" spans="1:20" ht="12.75">
      <c r="A54" s="57"/>
      <c r="B54" s="57"/>
      <c r="C54" s="57"/>
      <c r="D54" s="57"/>
      <c r="E54" s="57"/>
      <c r="F54" s="57"/>
      <c r="G54" s="57"/>
      <c r="H54" s="57"/>
      <c r="I54" s="57"/>
      <c r="J54" s="57"/>
      <c r="K54" s="57"/>
      <c r="L54" s="81"/>
      <c r="M54" s="57"/>
      <c r="N54" s="57"/>
      <c r="O54" s="57"/>
      <c r="P54" s="57"/>
      <c r="Q54" s="57"/>
      <c r="R54" s="57"/>
      <c r="S54" s="57"/>
      <c r="T54" s="57"/>
    </row>
    <row r="55" spans="1:20" ht="12.75">
      <c r="A55" s="57"/>
      <c r="B55" s="57"/>
      <c r="C55" s="57"/>
      <c r="D55" s="57"/>
      <c r="E55" s="57"/>
      <c r="F55" s="57"/>
      <c r="G55" s="57"/>
      <c r="H55" s="57"/>
      <c r="I55" s="57"/>
      <c r="J55" s="57"/>
      <c r="K55" s="57"/>
      <c r="L55" s="81"/>
      <c r="M55" s="57"/>
      <c r="N55" s="57"/>
      <c r="O55" s="57"/>
      <c r="P55" s="57"/>
      <c r="Q55" s="57"/>
      <c r="R55" s="57"/>
      <c r="S55" s="57"/>
      <c r="T55" s="57"/>
    </row>
    <row r="56" spans="1:20" ht="12.75">
      <c r="A56" s="57"/>
      <c r="B56" s="57"/>
      <c r="C56" s="57"/>
      <c r="D56" s="57"/>
      <c r="E56" s="57"/>
      <c r="F56" s="57"/>
      <c r="G56" s="57"/>
      <c r="H56" s="57"/>
      <c r="I56" s="57"/>
      <c r="J56" s="57"/>
      <c r="K56" s="57"/>
      <c r="L56" s="74"/>
      <c r="M56" s="57"/>
      <c r="N56" s="57"/>
      <c r="O56" s="57"/>
      <c r="P56" s="57"/>
      <c r="Q56" s="57"/>
      <c r="R56" s="57"/>
      <c r="S56" s="57"/>
      <c r="T56" s="57"/>
    </row>
    <row r="57" spans="1:20" ht="12.75">
      <c r="A57" s="57"/>
      <c r="B57" s="57"/>
      <c r="C57" s="57"/>
      <c r="D57" s="57"/>
      <c r="E57" s="57"/>
      <c r="F57" s="57"/>
      <c r="G57" s="57"/>
      <c r="H57" s="57"/>
      <c r="I57" s="57"/>
      <c r="J57" s="57"/>
      <c r="K57" s="57"/>
      <c r="L57" s="57"/>
      <c r="M57" s="57"/>
      <c r="N57" s="57"/>
      <c r="O57" s="57"/>
      <c r="P57" s="57"/>
      <c r="Q57" s="57"/>
      <c r="R57" s="57"/>
      <c r="S57" s="57"/>
      <c r="T57" s="57"/>
    </row>
    <row r="58" spans="1:20" ht="12.75">
      <c r="A58" s="57"/>
      <c r="B58" s="57"/>
      <c r="C58" s="57"/>
      <c r="D58" s="57"/>
      <c r="E58" s="57"/>
      <c r="F58" s="57"/>
      <c r="G58" s="57"/>
      <c r="H58" s="57"/>
      <c r="I58" s="57"/>
      <c r="J58" s="57"/>
      <c r="K58" s="57"/>
      <c r="L58" s="57"/>
      <c r="M58" s="57"/>
      <c r="N58" s="57"/>
      <c r="O58" s="57"/>
      <c r="P58" s="57"/>
      <c r="Q58" s="57"/>
      <c r="R58" s="57"/>
      <c r="S58" s="57"/>
      <c r="T58" s="57"/>
    </row>
  </sheetData>
  <mergeCells count="4">
    <mergeCell ref="A3:D4"/>
    <mergeCell ref="E3:G3"/>
    <mergeCell ref="H3:K3"/>
    <mergeCell ref="L3:Q3"/>
  </mergeCells>
  <printOptions horizontalCentered="1"/>
  <pageMargins left="0.5" right="0.5" top="0.5" bottom="0.5" header="0" footer="0.5"/>
  <pageSetup horizontalDpi="300" verticalDpi="300" orientation="portrait" r:id="rId2"/>
  <headerFooter alignWithMargins="0">
    <oddFooter>&amp;C&amp;8Energy Information Administration/Petroleum Supply Annual 2005, Volume 1</oddFooter>
  </headerFooter>
  <drawing r:id="rId1"/>
</worksheet>
</file>

<file path=xl/worksheets/sheet5.xml><?xml version="1.0" encoding="utf-8"?>
<worksheet xmlns="http://schemas.openxmlformats.org/spreadsheetml/2006/main" xmlns:r="http://schemas.openxmlformats.org/officeDocument/2006/relationships">
  <sheetPr codeName="Sheet193">
    <tabColor indexed="44"/>
  </sheetPr>
  <dimension ref="A1:Z117"/>
  <sheetViews>
    <sheetView workbookViewId="0" topLeftCell="A1">
      <selection activeCell="A19" sqref="A19"/>
    </sheetView>
  </sheetViews>
  <sheetFormatPr defaultColWidth="9.140625" defaultRowHeight="12.75"/>
  <cols>
    <col min="1" max="2" width="1.7109375" style="129" customWidth="1"/>
    <col min="3" max="3" width="29.140625" style="131" customWidth="1"/>
    <col min="4" max="4" width="7.7109375" style="129" customWidth="1"/>
    <col min="5" max="5" width="9.7109375" style="129" customWidth="1"/>
    <col min="6" max="6" width="7.7109375" style="129" customWidth="1"/>
    <col min="7" max="7" width="8.7109375" style="129" customWidth="1"/>
    <col min="8" max="8" width="10.7109375" style="129" customWidth="1"/>
    <col min="9" max="10" width="8.7109375" style="129" customWidth="1"/>
    <col min="11" max="19" width="9.140625" style="129" customWidth="1"/>
    <col min="20" max="16384" width="8.8515625" style="104" customWidth="1"/>
  </cols>
  <sheetData>
    <row r="1" spans="1:19" ht="12.75">
      <c r="A1" s="99" t="s">
        <v>445</v>
      </c>
      <c r="B1" s="100"/>
      <c r="C1" s="101"/>
      <c r="D1" s="100"/>
      <c r="E1" s="100"/>
      <c r="F1" s="100"/>
      <c r="G1" s="100"/>
      <c r="H1" s="100"/>
      <c r="I1" s="100"/>
      <c r="J1" s="100"/>
      <c r="K1" s="100"/>
      <c r="L1" s="102"/>
      <c r="M1" s="103"/>
      <c r="N1" s="103"/>
      <c r="O1" s="103"/>
      <c r="P1" s="103"/>
      <c r="Q1" s="103"/>
      <c r="R1" s="103"/>
      <c r="S1" s="103"/>
    </row>
    <row r="2" spans="1:19" ht="10.5" customHeight="1">
      <c r="A2" s="100"/>
      <c r="B2" s="100"/>
      <c r="C2" s="101" t="s">
        <v>446</v>
      </c>
      <c r="D2" s="100"/>
      <c r="E2" s="100"/>
      <c r="F2" s="100"/>
      <c r="G2" s="100"/>
      <c r="H2" s="100"/>
      <c r="I2" s="100"/>
      <c r="J2" s="100"/>
      <c r="K2" s="100"/>
      <c r="L2" s="100"/>
      <c r="M2" s="103"/>
      <c r="N2" s="103"/>
      <c r="O2" s="103"/>
      <c r="P2" s="103"/>
      <c r="Q2" s="103"/>
      <c r="R2" s="103"/>
      <c r="S2" s="103"/>
    </row>
    <row r="3" spans="1:19" ht="18.75">
      <c r="A3" s="274" t="s">
        <v>381</v>
      </c>
      <c r="B3" s="274"/>
      <c r="C3" s="275"/>
      <c r="D3" s="278" t="s">
        <v>382</v>
      </c>
      <c r="E3" s="279"/>
      <c r="F3" s="280"/>
      <c r="G3" s="278" t="s">
        <v>383</v>
      </c>
      <c r="H3" s="281"/>
      <c r="I3" s="281"/>
      <c r="J3" s="281"/>
      <c r="K3" s="278" t="s">
        <v>384</v>
      </c>
      <c r="L3" s="279"/>
      <c r="M3" s="279"/>
      <c r="N3" s="279"/>
      <c r="O3" s="279"/>
      <c r="P3" s="280"/>
      <c r="Q3" s="105" t="s">
        <v>385</v>
      </c>
      <c r="R3" s="105" t="s">
        <v>386</v>
      </c>
      <c r="S3" s="106"/>
    </row>
    <row r="4" spans="1:19" s="111" customFormat="1" ht="24.75" customHeight="1">
      <c r="A4" s="276"/>
      <c r="B4" s="276"/>
      <c r="C4" s="277"/>
      <c r="D4" s="107" t="s">
        <v>387</v>
      </c>
      <c r="E4" s="108" t="s">
        <v>388</v>
      </c>
      <c r="F4" s="108" t="s">
        <v>389</v>
      </c>
      <c r="G4" s="108" t="s">
        <v>390</v>
      </c>
      <c r="H4" s="108" t="s">
        <v>391</v>
      </c>
      <c r="I4" s="108" t="s">
        <v>392</v>
      </c>
      <c r="J4" s="109" t="s">
        <v>389</v>
      </c>
      <c r="K4" s="108" t="s">
        <v>393</v>
      </c>
      <c r="L4" s="108" t="s">
        <v>394</v>
      </c>
      <c r="M4" s="108" t="s">
        <v>395</v>
      </c>
      <c r="N4" s="108" t="s">
        <v>396</v>
      </c>
      <c r="O4" s="108" t="s">
        <v>397</v>
      </c>
      <c r="P4" s="107" t="s">
        <v>389</v>
      </c>
      <c r="Q4" s="108" t="s">
        <v>398</v>
      </c>
      <c r="R4" s="108" t="s">
        <v>399</v>
      </c>
      <c r="S4" s="110" t="s">
        <v>400</v>
      </c>
    </row>
    <row r="5" spans="1:26" s="69" customFormat="1" ht="14.25" customHeight="1">
      <c r="A5" s="66"/>
      <c r="B5" s="66"/>
      <c r="C5" s="66"/>
      <c r="D5" s="67" t="s">
        <v>73</v>
      </c>
      <c r="E5" s="67" t="s">
        <v>105</v>
      </c>
      <c r="F5" s="67"/>
      <c r="G5" s="67" t="s">
        <v>114</v>
      </c>
      <c r="H5" s="67" t="s">
        <v>144</v>
      </c>
      <c r="I5" s="67" t="s">
        <v>155</v>
      </c>
      <c r="J5" s="67"/>
      <c r="K5" s="67" t="s">
        <v>172</v>
      </c>
      <c r="L5" s="67" t="s">
        <v>186</v>
      </c>
      <c r="M5" s="67" t="s">
        <v>211</v>
      </c>
      <c r="N5" s="67" t="s">
        <v>243</v>
      </c>
      <c r="O5" s="67" t="s">
        <v>263</v>
      </c>
      <c r="P5" s="67"/>
      <c r="Q5" s="67" t="s">
        <v>270</v>
      </c>
      <c r="R5" s="67" t="s">
        <v>299</v>
      </c>
      <c r="S5" s="67"/>
      <c r="T5" s="68"/>
      <c r="U5" s="68"/>
      <c r="V5" s="68"/>
      <c r="W5" s="68"/>
      <c r="X5" s="68"/>
      <c r="Y5" s="68"/>
      <c r="Z5" s="68"/>
    </row>
    <row r="6" spans="1:21" ht="13.5" customHeight="1">
      <c r="A6" s="112" t="s">
        <v>447</v>
      </c>
      <c r="B6" s="112"/>
      <c r="C6" s="113"/>
      <c r="D6" s="75">
        <v>14825</v>
      </c>
      <c r="E6" s="75">
        <v>298</v>
      </c>
      <c r="F6" s="75">
        <v>15123</v>
      </c>
      <c r="G6" s="75">
        <v>33928</v>
      </c>
      <c r="H6" s="75">
        <v>1840</v>
      </c>
      <c r="I6" s="75">
        <v>2446</v>
      </c>
      <c r="J6" s="75">
        <v>38214</v>
      </c>
      <c r="K6" s="75">
        <v>9316</v>
      </c>
      <c r="L6" s="75">
        <v>72824</v>
      </c>
      <c r="M6" s="75">
        <v>46065</v>
      </c>
      <c r="N6" s="75">
        <v>556</v>
      </c>
      <c r="O6" s="75">
        <v>583</v>
      </c>
      <c r="P6" s="75">
        <v>129344</v>
      </c>
      <c r="Q6" s="75">
        <v>1440</v>
      </c>
      <c r="R6" s="75">
        <v>24908</v>
      </c>
      <c r="S6" s="75">
        <v>209029</v>
      </c>
      <c r="T6" s="78"/>
      <c r="U6" s="78">
        <f>S6+S19+S27+S28+S29+S30+S48+S39+S41</f>
        <v>4813856</v>
      </c>
    </row>
    <row r="7" spans="1:21" ht="9" customHeight="1">
      <c r="A7" s="112" t="s">
        <v>412</v>
      </c>
      <c r="B7" s="112" t="s">
        <v>448</v>
      </c>
      <c r="C7" s="113"/>
      <c r="D7" s="75">
        <v>107</v>
      </c>
      <c r="E7" s="75">
        <v>0</v>
      </c>
      <c r="F7" s="75">
        <v>107</v>
      </c>
      <c r="G7" s="75">
        <v>0</v>
      </c>
      <c r="H7" s="75">
        <v>0</v>
      </c>
      <c r="I7" s="75">
        <v>0</v>
      </c>
      <c r="J7" s="75">
        <v>0</v>
      </c>
      <c r="K7" s="75">
        <v>0</v>
      </c>
      <c r="L7" s="75">
        <v>6973</v>
      </c>
      <c r="M7" s="75">
        <v>185</v>
      </c>
      <c r="N7" s="75">
        <v>0</v>
      </c>
      <c r="O7" s="75">
        <v>0</v>
      </c>
      <c r="P7" s="75">
        <v>7158</v>
      </c>
      <c r="Q7" s="75">
        <v>0</v>
      </c>
      <c r="R7" s="75">
        <v>0</v>
      </c>
      <c r="S7" s="75">
        <v>7265</v>
      </c>
      <c r="T7" s="78"/>
      <c r="U7" s="222">
        <f>(S6+S48)/U6</f>
        <v>0.0952548227450094</v>
      </c>
    </row>
    <row r="8" spans="1:21" ht="9" customHeight="1">
      <c r="A8" s="112"/>
      <c r="B8" s="112"/>
      <c r="C8" s="113" t="s">
        <v>405</v>
      </c>
      <c r="D8" s="75">
        <v>0</v>
      </c>
      <c r="E8" s="75">
        <v>0</v>
      </c>
      <c r="F8" s="75">
        <v>0</v>
      </c>
      <c r="G8" s="75">
        <v>0</v>
      </c>
      <c r="H8" s="75">
        <v>0</v>
      </c>
      <c r="I8" s="75">
        <v>0</v>
      </c>
      <c r="J8" s="75">
        <v>0</v>
      </c>
      <c r="K8" s="75">
        <v>0</v>
      </c>
      <c r="L8" s="75">
        <v>4599</v>
      </c>
      <c r="M8" s="75">
        <v>185</v>
      </c>
      <c r="N8" s="75">
        <v>0</v>
      </c>
      <c r="O8" s="75">
        <v>0</v>
      </c>
      <c r="P8" s="75">
        <v>4784</v>
      </c>
      <c r="Q8" s="75">
        <v>0</v>
      </c>
      <c r="R8" s="75">
        <v>0</v>
      </c>
      <c r="S8" s="75">
        <v>4784</v>
      </c>
      <c r="T8" s="78"/>
      <c r="U8" s="78"/>
    </row>
    <row r="9" spans="1:21" ht="9" customHeight="1">
      <c r="A9" s="112"/>
      <c r="B9" s="112" t="s">
        <v>412</v>
      </c>
      <c r="C9" s="113" t="s">
        <v>449</v>
      </c>
      <c r="D9" s="75">
        <v>107</v>
      </c>
      <c r="E9" s="75">
        <v>0</v>
      </c>
      <c r="F9" s="75">
        <v>107</v>
      </c>
      <c r="G9" s="75">
        <v>0</v>
      </c>
      <c r="H9" s="75">
        <v>0</v>
      </c>
      <c r="I9" s="75">
        <v>0</v>
      </c>
      <c r="J9" s="75">
        <v>0</v>
      </c>
      <c r="K9" s="75">
        <v>0</v>
      </c>
      <c r="L9" s="75">
        <v>2374</v>
      </c>
      <c r="M9" s="75">
        <v>0</v>
      </c>
      <c r="N9" s="75">
        <v>0</v>
      </c>
      <c r="O9" s="75">
        <v>0</v>
      </c>
      <c r="P9" s="75">
        <v>2374</v>
      </c>
      <c r="Q9" s="75">
        <v>0</v>
      </c>
      <c r="R9" s="75">
        <v>0</v>
      </c>
      <c r="S9" s="75">
        <v>2481</v>
      </c>
      <c r="T9" s="78"/>
      <c r="U9" s="78"/>
    </row>
    <row r="10" spans="1:21" ht="9" customHeight="1">
      <c r="A10" s="112"/>
      <c r="B10" s="112" t="s">
        <v>450</v>
      </c>
      <c r="C10" s="113"/>
      <c r="D10" s="75">
        <v>16818</v>
      </c>
      <c r="E10" s="75">
        <v>354</v>
      </c>
      <c r="F10" s="75">
        <v>17172</v>
      </c>
      <c r="G10" s="75">
        <v>28991</v>
      </c>
      <c r="H10" s="75">
        <v>3372</v>
      </c>
      <c r="I10" s="75">
        <v>7114</v>
      </c>
      <c r="J10" s="75">
        <v>39477</v>
      </c>
      <c r="K10" s="75">
        <v>7721</v>
      </c>
      <c r="L10" s="75">
        <v>61994</v>
      </c>
      <c r="M10" s="75">
        <v>46196</v>
      </c>
      <c r="N10" s="75">
        <v>536</v>
      </c>
      <c r="O10" s="75">
        <v>653</v>
      </c>
      <c r="P10" s="75">
        <v>117100</v>
      </c>
      <c r="Q10" s="75">
        <v>2967</v>
      </c>
      <c r="R10" s="75">
        <v>20540</v>
      </c>
      <c r="S10" s="75">
        <v>197256</v>
      </c>
      <c r="T10" s="78"/>
      <c r="U10" s="78"/>
    </row>
    <row r="11" spans="1:21" ht="9" customHeight="1">
      <c r="A11" s="112"/>
      <c r="B11" s="112"/>
      <c r="C11" s="113" t="s">
        <v>406</v>
      </c>
      <c r="D11" s="75">
        <v>10813</v>
      </c>
      <c r="E11" s="75">
        <v>354</v>
      </c>
      <c r="F11" s="75">
        <v>11167</v>
      </c>
      <c r="G11" s="75">
        <v>18826</v>
      </c>
      <c r="H11" s="75">
        <v>2541</v>
      </c>
      <c r="I11" s="75">
        <v>5013</v>
      </c>
      <c r="J11" s="75">
        <v>26380</v>
      </c>
      <c r="K11" s="75">
        <v>5140</v>
      </c>
      <c r="L11" s="75">
        <v>31334</v>
      </c>
      <c r="M11" s="75">
        <v>19915</v>
      </c>
      <c r="N11" s="75">
        <v>145</v>
      </c>
      <c r="O11" s="75">
        <v>653</v>
      </c>
      <c r="P11" s="75">
        <v>57187</v>
      </c>
      <c r="Q11" s="75">
        <v>2885</v>
      </c>
      <c r="R11" s="75">
        <v>15985</v>
      </c>
      <c r="S11" s="75">
        <v>113604</v>
      </c>
      <c r="T11" s="78"/>
      <c r="U11" s="78"/>
    </row>
    <row r="12" spans="1:21" ht="9" customHeight="1">
      <c r="A12" s="112"/>
      <c r="B12" s="112"/>
      <c r="C12" s="113" t="s">
        <v>451</v>
      </c>
      <c r="D12" s="75">
        <v>6005</v>
      </c>
      <c r="E12" s="75">
        <v>0</v>
      </c>
      <c r="F12" s="75">
        <v>6005</v>
      </c>
      <c r="G12" s="75">
        <v>10165</v>
      </c>
      <c r="H12" s="75">
        <v>831</v>
      </c>
      <c r="I12" s="75">
        <v>2101</v>
      </c>
      <c r="J12" s="75">
        <v>13097</v>
      </c>
      <c r="K12" s="75">
        <v>2581</v>
      </c>
      <c r="L12" s="75">
        <v>30660</v>
      </c>
      <c r="M12" s="75">
        <v>26281</v>
      </c>
      <c r="N12" s="75">
        <v>391</v>
      </c>
      <c r="O12" s="75">
        <v>0</v>
      </c>
      <c r="P12" s="75">
        <v>59913</v>
      </c>
      <c r="Q12" s="75">
        <v>82</v>
      </c>
      <c r="R12" s="75">
        <v>4555</v>
      </c>
      <c r="S12" s="75">
        <v>83652</v>
      </c>
      <c r="T12" s="78"/>
      <c r="U12" s="78"/>
    </row>
    <row r="13" spans="1:21" ht="9" customHeight="1">
      <c r="A13" s="112"/>
      <c r="B13" s="112" t="s">
        <v>452</v>
      </c>
      <c r="C13" s="113"/>
      <c r="D13" s="75">
        <v>-574</v>
      </c>
      <c r="E13" s="75">
        <v>-38</v>
      </c>
      <c r="F13" s="75">
        <v>-612</v>
      </c>
      <c r="G13" s="75">
        <v>4428</v>
      </c>
      <c r="H13" s="75">
        <v>-1347</v>
      </c>
      <c r="I13" s="75">
        <v>-2463</v>
      </c>
      <c r="J13" s="75">
        <v>618</v>
      </c>
      <c r="K13" s="75">
        <v>1179</v>
      </c>
      <c r="L13" s="75">
        <v>6937</v>
      </c>
      <c r="M13" s="75">
        <v>186</v>
      </c>
      <c r="N13" s="75">
        <v>20</v>
      </c>
      <c r="O13" s="75">
        <v>-70</v>
      </c>
      <c r="P13" s="75">
        <v>8252</v>
      </c>
      <c r="Q13" s="75">
        <v>-745</v>
      </c>
      <c r="R13" s="75">
        <v>8076</v>
      </c>
      <c r="S13" s="75">
        <v>15589</v>
      </c>
      <c r="T13" s="78"/>
      <c r="U13" s="78"/>
    </row>
    <row r="14" spans="1:21" ht="9" customHeight="1">
      <c r="A14" s="112"/>
      <c r="B14" s="112"/>
      <c r="C14" s="113" t="s">
        <v>407</v>
      </c>
      <c r="D14" s="75">
        <v>-547</v>
      </c>
      <c r="E14" s="75">
        <v>-38</v>
      </c>
      <c r="F14" s="75">
        <v>-585</v>
      </c>
      <c r="G14" s="75">
        <v>4467</v>
      </c>
      <c r="H14" s="75">
        <v>-1347</v>
      </c>
      <c r="I14" s="75">
        <v>-2451</v>
      </c>
      <c r="J14" s="75">
        <v>669</v>
      </c>
      <c r="K14" s="75">
        <v>1183</v>
      </c>
      <c r="L14" s="75">
        <v>5651</v>
      </c>
      <c r="M14" s="75">
        <v>-333</v>
      </c>
      <c r="N14" s="75">
        <v>20</v>
      </c>
      <c r="O14" s="75">
        <v>-70</v>
      </c>
      <c r="P14" s="75">
        <v>6451</v>
      </c>
      <c r="Q14" s="75">
        <v>-731</v>
      </c>
      <c r="R14" s="75">
        <v>8034</v>
      </c>
      <c r="S14" s="75">
        <v>13838</v>
      </c>
      <c r="T14" s="78"/>
      <c r="U14" s="78"/>
    </row>
    <row r="15" spans="1:21" ht="9" customHeight="1">
      <c r="A15" s="112"/>
      <c r="B15" s="112"/>
      <c r="C15" s="113" t="s">
        <v>453</v>
      </c>
      <c r="D15" s="75">
        <v>-27</v>
      </c>
      <c r="E15" s="75">
        <v>0</v>
      </c>
      <c r="F15" s="75">
        <v>-27</v>
      </c>
      <c r="G15" s="75">
        <v>-39</v>
      </c>
      <c r="H15" s="75">
        <v>0</v>
      </c>
      <c r="I15" s="75">
        <v>-12</v>
      </c>
      <c r="J15" s="75">
        <v>-51</v>
      </c>
      <c r="K15" s="75">
        <v>-4</v>
      </c>
      <c r="L15" s="75">
        <v>1286</v>
      </c>
      <c r="M15" s="75">
        <v>519</v>
      </c>
      <c r="N15" s="75">
        <v>0</v>
      </c>
      <c r="O15" s="75">
        <v>0</v>
      </c>
      <c r="P15" s="75">
        <v>1801</v>
      </c>
      <c r="Q15" s="75">
        <v>-14</v>
      </c>
      <c r="R15" s="75">
        <v>42</v>
      </c>
      <c r="S15" s="75">
        <v>1751</v>
      </c>
      <c r="T15" s="78"/>
      <c r="U15" s="78"/>
    </row>
    <row r="16" spans="1:21" ht="9" customHeight="1">
      <c r="A16" s="112"/>
      <c r="B16" s="113" t="s">
        <v>454</v>
      </c>
      <c r="C16" s="114"/>
      <c r="D16" s="75">
        <v>-1526</v>
      </c>
      <c r="E16" s="75">
        <v>-18</v>
      </c>
      <c r="F16" s="75">
        <v>-1544</v>
      </c>
      <c r="G16" s="75">
        <v>509</v>
      </c>
      <c r="H16" s="75">
        <v>-185</v>
      </c>
      <c r="I16" s="75">
        <v>-2205</v>
      </c>
      <c r="J16" s="75">
        <v>-1881</v>
      </c>
      <c r="K16" s="75">
        <v>416</v>
      </c>
      <c r="L16" s="75">
        <v>-3080</v>
      </c>
      <c r="M16" s="75">
        <v>-502</v>
      </c>
      <c r="N16" s="75">
        <v>0</v>
      </c>
      <c r="O16" s="75">
        <v>0</v>
      </c>
      <c r="P16" s="75">
        <v>-3166</v>
      </c>
      <c r="Q16" s="75">
        <v>-782</v>
      </c>
      <c r="R16" s="75">
        <v>-3708</v>
      </c>
      <c r="S16" s="75">
        <v>-11081</v>
      </c>
      <c r="T16" s="78"/>
      <c r="U16" s="78"/>
    </row>
    <row r="17" spans="1:21" ht="9" customHeight="1">
      <c r="A17" s="112" t="s">
        <v>412</v>
      </c>
      <c r="B17" s="112"/>
      <c r="C17" s="113" t="s">
        <v>25</v>
      </c>
      <c r="D17" s="75">
        <v>-1978</v>
      </c>
      <c r="E17" s="75">
        <v>-18</v>
      </c>
      <c r="F17" s="75">
        <v>-1996</v>
      </c>
      <c r="G17" s="75">
        <v>509</v>
      </c>
      <c r="H17" s="75">
        <v>-185</v>
      </c>
      <c r="I17" s="75">
        <v>-2205</v>
      </c>
      <c r="J17" s="75">
        <v>-1881</v>
      </c>
      <c r="K17" s="75">
        <v>416</v>
      </c>
      <c r="L17" s="75">
        <v>-2680</v>
      </c>
      <c r="M17" s="75">
        <v>-502</v>
      </c>
      <c r="N17" s="75">
        <v>0</v>
      </c>
      <c r="O17" s="75">
        <v>0</v>
      </c>
      <c r="P17" s="75">
        <v>-2766</v>
      </c>
      <c r="Q17" s="75">
        <v>-782</v>
      </c>
      <c r="R17" s="75">
        <v>-3708</v>
      </c>
      <c r="S17" s="75">
        <v>-11133</v>
      </c>
      <c r="T17" s="78"/>
      <c r="U17" s="78"/>
    </row>
    <row r="18" spans="1:21" ht="9" customHeight="1">
      <c r="A18" s="112"/>
      <c r="B18" s="112" t="s">
        <v>412</v>
      </c>
      <c r="C18" s="113" t="s">
        <v>455</v>
      </c>
      <c r="D18" s="75">
        <v>452</v>
      </c>
      <c r="E18" s="75">
        <v>0</v>
      </c>
      <c r="F18" s="75">
        <v>452</v>
      </c>
      <c r="G18" s="75">
        <v>0</v>
      </c>
      <c r="H18" s="75">
        <v>0</v>
      </c>
      <c r="I18" s="75">
        <v>0</v>
      </c>
      <c r="J18" s="75">
        <v>0</v>
      </c>
      <c r="K18" s="75">
        <v>0</v>
      </c>
      <c r="L18" s="75">
        <v>-400</v>
      </c>
      <c r="M18" s="75">
        <v>0</v>
      </c>
      <c r="N18" s="75">
        <v>0</v>
      </c>
      <c r="O18" s="75">
        <v>0</v>
      </c>
      <c r="P18" s="75">
        <v>-400</v>
      </c>
      <c r="Q18" s="75">
        <v>0</v>
      </c>
      <c r="R18" s="75">
        <v>0</v>
      </c>
      <c r="S18" s="75">
        <v>52</v>
      </c>
      <c r="T18" s="78"/>
      <c r="U18" s="78"/>
    </row>
    <row r="19" spans="1:21" ht="9" customHeight="1">
      <c r="A19" s="112" t="s">
        <v>456</v>
      </c>
      <c r="B19" s="112"/>
      <c r="C19" s="113"/>
      <c r="D19" s="75">
        <v>248081</v>
      </c>
      <c r="E19" s="75">
        <v>12372</v>
      </c>
      <c r="F19" s="75">
        <v>260453</v>
      </c>
      <c r="G19" s="75">
        <v>288183</v>
      </c>
      <c r="H19" s="75">
        <v>39974</v>
      </c>
      <c r="I19" s="75">
        <v>139692</v>
      </c>
      <c r="J19" s="75">
        <v>467849</v>
      </c>
      <c r="K19" s="75">
        <v>114572</v>
      </c>
      <c r="L19" s="75">
        <v>626138</v>
      </c>
      <c r="M19" s="75">
        <v>470959</v>
      </c>
      <c r="N19" s="75">
        <v>16921</v>
      </c>
      <c r="O19" s="75">
        <v>16573</v>
      </c>
      <c r="P19" s="75">
        <v>1245163</v>
      </c>
      <c r="Q19" s="75">
        <v>97995</v>
      </c>
      <c r="R19" s="75">
        <v>153884</v>
      </c>
      <c r="S19" s="75">
        <v>2225344</v>
      </c>
      <c r="T19" s="78"/>
      <c r="U19" s="78"/>
    </row>
    <row r="20" spans="1:21" ht="9" customHeight="1">
      <c r="A20" s="112"/>
      <c r="B20" s="112" t="s">
        <v>421</v>
      </c>
      <c r="C20" s="113"/>
      <c r="D20" s="75">
        <v>128890</v>
      </c>
      <c r="E20" s="75">
        <v>0</v>
      </c>
      <c r="F20" s="75">
        <v>128890</v>
      </c>
      <c r="G20" s="75">
        <v>790</v>
      </c>
      <c r="H20" s="75">
        <v>0</v>
      </c>
      <c r="I20" s="75">
        <v>0</v>
      </c>
      <c r="J20" s="75">
        <v>790</v>
      </c>
      <c r="K20" s="75">
        <v>11854</v>
      </c>
      <c r="L20" s="75">
        <v>176351</v>
      </c>
      <c r="M20" s="75">
        <v>40426</v>
      </c>
      <c r="N20" s="75">
        <v>0</v>
      </c>
      <c r="O20" s="75">
        <v>0</v>
      </c>
      <c r="P20" s="75">
        <v>228631</v>
      </c>
      <c r="Q20" s="75">
        <v>0</v>
      </c>
      <c r="R20" s="75">
        <v>30065</v>
      </c>
      <c r="S20" s="75">
        <v>388376</v>
      </c>
      <c r="T20" s="78"/>
      <c r="U20" s="78"/>
    </row>
    <row r="21" spans="1:21" ht="9" customHeight="1">
      <c r="A21" s="112"/>
      <c r="B21" s="112"/>
      <c r="C21" s="113" t="s">
        <v>457</v>
      </c>
      <c r="D21" s="75">
        <v>128378</v>
      </c>
      <c r="E21" s="75">
        <v>0</v>
      </c>
      <c r="F21" s="75">
        <v>128378</v>
      </c>
      <c r="G21" s="75">
        <v>0</v>
      </c>
      <c r="H21" s="75">
        <v>0</v>
      </c>
      <c r="I21" s="75">
        <v>0</v>
      </c>
      <c r="J21" s="75">
        <v>0</v>
      </c>
      <c r="K21" s="75">
        <v>5939</v>
      </c>
      <c r="L21" s="75">
        <v>176001</v>
      </c>
      <c r="M21" s="75">
        <v>40426</v>
      </c>
      <c r="N21" s="75">
        <v>0</v>
      </c>
      <c r="O21" s="75">
        <v>0</v>
      </c>
      <c r="P21" s="75">
        <v>222366</v>
      </c>
      <c r="Q21" s="75">
        <v>0</v>
      </c>
      <c r="R21" s="75">
        <v>0</v>
      </c>
      <c r="S21" s="75">
        <v>350744</v>
      </c>
      <c r="T21" s="78"/>
      <c r="U21" s="78"/>
    </row>
    <row r="22" spans="1:21" ht="9" customHeight="1">
      <c r="A22" s="112"/>
      <c r="B22" s="112"/>
      <c r="C22" s="113" t="s">
        <v>458</v>
      </c>
      <c r="D22" s="75">
        <v>512</v>
      </c>
      <c r="E22" s="75">
        <v>0</v>
      </c>
      <c r="F22" s="75">
        <v>512</v>
      </c>
      <c r="G22" s="75">
        <v>790</v>
      </c>
      <c r="H22" s="75">
        <v>0</v>
      </c>
      <c r="I22" s="75">
        <v>0</v>
      </c>
      <c r="J22" s="75">
        <v>790</v>
      </c>
      <c r="K22" s="75">
        <v>0</v>
      </c>
      <c r="L22" s="75">
        <v>0</v>
      </c>
      <c r="M22" s="75">
        <v>0</v>
      </c>
      <c r="N22" s="75">
        <v>0</v>
      </c>
      <c r="O22" s="75">
        <v>0</v>
      </c>
      <c r="P22" s="75">
        <v>0</v>
      </c>
      <c r="Q22" s="75">
        <v>0</v>
      </c>
      <c r="R22" s="75">
        <v>13671</v>
      </c>
      <c r="S22" s="75">
        <v>14973</v>
      </c>
      <c r="T22" s="78"/>
      <c r="U22" s="78"/>
    </row>
    <row r="23" spans="1:21" ht="9" customHeight="1">
      <c r="A23" s="112"/>
      <c r="B23" s="112"/>
      <c r="C23" s="113" t="s">
        <v>459</v>
      </c>
      <c r="D23" s="75">
        <v>0</v>
      </c>
      <c r="E23" s="75">
        <v>0</v>
      </c>
      <c r="F23" s="75">
        <v>0</v>
      </c>
      <c r="G23" s="75">
        <v>0</v>
      </c>
      <c r="H23" s="75">
        <v>0</v>
      </c>
      <c r="I23" s="75">
        <v>0</v>
      </c>
      <c r="J23" s="75">
        <v>0</v>
      </c>
      <c r="K23" s="75">
        <v>5915</v>
      </c>
      <c r="L23" s="75">
        <v>350</v>
      </c>
      <c r="M23" s="75">
        <v>0</v>
      </c>
      <c r="N23" s="75">
        <v>0</v>
      </c>
      <c r="O23" s="75">
        <v>0</v>
      </c>
      <c r="P23" s="75">
        <v>6265</v>
      </c>
      <c r="Q23" s="75">
        <v>0</v>
      </c>
      <c r="R23" s="75">
        <v>16394</v>
      </c>
      <c r="S23" s="75">
        <v>22659</v>
      </c>
      <c r="T23" s="78"/>
      <c r="U23" s="78"/>
    </row>
    <row r="24" spans="1:21" ht="9" customHeight="1">
      <c r="A24" s="112"/>
      <c r="B24" s="112" t="s">
        <v>425</v>
      </c>
      <c r="C24" s="112"/>
      <c r="D24" s="75">
        <v>119191</v>
      </c>
      <c r="E24" s="75">
        <v>12372</v>
      </c>
      <c r="F24" s="75">
        <v>131563</v>
      </c>
      <c r="G24" s="75">
        <v>287393</v>
      </c>
      <c r="H24" s="75">
        <v>39974</v>
      </c>
      <c r="I24" s="75">
        <v>139692</v>
      </c>
      <c r="J24" s="75">
        <v>467059</v>
      </c>
      <c r="K24" s="75">
        <v>102718</v>
      </c>
      <c r="L24" s="75">
        <v>449787</v>
      </c>
      <c r="M24" s="75">
        <v>430533</v>
      </c>
      <c r="N24" s="75">
        <v>16921</v>
      </c>
      <c r="O24" s="75">
        <v>16573</v>
      </c>
      <c r="P24" s="75">
        <v>1016532</v>
      </c>
      <c r="Q24" s="75">
        <v>97995</v>
      </c>
      <c r="R24" s="75">
        <v>123819</v>
      </c>
      <c r="S24" s="75">
        <v>1836968</v>
      </c>
      <c r="T24" s="78"/>
      <c r="U24" s="78"/>
    </row>
    <row r="25" spans="1:21" ht="9" customHeight="1">
      <c r="A25" s="112"/>
      <c r="B25" s="112"/>
      <c r="C25" s="112" t="s">
        <v>460</v>
      </c>
      <c r="D25" s="75">
        <v>50</v>
      </c>
      <c r="E25" s="75">
        <v>0</v>
      </c>
      <c r="F25" s="75">
        <v>50</v>
      </c>
      <c r="G25" s="75">
        <v>983</v>
      </c>
      <c r="H25" s="75">
        <v>8043</v>
      </c>
      <c r="I25" s="75">
        <v>0</v>
      </c>
      <c r="J25" s="75">
        <v>9026</v>
      </c>
      <c r="K25" s="75">
        <v>0</v>
      </c>
      <c r="L25" s="75">
        <v>91</v>
      </c>
      <c r="M25" s="75">
        <v>0</v>
      </c>
      <c r="N25" s="75">
        <v>0</v>
      </c>
      <c r="O25" s="75">
        <v>0</v>
      </c>
      <c r="P25" s="75">
        <v>91</v>
      </c>
      <c r="Q25" s="75">
        <v>3805</v>
      </c>
      <c r="R25" s="75">
        <v>0</v>
      </c>
      <c r="S25" s="75">
        <v>12972</v>
      </c>
      <c r="T25" s="78"/>
      <c r="U25" s="78"/>
    </row>
    <row r="26" spans="1:21" ht="9" customHeight="1">
      <c r="A26" s="112"/>
      <c r="B26" s="112"/>
      <c r="C26" s="112" t="s">
        <v>461</v>
      </c>
      <c r="D26" s="75">
        <v>119141</v>
      </c>
      <c r="E26" s="75">
        <v>12372</v>
      </c>
      <c r="F26" s="75">
        <v>131513</v>
      </c>
      <c r="G26" s="75">
        <v>286410</v>
      </c>
      <c r="H26" s="75">
        <v>31931</v>
      </c>
      <c r="I26" s="75">
        <v>139692</v>
      </c>
      <c r="J26" s="75">
        <v>458033</v>
      </c>
      <c r="K26" s="75">
        <v>102718</v>
      </c>
      <c r="L26" s="75">
        <v>449696</v>
      </c>
      <c r="M26" s="75">
        <v>430533</v>
      </c>
      <c r="N26" s="75">
        <v>16921</v>
      </c>
      <c r="O26" s="75">
        <v>16573</v>
      </c>
      <c r="P26" s="75">
        <v>1016441</v>
      </c>
      <c r="Q26" s="75">
        <v>94190</v>
      </c>
      <c r="R26" s="75">
        <v>123819</v>
      </c>
      <c r="S26" s="75">
        <v>1823996</v>
      </c>
      <c r="T26" s="78"/>
      <c r="U26" s="78"/>
    </row>
    <row r="27" spans="1:21" ht="9" customHeight="1">
      <c r="A27" s="112" t="s">
        <v>462</v>
      </c>
      <c r="B27" s="115"/>
      <c r="C27" s="112"/>
      <c r="D27" s="75">
        <v>0</v>
      </c>
      <c r="E27" s="75">
        <v>0</v>
      </c>
      <c r="F27" s="75">
        <v>0</v>
      </c>
      <c r="G27" s="75">
        <v>418</v>
      </c>
      <c r="H27" s="75">
        <v>802</v>
      </c>
      <c r="I27" s="75">
        <v>233</v>
      </c>
      <c r="J27" s="75">
        <v>1453</v>
      </c>
      <c r="K27" s="75">
        <v>1041</v>
      </c>
      <c r="L27" s="75">
        <v>1079</v>
      </c>
      <c r="M27" s="75">
        <v>1790</v>
      </c>
      <c r="N27" s="75">
        <v>0</v>
      </c>
      <c r="O27" s="75">
        <v>0</v>
      </c>
      <c r="P27" s="75">
        <v>3910</v>
      </c>
      <c r="Q27" s="75">
        <v>110</v>
      </c>
      <c r="R27" s="75">
        <v>694</v>
      </c>
      <c r="S27" s="75">
        <v>6167</v>
      </c>
      <c r="T27" s="78"/>
      <c r="U27" s="78"/>
    </row>
    <row r="28" spans="1:21" ht="9" customHeight="1">
      <c r="A28" s="113" t="s">
        <v>463</v>
      </c>
      <c r="B28" s="115"/>
      <c r="C28" s="112"/>
      <c r="D28" s="75">
        <v>35374</v>
      </c>
      <c r="E28" s="75">
        <v>0</v>
      </c>
      <c r="F28" s="75">
        <v>35374</v>
      </c>
      <c r="G28" s="75">
        <v>57432</v>
      </c>
      <c r="H28" s="75">
        <v>11057</v>
      </c>
      <c r="I28" s="75">
        <v>11333</v>
      </c>
      <c r="J28" s="75">
        <v>79822</v>
      </c>
      <c r="K28" s="75">
        <v>16018</v>
      </c>
      <c r="L28" s="75">
        <v>127406</v>
      </c>
      <c r="M28" s="75">
        <v>131156</v>
      </c>
      <c r="N28" s="75">
        <v>2446</v>
      </c>
      <c r="O28" s="75">
        <v>1998</v>
      </c>
      <c r="P28" s="75">
        <v>279024</v>
      </c>
      <c r="Q28" s="75">
        <v>10962</v>
      </c>
      <c r="R28" s="75">
        <v>159044</v>
      </c>
      <c r="S28" s="75">
        <v>564226</v>
      </c>
      <c r="T28" s="78"/>
      <c r="U28" s="78"/>
    </row>
    <row r="29" spans="1:21" ht="9" customHeight="1">
      <c r="A29" s="112" t="s">
        <v>464</v>
      </c>
      <c r="B29" s="113"/>
      <c r="C29" s="114"/>
      <c r="D29" s="75">
        <v>3485</v>
      </c>
      <c r="E29" s="75">
        <v>631</v>
      </c>
      <c r="F29" s="75">
        <v>4116</v>
      </c>
      <c r="G29" s="75">
        <v>3220</v>
      </c>
      <c r="H29" s="75">
        <v>505</v>
      </c>
      <c r="I29" s="75">
        <v>337</v>
      </c>
      <c r="J29" s="75">
        <v>4062</v>
      </c>
      <c r="K29" s="75">
        <v>43</v>
      </c>
      <c r="L29" s="75">
        <v>11987</v>
      </c>
      <c r="M29" s="75">
        <v>2853</v>
      </c>
      <c r="N29" s="75">
        <v>151</v>
      </c>
      <c r="O29" s="75">
        <v>11</v>
      </c>
      <c r="P29" s="75">
        <v>15045</v>
      </c>
      <c r="Q29" s="75">
        <v>561</v>
      </c>
      <c r="R29" s="75">
        <v>149</v>
      </c>
      <c r="S29" s="75">
        <v>23933</v>
      </c>
      <c r="T29" s="78"/>
      <c r="U29" s="78"/>
    </row>
    <row r="30" spans="1:21" ht="9" customHeight="1">
      <c r="A30" s="112" t="s">
        <v>465</v>
      </c>
      <c r="B30" s="112"/>
      <c r="C30" s="114"/>
      <c r="D30" s="75">
        <v>170605</v>
      </c>
      <c r="E30" s="75">
        <v>9743</v>
      </c>
      <c r="F30" s="75">
        <v>180348</v>
      </c>
      <c r="G30" s="75">
        <v>198895</v>
      </c>
      <c r="H30" s="75">
        <v>41678</v>
      </c>
      <c r="I30" s="75">
        <v>90995</v>
      </c>
      <c r="J30" s="75">
        <v>331568</v>
      </c>
      <c r="K30" s="75">
        <v>59053</v>
      </c>
      <c r="L30" s="75">
        <v>337171</v>
      </c>
      <c r="M30" s="75">
        <v>247789</v>
      </c>
      <c r="N30" s="75">
        <v>15825</v>
      </c>
      <c r="O30" s="75">
        <v>9632</v>
      </c>
      <c r="P30" s="75">
        <v>669470</v>
      </c>
      <c r="Q30" s="75">
        <v>62374</v>
      </c>
      <c r="R30" s="75">
        <v>199588</v>
      </c>
      <c r="S30" s="75">
        <v>1443348</v>
      </c>
      <c r="T30" s="78"/>
      <c r="U30" s="78"/>
    </row>
    <row r="31" spans="1:21" ht="9" customHeight="1">
      <c r="A31" s="112"/>
      <c r="B31" s="113" t="s">
        <v>466</v>
      </c>
      <c r="C31" s="116"/>
      <c r="D31" s="75">
        <v>0</v>
      </c>
      <c r="E31" s="75">
        <v>0</v>
      </c>
      <c r="F31" s="75">
        <v>0</v>
      </c>
      <c r="G31" s="75">
        <v>1526</v>
      </c>
      <c r="H31" s="75">
        <v>0</v>
      </c>
      <c r="I31" s="75">
        <v>0</v>
      </c>
      <c r="J31" s="75">
        <v>1526</v>
      </c>
      <c r="K31" s="75">
        <v>1182</v>
      </c>
      <c r="L31" s="75">
        <v>93</v>
      </c>
      <c r="M31" s="75">
        <v>1397</v>
      </c>
      <c r="N31" s="75">
        <v>0</v>
      </c>
      <c r="O31" s="75">
        <v>0</v>
      </c>
      <c r="P31" s="75">
        <v>2672</v>
      </c>
      <c r="Q31" s="75">
        <v>0</v>
      </c>
      <c r="R31" s="75">
        <v>4258</v>
      </c>
      <c r="S31" s="75">
        <v>8456</v>
      </c>
      <c r="T31" s="78"/>
      <c r="U31" s="78"/>
    </row>
    <row r="32" spans="1:21" ht="9" customHeight="1">
      <c r="A32" s="112"/>
      <c r="B32" s="113" t="s">
        <v>467</v>
      </c>
      <c r="C32" s="116"/>
      <c r="D32" s="75">
        <v>93736</v>
      </c>
      <c r="E32" s="75">
        <v>8440</v>
      </c>
      <c r="F32" s="75">
        <v>102176</v>
      </c>
      <c r="G32" s="75">
        <v>157747</v>
      </c>
      <c r="H32" s="75">
        <v>35550</v>
      </c>
      <c r="I32" s="75">
        <v>68330</v>
      </c>
      <c r="J32" s="75">
        <v>261627</v>
      </c>
      <c r="K32" s="75">
        <v>48712</v>
      </c>
      <c r="L32" s="75">
        <v>276568</v>
      </c>
      <c r="M32" s="75">
        <v>138999</v>
      </c>
      <c r="N32" s="75">
        <v>10267</v>
      </c>
      <c r="O32" s="75">
        <v>9341</v>
      </c>
      <c r="P32" s="75">
        <v>483887</v>
      </c>
      <c r="Q32" s="75">
        <v>52534</v>
      </c>
      <c r="R32" s="75">
        <v>161711</v>
      </c>
      <c r="S32" s="75">
        <v>1061935</v>
      </c>
      <c r="T32" s="78"/>
      <c r="U32" s="78"/>
    </row>
    <row r="33" spans="1:21" ht="9" customHeight="1">
      <c r="A33" s="115"/>
      <c r="B33" s="113" t="s">
        <v>468</v>
      </c>
      <c r="C33" s="116"/>
      <c r="D33" s="75">
        <v>76869</v>
      </c>
      <c r="E33" s="75">
        <v>1303</v>
      </c>
      <c r="F33" s="75">
        <v>78172</v>
      </c>
      <c r="G33" s="75">
        <v>39622</v>
      </c>
      <c r="H33" s="75">
        <v>6128</v>
      </c>
      <c r="I33" s="75">
        <v>22665</v>
      </c>
      <c r="J33" s="75">
        <v>68415</v>
      </c>
      <c r="K33" s="75">
        <v>9159</v>
      </c>
      <c r="L33" s="75">
        <v>60510</v>
      </c>
      <c r="M33" s="75">
        <v>107393</v>
      </c>
      <c r="N33" s="75">
        <v>5558</v>
      </c>
      <c r="O33" s="75">
        <v>291</v>
      </c>
      <c r="P33" s="75">
        <v>182911</v>
      </c>
      <c r="Q33" s="75">
        <v>9840</v>
      </c>
      <c r="R33" s="75">
        <v>33619</v>
      </c>
      <c r="S33" s="75">
        <v>372957</v>
      </c>
      <c r="T33" s="78"/>
      <c r="U33" s="78"/>
    </row>
    <row r="34" spans="1:21" ht="9" customHeight="1">
      <c r="A34" s="112" t="s">
        <v>469</v>
      </c>
      <c r="B34" s="113"/>
      <c r="C34" s="113"/>
      <c r="D34" s="75">
        <v>38624</v>
      </c>
      <c r="E34" s="75">
        <v>305</v>
      </c>
      <c r="F34" s="75">
        <v>38929</v>
      </c>
      <c r="G34" s="75">
        <v>14125</v>
      </c>
      <c r="H34" s="75">
        <v>3859</v>
      </c>
      <c r="I34" s="75">
        <v>2120</v>
      </c>
      <c r="J34" s="75">
        <v>20104</v>
      </c>
      <c r="K34" s="75">
        <v>2172</v>
      </c>
      <c r="L34" s="75">
        <v>57131</v>
      </c>
      <c r="M34" s="75">
        <v>46517</v>
      </c>
      <c r="N34" s="75">
        <v>1814</v>
      </c>
      <c r="O34" s="75">
        <v>81</v>
      </c>
      <c r="P34" s="75">
        <v>107715</v>
      </c>
      <c r="Q34" s="75">
        <v>5536</v>
      </c>
      <c r="R34" s="75">
        <v>56790</v>
      </c>
      <c r="S34" s="75">
        <v>229074</v>
      </c>
      <c r="T34" s="78"/>
      <c r="U34" s="78"/>
    </row>
    <row r="35" spans="1:21" ht="9" customHeight="1">
      <c r="A35" s="112"/>
      <c r="B35" s="113" t="s">
        <v>470</v>
      </c>
      <c r="C35" s="113"/>
      <c r="D35" s="75">
        <v>17330</v>
      </c>
      <c r="E35" s="75">
        <v>61</v>
      </c>
      <c r="F35" s="75">
        <v>17391</v>
      </c>
      <c r="G35" s="75">
        <v>0</v>
      </c>
      <c r="H35" s="75">
        <v>0</v>
      </c>
      <c r="I35" s="75">
        <v>0</v>
      </c>
      <c r="J35" s="75">
        <v>0</v>
      </c>
      <c r="K35" s="75">
        <v>350</v>
      </c>
      <c r="L35" s="75">
        <v>25</v>
      </c>
      <c r="M35" s="75">
        <v>6842</v>
      </c>
      <c r="N35" s="75">
        <v>0</v>
      </c>
      <c r="O35" s="75">
        <v>0</v>
      </c>
      <c r="P35" s="75">
        <v>7217</v>
      </c>
      <c r="Q35" s="75">
        <v>526</v>
      </c>
      <c r="R35" s="75">
        <v>2515</v>
      </c>
      <c r="S35" s="75">
        <v>27649</v>
      </c>
      <c r="T35" s="78"/>
      <c r="U35" s="78"/>
    </row>
    <row r="36" spans="1:21" ht="9" customHeight="1">
      <c r="A36" s="112"/>
      <c r="B36" s="113" t="s">
        <v>471</v>
      </c>
      <c r="C36" s="113"/>
      <c r="D36" s="75">
        <v>20878</v>
      </c>
      <c r="E36" s="75">
        <v>0</v>
      </c>
      <c r="F36" s="75">
        <v>20878</v>
      </c>
      <c r="G36" s="75">
        <v>938</v>
      </c>
      <c r="H36" s="75">
        <v>0</v>
      </c>
      <c r="I36" s="75">
        <v>0</v>
      </c>
      <c r="J36" s="75">
        <v>938</v>
      </c>
      <c r="K36" s="75">
        <v>0</v>
      </c>
      <c r="L36" s="75">
        <v>4032</v>
      </c>
      <c r="M36" s="75">
        <v>6235</v>
      </c>
      <c r="N36" s="75">
        <v>1433</v>
      </c>
      <c r="O36" s="75">
        <v>33</v>
      </c>
      <c r="P36" s="75">
        <v>11733</v>
      </c>
      <c r="Q36" s="75">
        <v>1511</v>
      </c>
      <c r="R36" s="75">
        <v>16783</v>
      </c>
      <c r="S36" s="75">
        <v>51843</v>
      </c>
      <c r="T36" s="78"/>
      <c r="U36" s="78"/>
    </row>
    <row r="37" spans="1:21" ht="9" customHeight="1">
      <c r="A37" s="112"/>
      <c r="B37" s="112" t="s">
        <v>472</v>
      </c>
      <c r="C37" s="112"/>
      <c r="D37" s="75">
        <v>416</v>
      </c>
      <c r="E37" s="75">
        <v>244</v>
      </c>
      <c r="F37" s="75">
        <v>660</v>
      </c>
      <c r="G37" s="75">
        <v>13187</v>
      </c>
      <c r="H37" s="75">
        <v>3859</v>
      </c>
      <c r="I37" s="75">
        <v>2120</v>
      </c>
      <c r="J37" s="75">
        <v>19166</v>
      </c>
      <c r="K37" s="75">
        <v>1822</v>
      </c>
      <c r="L37" s="75">
        <v>53074</v>
      </c>
      <c r="M37" s="75">
        <v>33440</v>
      </c>
      <c r="N37" s="75">
        <v>381</v>
      </c>
      <c r="O37" s="75">
        <v>48</v>
      </c>
      <c r="P37" s="75">
        <v>88765</v>
      </c>
      <c r="Q37" s="75">
        <v>3499</v>
      </c>
      <c r="R37" s="75">
        <v>37492</v>
      </c>
      <c r="S37" s="75">
        <v>149582</v>
      </c>
      <c r="T37" s="78"/>
      <c r="U37" s="78"/>
    </row>
    <row r="38" spans="1:21" ht="9" customHeight="1">
      <c r="A38" s="112" t="s">
        <v>473</v>
      </c>
      <c r="B38" s="112"/>
      <c r="C38" s="112"/>
      <c r="D38" s="75">
        <v>4718</v>
      </c>
      <c r="E38" s="75">
        <v>0</v>
      </c>
      <c r="F38" s="75">
        <v>4718</v>
      </c>
      <c r="G38" s="75">
        <v>12458</v>
      </c>
      <c r="H38" s="75">
        <v>0</v>
      </c>
      <c r="I38" s="75">
        <v>824</v>
      </c>
      <c r="J38" s="75">
        <v>13282</v>
      </c>
      <c r="K38" s="75">
        <v>1759</v>
      </c>
      <c r="L38" s="75">
        <v>72477</v>
      </c>
      <c r="M38" s="75">
        <v>45646</v>
      </c>
      <c r="N38" s="75">
        <v>0</v>
      </c>
      <c r="O38" s="75">
        <v>-9</v>
      </c>
      <c r="P38" s="75">
        <v>119873</v>
      </c>
      <c r="Q38" s="75">
        <v>267</v>
      </c>
      <c r="R38" s="75">
        <v>3808</v>
      </c>
      <c r="S38" s="75">
        <v>141948</v>
      </c>
      <c r="T38" s="78"/>
      <c r="U38" s="78"/>
    </row>
    <row r="39" spans="1:21" ht="9" customHeight="1">
      <c r="A39" s="103"/>
      <c r="B39" s="112" t="s">
        <v>474</v>
      </c>
      <c r="C39" s="114"/>
      <c r="D39" s="75">
        <v>4718</v>
      </c>
      <c r="E39" s="75">
        <v>0</v>
      </c>
      <c r="F39" s="75">
        <v>4718</v>
      </c>
      <c r="G39" s="75">
        <v>9948</v>
      </c>
      <c r="H39" s="75">
        <v>0</v>
      </c>
      <c r="I39" s="75">
        <v>-3</v>
      </c>
      <c r="J39" s="75">
        <v>9945</v>
      </c>
      <c r="K39" s="75">
        <v>346</v>
      </c>
      <c r="L39" s="75">
        <v>46967</v>
      </c>
      <c r="M39" s="75">
        <v>16303</v>
      </c>
      <c r="N39" s="75">
        <v>0</v>
      </c>
      <c r="O39" s="75">
        <v>-9</v>
      </c>
      <c r="P39" s="75">
        <v>63607</v>
      </c>
      <c r="Q39" s="75">
        <v>0</v>
      </c>
      <c r="R39" s="75">
        <v>16</v>
      </c>
      <c r="S39" s="75">
        <v>78286</v>
      </c>
      <c r="T39" s="78"/>
      <c r="U39" s="78"/>
    </row>
    <row r="40" spans="1:21" ht="9" customHeight="1">
      <c r="A40" s="103"/>
      <c r="B40" s="112" t="s">
        <v>475</v>
      </c>
      <c r="C40" s="113"/>
      <c r="D40" s="75">
        <v>0</v>
      </c>
      <c r="E40" s="75">
        <v>0</v>
      </c>
      <c r="F40" s="75">
        <v>0</v>
      </c>
      <c r="G40" s="75">
        <v>2510</v>
      </c>
      <c r="H40" s="75">
        <v>0</v>
      </c>
      <c r="I40" s="75">
        <v>827</v>
      </c>
      <c r="J40" s="75">
        <v>3337</v>
      </c>
      <c r="K40" s="75">
        <v>1413</v>
      </c>
      <c r="L40" s="75">
        <v>25510</v>
      </c>
      <c r="M40" s="75">
        <v>29343</v>
      </c>
      <c r="N40" s="75">
        <v>0</v>
      </c>
      <c r="O40" s="75">
        <v>0</v>
      </c>
      <c r="P40" s="75">
        <v>56266</v>
      </c>
      <c r="Q40" s="75">
        <v>267</v>
      </c>
      <c r="R40" s="75">
        <v>3792</v>
      </c>
      <c r="S40" s="75">
        <v>63662</v>
      </c>
      <c r="T40" s="78"/>
      <c r="U40" s="78"/>
    </row>
    <row r="41" spans="1:21" ht="9" customHeight="1">
      <c r="A41" s="112" t="s">
        <v>476</v>
      </c>
      <c r="B41" s="113"/>
      <c r="C41" s="113"/>
      <c r="D41" s="75">
        <v>297</v>
      </c>
      <c r="E41" s="75">
        <v>248</v>
      </c>
      <c r="F41" s="75">
        <v>545</v>
      </c>
      <c r="G41" s="75">
        <v>1733</v>
      </c>
      <c r="H41" s="75">
        <v>0</v>
      </c>
      <c r="I41" s="75">
        <v>523</v>
      </c>
      <c r="J41" s="75">
        <v>2256</v>
      </c>
      <c r="K41" s="75">
        <v>1148</v>
      </c>
      <c r="L41" s="75">
        <v>6587</v>
      </c>
      <c r="M41" s="75">
        <v>709</v>
      </c>
      <c r="N41" s="75">
        <v>2297</v>
      </c>
      <c r="O41" s="75">
        <v>0</v>
      </c>
      <c r="P41" s="75">
        <v>10741</v>
      </c>
      <c r="Q41" s="75">
        <v>-1</v>
      </c>
      <c r="R41" s="75">
        <v>468</v>
      </c>
      <c r="S41" s="75">
        <v>14009</v>
      </c>
      <c r="T41" s="78"/>
      <c r="U41" s="78"/>
    </row>
    <row r="42" spans="1:21" ht="9" customHeight="1">
      <c r="A42" s="112" t="s">
        <v>27</v>
      </c>
      <c r="B42" s="113"/>
      <c r="C42" s="113"/>
      <c r="D42" s="75">
        <v>3977</v>
      </c>
      <c r="E42" s="75">
        <v>2238</v>
      </c>
      <c r="F42" s="75">
        <v>6215</v>
      </c>
      <c r="G42" s="75">
        <v>2020</v>
      </c>
      <c r="H42" s="75">
        <v>0</v>
      </c>
      <c r="I42" s="75">
        <v>3138</v>
      </c>
      <c r="J42" s="75">
        <v>5158</v>
      </c>
      <c r="K42" s="75">
        <v>559</v>
      </c>
      <c r="L42" s="75">
        <v>18244</v>
      </c>
      <c r="M42" s="75">
        <v>15077</v>
      </c>
      <c r="N42" s="75">
        <v>9130</v>
      </c>
      <c r="O42" s="75">
        <v>0</v>
      </c>
      <c r="P42" s="75">
        <v>43010</v>
      </c>
      <c r="Q42" s="75">
        <v>0</v>
      </c>
      <c r="R42" s="75">
        <v>6855</v>
      </c>
      <c r="S42" s="75">
        <v>61238</v>
      </c>
      <c r="T42" s="78"/>
      <c r="U42" s="78"/>
    </row>
    <row r="43" spans="1:21" ht="9" customHeight="1">
      <c r="A43" s="112" t="s">
        <v>477</v>
      </c>
      <c r="B43" s="113"/>
      <c r="C43" s="113"/>
      <c r="D43" s="75">
        <v>0</v>
      </c>
      <c r="E43" s="75">
        <v>161</v>
      </c>
      <c r="F43" s="75">
        <v>161</v>
      </c>
      <c r="G43" s="75">
        <v>369</v>
      </c>
      <c r="H43" s="75">
        <v>0</v>
      </c>
      <c r="I43" s="75">
        <v>662</v>
      </c>
      <c r="J43" s="75">
        <v>1031</v>
      </c>
      <c r="K43" s="75">
        <v>0</v>
      </c>
      <c r="L43" s="75">
        <v>2091</v>
      </c>
      <c r="M43" s="75">
        <v>1324</v>
      </c>
      <c r="N43" s="75">
        <v>317</v>
      </c>
      <c r="O43" s="75">
        <v>0</v>
      </c>
      <c r="P43" s="75">
        <v>3732</v>
      </c>
      <c r="Q43" s="75">
        <v>884</v>
      </c>
      <c r="R43" s="75">
        <v>0</v>
      </c>
      <c r="S43" s="75">
        <v>5808</v>
      </c>
      <c r="T43" s="78"/>
      <c r="U43" s="78"/>
    </row>
    <row r="44" spans="1:21" ht="9" customHeight="1">
      <c r="A44" s="112" t="s">
        <v>478</v>
      </c>
      <c r="B44" s="113"/>
      <c r="C44" s="114"/>
      <c r="D44" s="75">
        <v>17754</v>
      </c>
      <c r="E44" s="75">
        <v>285</v>
      </c>
      <c r="F44" s="75">
        <v>18039</v>
      </c>
      <c r="G44" s="75">
        <v>35892</v>
      </c>
      <c r="H44" s="75">
        <v>8605</v>
      </c>
      <c r="I44" s="75">
        <v>10670</v>
      </c>
      <c r="J44" s="75">
        <v>55167</v>
      </c>
      <c r="K44" s="75">
        <v>3048</v>
      </c>
      <c r="L44" s="75">
        <v>92896</v>
      </c>
      <c r="M44" s="75">
        <v>66572</v>
      </c>
      <c r="N44" s="75">
        <v>912</v>
      </c>
      <c r="O44" s="75">
        <v>368</v>
      </c>
      <c r="P44" s="75">
        <v>163796</v>
      </c>
      <c r="Q44" s="75">
        <v>6711</v>
      </c>
      <c r="R44" s="75">
        <v>61017</v>
      </c>
      <c r="S44" s="75">
        <v>304730</v>
      </c>
      <c r="T44" s="78"/>
      <c r="U44" s="78"/>
    </row>
    <row r="45" spans="1:21" ht="9" customHeight="1">
      <c r="A45" s="112"/>
      <c r="B45" s="113" t="s">
        <v>479</v>
      </c>
      <c r="C45" s="113"/>
      <c r="D45" s="75">
        <v>6294</v>
      </c>
      <c r="E45" s="75">
        <v>0</v>
      </c>
      <c r="F45" s="75">
        <v>6294</v>
      </c>
      <c r="G45" s="75">
        <v>23095</v>
      </c>
      <c r="H45" s="75">
        <v>6492</v>
      </c>
      <c r="I45" s="75">
        <v>8231</v>
      </c>
      <c r="J45" s="75">
        <v>37818</v>
      </c>
      <c r="K45" s="75">
        <v>318</v>
      </c>
      <c r="L45" s="75">
        <v>68560</v>
      </c>
      <c r="M45" s="75">
        <v>53143</v>
      </c>
      <c r="N45" s="75">
        <v>694</v>
      </c>
      <c r="O45" s="75">
        <v>0</v>
      </c>
      <c r="P45" s="75">
        <v>122715</v>
      </c>
      <c r="Q45" s="75">
        <v>4059</v>
      </c>
      <c r="R45" s="75">
        <v>46616</v>
      </c>
      <c r="S45" s="75">
        <v>217502</v>
      </c>
      <c r="T45" s="78"/>
      <c r="U45" s="78"/>
    </row>
    <row r="46" spans="1:21" ht="9" customHeight="1">
      <c r="A46" s="112"/>
      <c r="B46" s="113" t="s">
        <v>480</v>
      </c>
      <c r="C46" s="113"/>
      <c r="D46" s="75">
        <v>11460</v>
      </c>
      <c r="E46" s="75">
        <v>285</v>
      </c>
      <c r="F46" s="75">
        <v>11745</v>
      </c>
      <c r="G46" s="75">
        <v>12797</v>
      </c>
      <c r="H46" s="75">
        <v>2113</v>
      </c>
      <c r="I46" s="75">
        <v>2439</v>
      </c>
      <c r="J46" s="75">
        <v>17349</v>
      </c>
      <c r="K46" s="75">
        <v>2730</v>
      </c>
      <c r="L46" s="75">
        <v>24336</v>
      </c>
      <c r="M46" s="75">
        <v>13429</v>
      </c>
      <c r="N46" s="75">
        <v>218</v>
      </c>
      <c r="O46" s="75">
        <v>368</v>
      </c>
      <c r="P46" s="75">
        <v>41081</v>
      </c>
      <c r="Q46" s="75">
        <v>2652</v>
      </c>
      <c r="R46" s="75">
        <v>14401</v>
      </c>
      <c r="S46" s="75">
        <v>87228</v>
      </c>
      <c r="T46" s="78"/>
      <c r="U46" s="78"/>
    </row>
    <row r="47" spans="1:21" ht="9" customHeight="1">
      <c r="A47" s="112" t="s">
        <v>481</v>
      </c>
      <c r="B47" s="113"/>
      <c r="C47" s="113"/>
      <c r="D47" s="75">
        <v>28711</v>
      </c>
      <c r="E47" s="75">
        <v>7127</v>
      </c>
      <c r="F47" s="75">
        <v>35838</v>
      </c>
      <c r="G47" s="75">
        <v>48788</v>
      </c>
      <c r="H47" s="75">
        <v>14522</v>
      </c>
      <c r="I47" s="75">
        <v>6732</v>
      </c>
      <c r="J47" s="75">
        <v>70042</v>
      </c>
      <c r="K47" s="75">
        <v>6750</v>
      </c>
      <c r="L47" s="75">
        <v>9542</v>
      </c>
      <c r="M47" s="75">
        <v>10502</v>
      </c>
      <c r="N47" s="75">
        <v>16154</v>
      </c>
      <c r="O47" s="75">
        <v>1923</v>
      </c>
      <c r="P47" s="75">
        <v>44871</v>
      </c>
      <c r="Q47" s="75">
        <v>19445</v>
      </c>
      <c r="R47" s="75">
        <v>16540</v>
      </c>
      <c r="S47" s="75">
        <v>186736</v>
      </c>
      <c r="T47" s="78"/>
      <c r="U47" s="78"/>
    </row>
    <row r="48" spans="1:21" ht="9" customHeight="1">
      <c r="A48" s="112" t="s">
        <v>482</v>
      </c>
      <c r="B48" s="113"/>
      <c r="C48" s="113"/>
      <c r="D48" s="75">
        <v>23273</v>
      </c>
      <c r="E48" s="75">
        <v>720</v>
      </c>
      <c r="F48" s="75">
        <v>23993</v>
      </c>
      <c r="G48" s="75">
        <v>32373</v>
      </c>
      <c r="H48" s="75">
        <v>7059</v>
      </c>
      <c r="I48" s="75">
        <v>11000</v>
      </c>
      <c r="J48" s="75">
        <v>50432</v>
      </c>
      <c r="K48" s="75">
        <v>10021</v>
      </c>
      <c r="L48" s="75">
        <v>58721</v>
      </c>
      <c r="M48" s="75">
        <v>44492</v>
      </c>
      <c r="N48" s="75">
        <v>2281</v>
      </c>
      <c r="O48" s="75">
        <v>1284</v>
      </c>
      <c r="P48" s="75">
        <v>116799</v>
      </c>
      <c r="Q48" s="75">
        <v>8280</v>
      </c>
      <c r="R48" s="75">
        <v>50010</v>
      </c>
      <c r="S48" s="75">
        <v>249514</v>
      </c>
      <c r="T48" s="78"/>
      <c r="U48" s="78"/>
    </row>
    <row r="49" spans="1:21" ht="9" customHeight="1">
      <c r="A49" s="112" t="s">
        <v>483</v>
      </c>
      <c r="B49" s="113"/>
      <c r="C49" s="113"/>
      <c r="D49" s="75">
        <v>421</v>
      </c>
      <c r="E49" s="75">
        <v>130</v>
      </c>
      <c r="F49" s="75">
        <v>551</v>
      </c>
      <c r="G49" s="75">
        <v>3597</v>
      </c>
      <c r="H49" s="75">
        <v>1052</v>
      </c>
      <c r="I49" s="75">
        <v>1104</v>
      </c>
      <c r="J49" s="75">
        <v>5753</v>
      </c>
      <c r="K49" s="75">
        <v>703</v>
      </c>
      <c r="L49" s="75">
        <v>6820</v>
      </c>
      <c r="M49" s="75">
        <v>3778</v>
      </c>
      <c r="N49" s="75">
        <v>75</v>
      </c>
      <c r="O49" s="75">
        <v>0</v>
      </c>
      <c r="P49" s="75">
        <v>11376</v>
      </c>
      <c r="Q49" s="75">
        <v>841</v>
      </c>
      <c r="R49" s="75">
        <v>2845</v>
      </c>
      <c r="S49" s="75">
        <v>21366</v>
      </c>
      <c r="T49" s="78"/>
      <c r="U49" s="78"/>
    </row>
    <row r="50" spans="1:21" ht="9" customHeight="1">
      <c r="A50" s="112"/>
      <c r="B50" s="113" t="s">
        <v>484</v>
      </c>
      <c r="C50" s="113"/>
      <c r="D50" s="75">
        <v>0</v>
      </c>
      <c r="E50" s="75">
        <v>0</v>
      </c>
      <c r="F50" s="75">
        <v>0</v>
      </c>
      <c r="G50" s="75">
        <v>0</v>
      </c>
      <c r="H50" s="75">
        <v>0</v>
      </c>
      <c r="I50" s="75">
        <v>0</v>
      </c>
      <c r="J50" s="75">
        <v>0</v>
      </c>
      <c r="K50" s="75">
        <v>0</v>
      </c>
      <c r="L50" s="75">
        <v>4</v>
      </c>
      <c r="M50" s="75">
        <v>0</v>
      </c>
      <c r="N50" s="75">
        <v>0</v>
      </c>
      <c r="O50" s="75">
        <v>0</v>
      </c>
      <c r="P50" s="75">
        <v>4</v>
      </c>
      <c r="Q50" s="75">
        <v>68</v>
      </c>
      <c r="R50" s="75">
        <v>28</v>
      </c>
      <c r="S50" s="75">
        <v>100</v>
      </c>
      <c r="T50" s="78"/>
      <c r="U50" s="78"/>
    </row>
    <row r="51" spans="1:21" ht="9" customHeight="1">
      <c r="A51" s="112"/>
      <c r="B51" s="113" t="s">
        <v>485</v>
      </c>
      <c r="C51" s="113"/>
      <c r="D51" s="75">
        <v>421</v>
      </c>
      <c r="E51" s="75">
        <v>130</v>
      </c>
      <c r="F51" s="75">
        <v>551</v>
      </c>
      <c r="G51" s="75">
        <v>3597</v>
      </c>
      <c r="H51" s="75">
        <v>1052</v>
      </c>
      <c r="I51" s="75">
        <v>1104</v>
      </c>
      <c r="J51" s="75">
        <v>5753</v>
      </c>
      <c r="K51" s="75">
        <v>703</v>
      </c>
      <c r="L51" s="75">
        <v>6816</v>
      </c>
      <c r="M51" s="75">
        <v>3778</v>
      </c>
      <c r="N51" s="75">
        <v>75</v>
      </c>
      <c r="O51" s="75">
        <v>0</v>
      </c>
      <c r="P51" s="75">
        <v>11372</v>
      </c>
      <c r="Q51" s="75">
        <v>773</v>
      </c>
      <c r="R51" s="75">
        <v>2817</v>
      </c>
      <c r="S51" s="75">
        <v>21266</v>
      </c>
      <c r="T51" s="78"/>
      <c r="U51" s="78"/>
    </row>
    <row r="52" spans="1:21" ht="13.5" customHeight="1">
      <c r="A52" s="117" t="s">
        <v>389</v>
      </c>
      <c r="B52" s="117"/>
      <c r="C52" s="118"/>
      <c r="D52" s="72">
        <v>590145</v>
      </c>
      <c r="E52" s="72">
        <v>34258</v>
      </c>
      <c r="F52" s="72">
        <v>624403</v>
      </c>
      <c r="G52" s="72">
        <v>733431</v>
      </c>
      <c r="H52" s="72">
        <v>130953</v>
      </c>
      <c r="I52" s="72">
        <v>281809</v>
      </c>
      <c r="J52" s="72">
        <v>1146193</v>
      </c>
      <c r="K52" s="72">
        <v>226203</v>
      </c>
      <c r="L52" s="72">
        <v>1501114</v>
      </c>
      <c r="M52" s="72">
        <v>1135229</v>
      </c>
      <c r="N52" s="72">
        <v>68879</v>
      </c>
      <c r="O52" s="72">
        <v>32444</v>
      </c>
      <c r="P52" s="72">
        <v>2963869</v>
      </c>
      <c r="Q52" s="72">
        <v>215405</v>
      </c>
      <c r="R52" s="72">
        <v>736600</v>
      </c>
      <c r="S52" s="72">
        <v>5686470</v>
      </c>
      <c r="T52" s="119"/>
      <c r="U52" s="119"/>
    </row>
    <row r="53" spans="1:19" s="121" customFormat="1" ht="13.5" customHeight="1">
      <c r="A53" s="117" t="s">
        <v>486</v>
      </c>
      <c r="B53" s="117"/>
      <c r="C53" s="118"/>
      <c r="D53" s="72">
        <v>-31057</v>
      </c>
      <c r="E53" s="72">
        <v>-560</v>
      </c>
      <c r="F53" s="72">
        <v>-31617</v>
      </c>
      <c r="G53" s="72">
        <v>-47906</v>
      </c>
      <c r="H53" s="72">
        <v>-12790</v>
      </c>
      <c r="I53" s="72">
        <v>-10811</v>
      </c>
      <c r="J53" s="72">
        <v>-71507</v>
      </c>
      <c r="K53" s="120">
        <v>-11680</v>
      </c>
      <c r="L53" s="120">
        <v>-102822</v>
      </c>
      <c r="M53" s="120">
        <v>-69306</v>
      </c>
      <c r="N53" s="120">
        <v>-941</v>
      </c>
      <c r="O53" s="120">
        <v>52</v>
      </c>
      <c r="P53" s="120">
        <v>-184697</v>
      </c>
      <c r="Q53" s="120">
        <v>-7489</v>
      </c>
      <c r="R53" s="120">
        <v>-65821</v>
      </c>
      <c r="S53" s="120">
        <v>-361131</v>
      </c>
    </row>
    <row r="54" spans="1:19" ht="12.75">
      <c r="A54" s="122"/>
      <c r="B54" s="122"/>
      <c r="C54" s="122"/>
      <c r="D54" s="123"/>
      <c r="E54" s="123"/>
      <c r="F54" s="123"/>
      <c r="G54" s="123"/>
      <c r="H54" s="123"/>
      <c r="I54" s="123"/>
      <c r="J54" s="123"/>
      <c r="K54" s="100"/>
      <c r="L54" s="100"/>
      <c r="M54" s="103"/>
      <c r="N54" s="103"/>
      <c r="O54" s="103"/>
      <c r="P54" s="103"/>
      <c r="Q54" s="103"/>
      <c r="R54" s="103"/>
      <c r="S54" s="103"/>
    </row>
    <row r="55" spans="1:19" ht="12.75">
      <c r="A55" s="100"/>
      <c r="B55" s="100"/>
      <c r="C55" s="101"/>
      <c r="D55" s="124"/>
      <c r="E55" s="124"/>
      <c r="F55" s="124"/>
      <c r="G55" s="124"/>
      <c r="H55" s="124"/>
      <c r="I55" s="124"/>
      <c r="J55" s="124"/>
      <c r="K55" s="100"/>
      <c r="L55" s="100"/>
      <c r="M55" s="103"/>
      <c r="N55" s="103"/>
      <c r="O55" s="103"/>
      <c r="P55" s="103"/>
      <c r="Q55" s="103"/>
      <c r="R55" s="103"/>
      <c r="S55" s="103"/>
    </row>
    <row r="56" spans="1:19" ht="12.75">
      <c r="A56" s="100"/>
      <c r="B56" s="100"/>
      <c r="C56" s="101"/>
      <c r="D56" s="124"/>
      <c r="E56" s="124"/>
      <c r="F56" s="124"/>
      <c r="G56" s="124"/>
      <c r="H56" s="124"/>
      <c r="I56" s="124"/>
      <c r="J56" s="124"/>
      <c r="K56" s="100"/>
      <c r="L56" s="100"/>
      <c r="M56" s="103"/>
      <c r="N56" s="103"/>
      <c r="O56" s="103"/>
      <c r="P56" s="103"/>
      <c r="Q56" s="103"/>
      <c r="R56" s="103"/>
      <c r="S56" s="103"/>
    </row>
    <row r="57" spans="1:19" ht="12.75">
      <c r="A57" s="100"/>
      <c r="B57" s="100"/>
      <c r="C57" s="101"/>
      <c r="D57" s="124"/>
      <c r="E57" s="124"/>
      <c r="F57" s="124"/>
      <c r="G57" s="124"/>
      <c r="H57" s="124"/>
      <c r="I57" s="124"/>
      <c r="J57" s="124"/>
      <c r="K57" s="100"/>
      <c r="L57" s="100"/>
      <c r="M57" s="103"/>
      <c r="N57" s="103"/>
      <c r="O57" s="103"/>
      <c r="P57" s="103"/>
      <c r="Q57" s="103"/>
      <c r="R57" s="103"/>
      <c r="S57" s="103"/>
    </row>
    <row r="58" spans="1:19" ht="12.75">
      <c r="A58" s="100"/>
      <c r="B58" s="100"/>
      <c r="C58" s="101"/>
      <c r="D58" s="100"/>
      <c r="E58" s="100"/>
      <c r="F58" s="100"/>
      <c r="G58" s="100"/>
      <c r="H58" s="100"/>
      <c r="I58" s="100"/>
      <c r="J58" s="100"/>
      <c r="K58" s="100"/>
      <c r="L58" s="100"/>
      <c r="M58" s="103"/>
      <c r="N58" s="103"/>
      <c r="O58" s="103"/>
      <c r="P58" s="103"/>
      <c r="Q58" s="103"/>
      <c r="R58" s="103"/>
      <c r="S58" s="103"/>
    </row>
    <row r="59" spans="1:19" ht="12.75">
      <c r="A59" s="100"/>
      <c r="B59" s="100"/>
      <c r="C59" s="101"/>
      <c r="D59" s="100"/>
      <c r="E59" s="100"/>
      <c r="F59" s="100"/>
      <c r="G59" s="100"/>
      <c r="H59" s="100"/>
      <c r="I59" s="100"/>
      <c r="J59" s="100"/>
      <c r="K59" s="100"/>
      <c r="L59" s="100"/>
      <c r="M59" s="103"/>
      <c r="N59" s="103"/>
      <c r="O59" s="103"/>
      <c r="P59" s="103"/>
      <c r="Q59" s="103"/>
      <c r="R59" s="103"/>
      <c r="S59" s="103"/>
    </row>
    <row r="60" spans="1:19" ht="12.75">
      <c r="A60" s="125"/>
      <c r="B60" s="125"/>
      <c r="C60" s="126"/>
      <c r="D60" s="127"/>
      <c r="E60" s="127"/>
      <c r="F60" s="127"/>
      <c r="G60" s="127"/>
      <c r="H60" s="127"/>
      <c r="I60" s="127"/>
      <c r="J60" s="127"/>
      <c r="K60" s="127"/>
      <c r="L60" s="127"/>
      <c r="M60" s="127"/>
      <c r="N60" s="127"/>
      <c r="O60" s="127"/>
      <c r="P60" s="127"/>
      <c r="Q60" s="127"/>
      <c r="R60" s="127"/>
      <c r="S60" s="127"/>
    </row>
    <row r="61" spans="1:19" ht="12.75">
      <c r="A61" s="104"/>
      <c r="B61" s="104"/>
      <c r="C61" s="128"/>
      <c r="D61" s="104"/>
      <c r="E61" s="104"/>
      <c r="F61" s="104"/>
      <c r="G61" s="104"/>
      <c r="H61" s="104"/>
      <c r="I61" s="104"/>
      <c r="J61" s="104"/>
      <c r="K61" s="104"/>
      <c r="L61" s="104"/>
      <c r="M61" s="104"/>
      <c r="N61" s="104"/>
      <c r="O61" s="104"/>
      <c r="P61" s="104"/>
      <c r="Q61" s="104"/>
      <c r="R61" s="104"/>
      <c r="S61" s="104"/>
    </row>
    <row r="62" spans="1:19" ht="12.75">
      <c r="A62" s="104"/>
      <c r="B62" s="104"/>
      <c r="C62" s="128"/>
      <c r="D62" s="104"/>
      <c r="E62" s="104"/>
      <c r="F62" s="104"/>
      <c r="G62" s="104"/>
      <c r="H62" s="104"/>
      <c r="I62" s="104"/>
      <c r="J62" s="104"/>
      <c r="K62" s="104"/>
      <c r="L62" s="104"/>
      <c r="M62" s="104"/>
      <c r="N62" s="104"/>
      <c r="O62" s="104"/>
      <c r="P62" s="104"/>
      <c r="Q62" s="104"/>
      <c r="R62" s="104"/>
      <c r="S62" s="104"/>
    </row>
    <row r="63" spans="1:19" ht="12.75">
      <c r="A63" s="104"/>
      <c r="B63" s="104"/>
      <c r="C63" s="128"/>
      <c r="D63" s="104"/>
      <c r="E63" s="104"/>
      <c r="F63" s="104"/>
      <c r="G63" s="104"/>
      <c r="H63" s="104"/>
      <c r="I63" s="104"/>
      <c r="J63" s="104"/>
      <c r="K63" s="104"/>
      <c r="L63" s="104"/>
      <c r="M63" s="104"/>
      <c r="N63" s="104"/>
      <c r="O63" s="104"/>
      <c r="P63" s="104"/>
      <c r="Q63" s="104"/>
      <c r="R63" s="104"/>
      <c r="S63" s="104"/>
    </row>
    <row r="64" spans="1:19" ht="12.75">
      <c r="A64" s="104"/>
      <c r="B64" s="104"/>
      <c r="C64" s="128"/>
      <c r="D64" s="104"/>
      <c r="E64" s="104"/>
      <c r="F64" s="104"/>
      <c r="G64" s="104"/>
      <c r="H64" s="104"/>
      <c r="I64" s="104"/>
      <c r="J64" s="104"/>
      <c r="K64" s="104"/>
      <c r="L64" s="104"/>
      <c r="M64" s="104"/>
      <c r="N64" s="104"/>
      <c r="O64" s="104"/>
      <c r="P64" s="104"/>
      <c r="Q64" s="104"/>
      <c r="R64" s="104"/>
      <c r="S64" s="104"/>
    </row>
    <row r="65" spans="1:19" ht="12.75">
      <c r="A65" s="104"/>
      <c r="B65" s="104"/>
      <c r="C65" s="128"/>
      <c r="D65" s="104"/>
      <c r="E65" s="104"/>
      <c r="F65" s="104"/>
      <c r="G65" s="104"/>
      <c r="H65" s="104"/>
      <c r="I65" s="104"/>
      <c r="J65" s="104"/>
      <c r="K65" s="104"/>
      <c r="L65" s="104"/>
      <c r="M65" s="104"/>
      <c r="N65" s="104"/>
      <c r="O65" s="104"/>
      <c r="P65" s="104"/>
      <c r="Q65" s="104"/>
      <c r="R65" s="104"/>
      <c r="S65" s="104"/>
    </row>
    <row r="66" spans="1:19" ht="12.75">
      <c r="A66" s="104"/>
      <c r="B66" s="104"/>
      <c r="C66" s="128"/>
      <c r="D66" s="104"/>
      <c r="E66" s="104"/>
      <c r="F66" s="104"/>
      <c r="G66" s="104"/>
      <c r="H66" s="104"/>
      <c r="I66" s="104"/>
      <c r="J66" s="104"/>
      <c r="K66" s="104"/>
      <c r="L66" s="104"/>
      <c r="M66" s="104"/>
      <c r="N66" s="104"/>
      <c r="O66" s="104"/>
      <c r="P66" s="104"/>
      <c r="Q66" s="104"/>
      <c r="R66" s="104"/>
      <c r="S66" s="104"/>
    </row>
    <row r="67" spans="1:19" ht="12.75">
      <c r="A67" s="104"/>
      <c r="B67" s="104"/>
      <c r="C67" s="128"/>
      <c r="D67" s="104"/>
      <c r="E67" s="104"/>
      <c r="F67" s="104"/>
      <c r="G67" s="104"/>
      <c r="H67" s="104"/>
      <c r="I67" s="104"/>
      <c r="J67" s="104"/>
      <c r="K67" s="104"/>
      <c r="L67" s="104"/>
      <c r="M67" s="104"/>
      <c r="N67" s="104"/>
      <c r="O67" s="104"/>
      <c r="P67" s="104"/>
      <c r="Q67" s="104"/>
      <c r="R67" s="104"/>
      <c r="S67" s="104"/>
    </row>
    <row r="68" spans="1:19" ht="12.75">
      <c r="A68" s="104"/>
      <c r="B68" s="104"/>
      <c r="C68" s="128"/>
      <c r="D68" s="104"/>
      <c r="E68" s="104"/>
      <c r="F68" s="104"/>
      <c r="G68" s="104"/>
      <c r="H68" s="104"/>
      <c r="I68" s="104"/>
      <c r="J68" s="104"/>
      <c r="K68" s="104"/>
      <c r="L68" s="104"/>
      <c r="M68" s="104"/>
      <c r="N68" s="104"/>
      <c r="O68" s="104"/>
      <c r="P68" s="104"/>
      <c r="Q68" s="104"/>
      <c r="R68" s="104"/>
      <c r="S68" s="104"/>
    </row>
    <row r="69" spans="1:19" ht="12.75">
      <c r="A69" s="104"/>
      <c r="B69" s="104"/>
      <c r="C69" s="128"/>
      <c r="D69" s="104"/>
      <c r="E69" s="104"/>
      <c r="F69" s="104"/>
      <c r="G69" s="104"/>
      <c r="H69" s="104"/>
      <c r="I69" s="104"/>
      <c r="J69" s="104"/>
      <c r="K69" s="104"/>
      <c r="L69" s="104"/>
      <c r="M69" s="104"/>
      <c r="N69" s="104"/>
      <c r="O69" s="104"/>
      <c r="P69" s="104"/>
      <c r="Q69" s="104"/>
      <c r="R69" s="104"/>
      <c r="S69" s="104"/>
    </row>
    <row r="70" spans="1:19" ht="12.75">
      <c r="A70" s="104"/>
      <c r="B70" s="104"/>
      <c r="C70" s="128"/>
      <c r="D70" s="104"/>
      <c r="E70" s="104"/>
      <c r="F70" s="104"/>
      <c r="G70" s="104"/>
      <c r="H70" s="104"/>
      <c r="I70" s="104"/>
      <c r="J70" s="104"/>
      <c r="K70" s="104"/>
      <c r="L70" s="104"/>
      <c r="M70" s="104"/>
      <c r="N70" s="104"/>
      <c r="O70" s="104"/>
      <c r="P70" s="104"/>
      <c r="Q70" s="104"/>
      <c r="R70" s="104"/>
      <c r="S70" s="104"/>
    </row>
    <row r="71" spans="1:19" ht="12.75">
      <c r="A71" s="104"/>
      <c r="B71" s="104"/>
      <c r="C71" s="128"/>
      <c r="D71" s="104"/>
      <c r="E71" s="104"/>
      <c r="F71" s="104"/>
      <c r="G71" s="104"/>
      <c r="H71" s="104"/>
      <c r="I71" s="104"/>
      <c r="J71" s="104"/>
      <c r="K71" s="104"/>
      <c r="L71" s="104"/>
      <c r="M71" s="104"/>
      <c r="N71" s="104"/>
      <c r="O71" s="104"/>
      <c r="P71" s="104"/>
      <c r="Q71" s="104"/>
      <c r="R71" s="104"/>
      <c r="S71" s="104"/>
    </row>
    <row r="72" spans="1:19" ht="12.75">
      <c r="A72" s="104"/>
      <c r="B72" s="104"/>
      <c r="C72" s="128"/>
      <c r="D72" s="104"/>
      <c r="E72" s="104"/>
      <c r="F72" s="104"/>
      <c r="G72" s="104"/>
      <c r="H72" s="104"/>
      <c r="I72" s="104"/>
      <c r="J72" s="104"/>
      <c r="K72" s="104"/>
      <c r="L72" s="104"/>
      <c r="M72" s="104"/>
      <c r="N72" s="104"/>
      <c r="O72" s="104"/>
      <c r="P72" s="104"/>
      <c r="Q72" s="104"/>
      <c r="R72" s="104"/>
      <c r="S72" s="104"/>
    </row>
    <row r="73" spans="1:19" ht="12.75">
      <c r="A73" s="104"/>
      <c r="B73" s="104"/>
      <c r="C73" s="128"/>
      <c r="D73" s="104"/>
      <c r="E73" s="104"/>
      <c r="F73" s="104"/>
      <c r="G73" s="104"/>
      <c r="H73" s="104"/>
      <c r="I73" s="104"/>
      <c r="J73" s="104"/>
      <c r="K73" s="104"/>
      <c r="L73" s="104"/>
      <c r="M73" s="104"/>
      <c r="N73" s="104"/>
      <c r="O73" s="104"/>
      <c r="P73" s="104"/>
      <c r="Q73" s="104"/>
      <c r="R73" s="104"/>
      <c r="S73" s="104"/>
    </row>
    <row r="74" spans="1:19" ht="12.75">
      <c r="A74" s="104"/>
      <c r="B74" s="104"/>
      <c r="C74" s="128"/>
      <c r="D74" s="104"/>
      <c r="E74" s="104"/>
      <c r="F74" s="104"/>
      <c r="G74" s="104"/>
      <c r="H74" s="104"/>
      <c r="I74" s="104"/>
      <c r="J74" s="104"/>
      <c r="K74" s="104"/>
      <c r="L74" s="104"/>
      <c r="M74" s="104"/>
      <c r="N74" s="104"/>
      <c r="O74" s="104"/>
      <c r="P74" s="104"/>
      <c r="Q74" s="104"/>
      <c r="R74" s="104"/>
      <c r="S74" s="104"/>
    </row>
    <row r="75" ht="12.75">
      <c r="C75" s="130"/>
    </row>
    <row r="76" ht="12.75">
      <c r="C76" s="130"/>
    </row>
    <row r="77" ht="12.75">
      <c r="C77" s="130"/>
    </row>
    <row r="78" ht="12.75">
      <c r="C78" s="130"/>
    </row>
    <row r="79" ht="12.75">
      <c r="C79" s="130"/>
    </row>
    <row r="80" ht="12.75">
      <c r="C80" s="130"/>
    </row>
    <row r="81" ht="12.75">
      <c r="C81" s="130"/>
    </row>
    <row r="82" ht="12.75">
      <c r="C82" s="130"/>
    </row>
    <row r="83" ht="12.75">
      <c r="C83" s="130"/>
    </row>
    <row r="84" ht="12.75">
      <c r="C84" s="130"/>
    </row>
    <row r="85" ht="12.75">
      <c r="C85" s="130"/>
    </row>
    <row r="86" ht="12.75">
      <c r="C86" s="130"/>
    </row>
    <row r="87" ht="12.75">
      <c r="C87" s="130"/>
    </row>
    <row r="88" ht="12.75">
      <c r="C88" s="130"/>
    </row>
    <row r="89" ht="12.75">
      <c r="C89" s="130"/>
    </row>
    <row r="90" ht="12.75">
      <c r="C90" s="130"/>
    </row>
    <row r="91" ht="12.75">
      <c r="C91" s="130"/>
    </row>
    <row r="92" ht="12.75">
      <c r="C92" s="130"/>
    </row>
    <row r="93" ht="12.75">
      <c r="C93" s="130"/>
    </row>
    <row r="94" ht="12.75">
      <c r="C94" s="130"/>
    </row>
    <row r="95" ht="12.75">
      <c r="C95" s="130"/>
    </row>
    <row r="96" ht="12.75">
      <c r="C96" s="130"/>
    </row>
    <row r="97" ht="12.75">
      <c r="C97" s="130"/>
    </row>
    <row r="98" ht="12.75">
      <c r="C98" s="130"/>
    </row>
    <row r="99" ht="12.75">
      <c r="C99" s="130"/>
    </row>
    <row r="100" ht="12.75">
      <c r="C100" s="130"/>
    </row>
    <row r="101" ht="12.75">
      <c r="C101" s="130"/>
    </row>
    <row r="102" ht="12.75">
      <c r="C102" s="130"/>
    </row>
    <row r="103" ht="12.75">
      <c r="C103" s="130"/>
    </row>
    <row r="104" ht="12.75">
      <c r="C104" s="130"/>
    </row>
    <row r="105" ht="12.75">
      <c r="C105" s="130"/>
    </row>
    <row r="106" ht="12.75">
      <c r="C106" s="130"/>
    </row>
    <row r="107" ht="12.75">
      <c r="C107" s="130"/>
    </row>
    <row r="108" ht="12.75">
      <c r="C108" s="130"/>
    </row>
    <row r="109" ht="12.75">
      <c r="C109" s="130"/>
    </row>
    <row r="110" ht="12.75">
      <c r="C110" s="130"/>
    </row>
    <row r="111" ht="12.75">
      <c r="C111" s="130"/>
    </row>
    <row r="112" ht="12.75">
      <c r="C112" s="130"/>
    </row>
    <row r="113" ht="12.75">
      <c r="C113" s="130"/>
    </row>
    <row r="114" ht="12.75">
      <c r="C114" s="130"/>
    </row>
    <row r="115" ht="12.75">
      <c r="C115" s="130"/>
    </row>
    <row r="116" ht="12.75">
      <c r="C116" s="130"/>
    </row>
    <row r="117" ht="12.75">
      <c r="C117" s="130"/>
    </row>
  </sheetData>
  <mergeCells count="4">
    <mergeCell ref="A3:C4"/>
    <mergeCell ref="D3:F3"/>
    <mergeCell ref="G3:J3"/>
    <mergeCell ref="K3:P3"/>
  </mergeCells>
  <printOptions horizontalCentered="1"/>
  <pageMargins left="0.5" right="0.5" top="0.5" bottom="0.5" header="0" footer="0.5"/>
  <pageSetup horizontalDpi="300" verticalDpi="300" orientation="portrait" r:id="rId2"/>
  <headerFooter alignWithMargins="0">
    <oddFooter>&amp;C&amp;8Energy Information Administration/Petroleum Supply Annual 2005, Volume 1</oddFooter>
  </headerFooter>
  <drawing r:id="rId1"/>
</worksheet>
</file>

<file path=xl/worksheets/sheet6.xml><?xml version="1.0" encoding="utf-8"?>
<worksheet xmlns="http://schemas.openxmlformats.org/spreadsheetml/2006/main" xmlns:r="http://schemas.openxmlformats.org/officeDocument/2006/relationships">
  <sheetPr codeName="Sheet205">
    <tabColor indexed="44"/>
  </sheetPr>
  <dimension ref="A1:AJ46"/>
  <sheetViews>
    <sheetView workbookViewId="0" topLeftCell="L1">
      <selection activeCell="S4" sqref="S4:S21"/>
    </sheetView>
  </sheetViews>
  <sheetFormatPr defaultColWidth="9.140625" defaultRowHeight="12.75"/>
  <cols>
    <col min="1" max="2" width="1.7109375" style="156" customWidth="1"/>
    <col min="3" max="3" width="20.7109375" style="156" customWidth="1"/>
    <col min="4" max="4" width="6.7109375" style="156" customWidth="1"/>
    <col min="5" max="5" width="9.7109375" style="156" customWidth="1"/>
    <col min="6" max="7" width="7.7109375" style="156" customWidth="1"/>
    <col min="8" max="8" width="9.7109375" style="156" customWidth="1"/>
    <col min="9" max="10" width="7.7109375" style="156" customWidth="1"/>
    <col min="11" max="16384" width="8.8515625" style="156" customWidth="1"/>
  </cols>
  <sheetData>
    <row r="1" spans="1:19" s="137" customFormat="1" ht="12.75">
      <c r="A1" s="132" t="s">
        <v>487</v>
      </c>
      <c r="B1" s="133"/>
      <c r="C1" s="134"/>
      <c r="D1" s="133"/>
      <c r="E1" s="133"/>
      <c r="F1" s="133"/>
      <c r="G1" s="133"/>
      <c r="H1" s="133"/>
      <c r="I1" s="133"/>
      <c r="J1" s="133"/>
      <c r="K1" s="133"/>
      <c r="L1" s="135"/>
      <c r="M1" s="136"/>
      <c r="N1" s="136"/>
      <c r="O1" s="136"/>
      <c r="P1" s="136"/>
      <c r="Q1" s="136"/>
      <c r="R1" s="136"/>
      <c r="S1" s="136"/>
    </row>
    <row r="2" spans="1:19" s="137" customFormat="1" ht="10.5" customHeight="1">
      <c r="A2" s="133"/>
      <c r="B2" s="133"/>
      <c r="C2" s="134"/>
      <c r="D2" s="133"/>
      <c r="E2" s="133"/>
      <c r="F2" s="133"/>
      <c r="G2" s="133"/>
      <c r="H2" s="133"/>
      <c r="I2" s="133"/>
      <c r="J2" s="133"/>
      <c r="K2" s="133"/>
      <c r="L2" s="133"/>
      <c r="M2" s="136"/>
      <c r="N2" s="136"/>
      <c r="O2" s="136"/>
      <c r="P2" s="136"/>
      <c r="Q2" s="136"/>
      <c r="R2" s="136"/>
      <c r="S2" s="136"/>
    </row>
    <row r="3" spans="1:23" s="137" customFormat="1" ht="18.75">
      <c r="A3" s="286" t="s">
        <v>381</v>
      </c>
      <c r="B3" s="286"/>
      <c r="C3" s="287"/>
      <c r="D3" s="284" t="s">
        <v>382</v>
      </c>
      <c r="E3" s="285"/>
      <c r="F3" s="290"/>
      <c r="G3" s="284" t="s">
        <v>383</v>
      </c>
      <c r="H3" s="291"/>
      <c r="I3" s="291"/>
      <c r="J3" s="291"/>
      <c r="K3" s="284" t="s">
        <v>384</v>
      </c>
      <c r="L3" s="285"/>
      <c r="M3" s="285"/>
      <c r="N3" s="285"/>
      <c r="O3" s="285"/>
      <c r="P3" s="285"/>
      <c r="Q3" s="138" t="s">
        <v>488</v>
      </c>
      <c r="R3" s="138" t="s">
        <v>386</v>
      </c>
      <c r="S3" s="139"/>
      <c r="W3" s="185" t="s">
        <v>532</v>
      </c>
    </row>
    <row r="4" spans="1:36" s="144" customFormat="1" ht="24.75" customHeight="1">
      <c r="A4" s="288"/>
      <c r="B4" s="288"/>
      <c r="C4" s="289"/>
      <c r="D4" s="140" t="s">
        <v>387</v>
      </c>
      <c r="E4" s="138" t="s">
        <v>388</v>
      </c>
      <c r="F4" s="138" t="s">
        <v>389</v>
      </c>
      <c r="G4" s="138" t="s">
        <v>390</v>
      </c>
      <c r="H4" s="138" t="s">
        <v>391</v>
      </c>
      <c r="I4" s="138" t="s">
        <v>392</v>
      </c>
      <c r="J4" s="141" t="s">
        <v>389</v>
      </c>
      <c r="K4" s="138" t="s">
        <v>393</v>
      </c>
      <c r="L4" s="138" t="s">
        <v>394</v>
      </c>
      <c r="M4" s="138" t="s">
        <v>395</v>
      </c>
      <c r="N4" s="138" t="s">
        <v>396</v>
      </c>
      <c r="O4" s="138" t="s">
        <v>397</v>
      </c>
      <c r="P4" s="140" t="s">
        <v>389</v>
      </c>
      <c r="Q4" s="142" t="s">
        <v>398</v>
      </c>
      <c r="R4" s="142" t="s">
        <v>399</v>
      </c>
      <c r="S4" s="143" t="s">
        <v>400</v>
      </c>
      <c r="Y4" s="140" t="s">
        <v>387</v>
      </c>
      <c r="Z4" s="138" t="s">
        <v>388</v>
      </c>
      <c r="AA4" s="138" t="s">
        <v>390</v>
      </c>
      <c r="AB4" s="138" t="s">
        <v>391</v>
      </c>
      <c r="AC4" s="138" t="s">
        <v>392</v>
      </c>
      <c r="AD4" s="138" t="s">
        <v>393</v>
      </c>
      <c r="AE4" s="138" t="s">
        <v>394</v>
      </c>
      <c r="AF4" s="138" t="s">
        <v>395</v>
      </c>
      <c r="AG4" s="138" t="s">
        <v>396</v>
      </c>
      <c r="AH4" s="138" t="s">
        <v>397</v>
      </c>
      <c r="AI4" s="142" t="s">
        <v>398</v>
      </c>
      <c r="AJ4" s="142" t="s">
        <v>399</v>
      </c>
    </row>
    <row r="5" spans="1:36" s="69" customFormat="1" ht="14.25" customHeight="1">
      <c r="A5" s="66"/>
      <c r="B5" s="66"/>
      <c r="C5" s="66"/>
      <c r="D5" s="67" t="s">
        <v>73</v>
      </c>
      <c r="E5" s="67" t="s">
        <v>105</v>
      </c>
      <c r="F5" s="67"/>
      <c r="G5" s="67" t="s">
        <v>114</v>
      </c>
      <c r="H5" s="67" t="s">
        <v>144</v>
      </c>
      <c r="I5" s="67" t="s">
        <v>155</v>
      </c>
      <c r="J5" s="67"/>
      <c r="K5" s="67" t="s">
        <v>172</v>
      </c>
      <c r="L5" s="67" t="s">
        <v>186</v>
      </c>
      <c r="M5" s="67" t="s">
        <v>211</v>
      </c>
      <c r="N5" s="67" t="s">
        <v>243</v>
      </c>
      <c r="O5" s="67" t="s">
        <v>263</v>
      </c>
      <c r="P5" s="67"/>
      <c r="Q5" s="67" t="s">
        <v>270</v>
      </c>
      <c r="R5" s="67" t="s">
        <v>299</v>
      </c>
      <c r="S5" s="67"/>
      <c r="T5" s="68"/>
      <c r="U5" s="68"/>
      <c r="V5" s="66"/>
      <c r="W5" s="66"/>
      <c r="X5" s="146">
        <v>1</v>
      </c>
      <c r="Y5" s="67" t="s">
        <v>73</v>
      </c>
      <c r="Z5" s="67" t="s">
        <v>105</v>
      </c>
      <c r="AA5" s="67" t="s">
        <v>114</v>
      </c>
      <c r="AB5" s="67" t="s">
        <v>144</v>
      </c>
      <c r="AC5" s="67" t="s">
        <v>155</v>
      </c>
      <c r="AD5" s="67" t="s">
        <v>172</v>
      </c>
      <c r="AE5" s="67" t="s">
        <v>186</v>
      </c>
      <c r="AF5" s="67" t="s">
        <v>211</v>
      </c>
      <c r="AG5" s="67" t="s">
        <v>243</v>
      </c>
      <c r="AH5" s="67" t="s">
        <v>263</v>
      </c>
      <c r="AI5" s="67" t="s">
        <v>270</v>
      </c>
      <c r="AJ5" s="67" t="s">
        <v>299</v>
      </c>
    </row>
    <row r="6" spans="1:36" s="137" customFormat="1" ht="13.5" customHeight="1">
      <c r="A6" s="145" t="s">
        <v>447</v>
      </c>
      <c r="B6" s="145"/>
      <c r="C6" s="146"/>
      <c r="D6" s="147">
        <v>2.505975462570108</v>
      </c>
      <c r="E6" s="147">
        <v>0.884010679323643</v>
      </c>
      <c r="F6" s="147">
        <v>2.4185345820219544</v>
      </c>
      <c r="G6" s="147">
        <v>4.182724195151057</v>
      </c>
      <c r="H6" s="147">
        <v>1.196063391359742</v>
      </c>
      <c r="I6" s="147">
        <v>0.941504328379465</v>
      </c>
      <c r="J6" s="147">
        <v>3.1200679958294586</v>
      </c>
      <c r="K6" s="148">
        <v>4.40318753722102</v>
      </c>
      <c r="L6" s="148">
        <v>5.313739296672346</v>
      </c>
      <c r="M6" s="148">
        <v>4.409995031396024</v>
      </c>
      <c r="N6" s="148">
        <v>0.8485828970864303</v>
      </c>
      <c r="O6" s="148">
        <v>1.5953371278458843</v>
      </c>
      <c r="P6" s="148">
        <v>4.7401621954620605</v>
      </c>
      <c r="Q6" s="148">
        <v>0.7072170517889154</v>
      </c>
      <c r="R6" s="148">
        <v>2.5398495749922505</v>
      </c>
      <c r="S6" s="148">
        <v>3.6270469366723903</v>
      </c>
      <c r="V6" s="145" t="s">
        <v>447</v>
      </c>
      <c r="W6" s="145"/>
      <c r="X6" s="146">
        <v>2</v>
      </c>
      <c r="Y6" s="147">
        <v>2.505975462570108</v>
      </c>
      <c r="Z6" s="147">
        <v>0.884010679323643</v>
      </c>
      <c r="AA6" s="147">
        <v>4.182724195151057</v>
      </c>
      <c r="AB6" s="147">
        <v>1.196063391359742</v>
      </c>
      <c r="AC6" s="147">
        <v>0.941504328379465</v>
      </c>
      <c r="AD6" s="148">
        <v>4.40318753722102</v>
      </c>
      <c r="AE6" s="148">
        <v>5.313739296672346</v>
      </c>
      <c r="AF6" s="148">
        <v>4.409995031396024</v>
      </c>
      <c r="AG6" s="148">
        <v>0.8485828970864303</v>
      </c>
      <c r="AH6" s="148">
        <v>1.5953371278458843</v>
      </c>
      <c r="AI6" s="148">
        <v>0.7072170517889154</v>
      </c>
      <c r="AJ6" s="148">
        <v>2.5398495749922505</v>
      </c>
    </row>
    <row r="7" spans="1:36" s="137" customFormat="1" ht="10.5" customHeight="1">
      <c r="A7" s="145" t="s">
        <v>489</v>
      </c>
      <c r="B7" s="145"/>
      <c r="C7" s="146"/>
      <c r="D7" s="147">
        <v>47.14699130811074</v>
      </c>
      <c r="E7" s="147">
        <v>36.73687333135568</v>
      </c>
      <c r="F7" s="147">
        <v>46.58577697602416</v>
      </c>
      <c r="G7" s="147">
        <v>51.0089429030039</v>
      </c>
      <c r="H7" s="147">
        <v>49.174456246181045</v>
      </c>
      <c r="I7" s="147">
        <v>49.45823084947094</v>
      </c>
      <c r="J7" s="147">
        <v>50.449590579866936</v>
      </c>
      <c r="K7" s="148">
        <v>52.76262678779056</v>
      </c>
      <c r="L7" s="148">
        <v>43.658339930754444</v>
      </c>
      <c r="M7" s="148">
        <v>43.041608946933586</v>
      </c>
      <c r="N7" s="148">
        <v>22.13641427939134</v>
      </c>
      <c r="O7" s="148">
        <v>56.42786777583188</v>
      </c>
      <c r="P7" s="148">
        <v>43.78240345250804</v>
      </c>
      <c r="Q7" s="148">
        <v>46.01527392382683</v>
      </c>
      <c r="R7" s="148">
        <v>47.29261498050349</v>
      </c>
      <c r="S7" s="148">
        <v>46.17971380843833</v>
      </c>
      <c r="V7" s="145" t="s">
        <v>489</v>
      </c>
      <c r="W7" s="145"/>
      <c r="X7" s="146">
        <v>3</v>
      </c>
      <c r="Y7" s="147">
        <v>47.14699130811074</v>
      </c>
      <c r="Z7" s="147">
        <v>36.73687333135568</v>
      </c>
      <c r="AA7" s="147">
        <v>51.0089429030039</v>
      </c>
      <c r="AB7" s="147">
        <v>49.174456246181045</v>
      </c>
      <c r="AC7" s="147">
        <v>49.45823084947094</v>
      </c>
      <c r="AD7" s="148">
        <v>52.76262678779056</v>
      </c>
      <c r="AE7" s="148">
        <v>43.658339930754444</v>
      </c>
      <c r="AF7" s="148">
        <v>43.041608946933586</v>
      </c>
      <c r="AG7" s="148">
        <v>22.13641427939134</v>
      </c>
      <c r="AH7" s="148">
        <v>56.42786777583188</v>
      </c>
      <c r="AI7" s="148">
        <v>46.01527392382683</v>
      </c>
      <c r="AJ7" s="148">
        <v>47.29261498050349</v>
      </c>
    </row>
    <row r="8" spans="1:36" s="137" customFormat="1" ht="9.75" customHeight="1">
      <c r="A8" s="145" t="s">
        <v>490</v>
      </c>
      <c r="B8" s="149"/>
      <c r="C8" s="145"/>
      <c r="D8" s="147">
        <v>0.2812777854783582</v>
      </c>
      <c r="E8" s="147">
        <v>0</v>
      </c>
      <c r="F8" s="147">
        <v>0.2661139684245541</v>
      </c>
      <c r="G8" s="147">
        <v>0.057326301307039675</v>
      </c>
      <c r="H8" s="147">
        <v>0.5213276303644093</v>
      </c>
      <c r="I8" s="147">
        <v>0.08968540822257379</v>
      </c>
      <c r="J8" s="147">
        <v>0.12247087438489003</v>
      </c>
      <c r="K8" s="148">
        <v>0.48777259965780295</v>
      </c>
      <c r="L8" s="148">
        <v>0.07873125207499534</v>
      </c>
      <c r="M8" s="148">
        <v>0.17136418335393214</v>
      </c>
      <c r="N8" s="148">
        <v>0</v>
      </c>
      <c r="O8" s="148">
        <v>0</v>
      </c>
      <c r="P8" s="148">
        <v>0.1429627406334851</v>
      </c>
      <c r="Q8" s="148">
        <v>0.05402352478943104</v>
      </c>
      <c r="R8" s="148">
        <v>0.07076664545706687</v>
      </c>
      <c r="S8" s="148">
        <v>0.1365419742938781</v>
      </c>
      <c r="V8" s="145" t="s">
        <v>490</v>
      </c>
      <c r="W8" s="149"/>
      <c r="X8" s="146">
        <v>4</v>
      </c>
      <c r="Y8" s="147">
        <v>0.2812777854783582</v>
      </c>
      <c r="Z8" s="147">
        <v>0</v>
      </c>
      <c r="AA8" s="147">
        <v>0.057326301307039675</v>
      </c>
      <c r="AB8" s="147">
        <v>0.5213276303644093</v>
      </c>
      <c r="AC8" s="147">
        <v>0.08968540822257379</v>
      </c>
      <c r="AD8" s="148">
        <v>0.48777259965780295</v>
      </c>
      <c r="AE8" s="148">
        <v>0.07873125207499534</v>
      </c>
      <c r="AF8" s="148">
        <v>0.17136418335393214</v>
      </c>
      <c r="AG8" s="148">
        <v>0</v>
      </c>
      <c r="AH8" s="148">
        <v>0</v>
      </c>
      <c r="AI8" s="148">
        <v>0.05402352478943104</v>
      </c>
      <c r="AJ8" s="148">
        <v>0.07076664545706687</v>
      </c>
    </row>
    <row r="9" spans="1:36" s="137" customFormat="1" ht="9" customHeight="1">
      <c r="A9" s="146" t="s">
        <v>463</v>
      </c>
      <c r="B9" s="149"/>
      <c r="C9" s="145"/>
      <c r="D9" s="147">
        <v>5.979519461244856</v>
      </c>
      <c r="E9" s="147">
        <v>0</v>
      </c>
      <c r="F9" s="147">
        <v>5.6571607686599625</v>
      </c>
      <c r="G9" s="147">
        <v>7.080352982077209</v>
      </c>
      <c r="H9" s="147">
        <v>7.187430933839494</v>
      </c>
      <c r="I9" s="147">
        <v>4.362252066036174</v>
      </c>
      <c r="J9" s="147">
        <v>6.517246756767128</v>
      </c>
      <c r="K9" s="148">
        <v>7.570873547789425</v>
      </c>
      <c r="L9" s="148">
        <v>9.29641696187846</v>
      </c>
      <c r="M9" s="148">
        <v>12.556112196630348</v>
      </c>
      <c r="N9" s="148">
        <v>3.7331542558874253</v>
      </c>
      <c r="O9" s="148">
        <v>5.467381786339755</v>
      </c>
      <c r="P9" s="148">
        <v>10.22559234619778</v>
      </c>
      <c r="Q9" s="148">
        <v>5.383689806743118</v>
      </c>
      <c r="R9" s="148">
        <v>16.21759417878061</v>
      </c>
      <c r="S9" s="148">
        <v>9.790384037099717</v>
      </c>
      <c r="V9" s="146" t="s">
        <v>463</v>
      </c>
      <c r="W9" s="149"/>
      <c r="X9" s="146">
        <v>5</v>
      </c>
      <c r="Y9" s="147">
        <v>5.979519461244856</v>
      </c>
      <c r="Z9" s="147">
        <v>0</v>
      </c>
      <c r="AA9" s="147">
        <v>7.080352982077209</v>
      </c>
      <c r="AB9" s="147">
        <v>7.187430933839494</v>
      </c>
      <c r="AC9" s="147">
        <v>4.362252066036174</v>
      </c>
      <c r="AD9" s="148">
        <v>7.570873547789425</v>
      </c>
      <c r="AE9" s="148">
        <v>9.29641696187846</v>
      </c>
      <c r="AF9" s="148">
        <v>12.556112196630348</v>
      </c>
      <c r="AG9" s="148">
        <v>3.7331542558874253</v>
      </c>
      <c r="AH9" s="148">
        <v>5.467381786339755</v>
      </c>
      <c r="AI9" s="148">
        <v>5.383689806743118</v>
      </c>
      <c r="AJ9" s="148">
        <v>16.21759417878061</v>
      </c>
    </row>
    <row r="10" spans="1:36" s="137" customFormat="1" ht="9" customHeight="1">
      <c r="A10" s="145" t="s">
        <v>464</v>
      </c>
      <c r="B10" s="146"/>
      <c r="C10" s="150"/>
      <c r="D10" s="147">
        <v>0.5890944004760086</v>
      </c>
      <c r="E10" s="147">
        <v>1.8718481162859686</v>
      </c>
      <c r="F10" s="147">
        <v>0.6582482536270822</v>
      </c>
      <c r="G10" s="147">
        <v>0.3969692262551994</v>
      </c>
      <c r="H10" s="147">
        <v>0.3282673981721031</v>
      </c>
      <c r="I10" s="147">
        <v>0.1297166633948814</v>
      </c>
      <c r="J10" s="147">
        <v>0.3316511278342822</v>
      </c>
      <c r="K10" s="148">
        <v>0.020323858319075124</v>
      </c>
      <c r="L10" s="148">
        <v>0.8746538634133171</v>
      </c>
      <c r="M10" s="148">
        <v>0.2731296173792002</v>
      </c>
      <c r="N10" s="148">
        <v>0.23046046305764564</v>
      </c>
      <c r="O10" s="148">
        <v>0.030100700525394045</v>
      </c>
      <c r="P10" s="148">
        <v>0.5513648892157865</v>
      </c>
      <c r="Q10" s="148">
        <v>0.27551997642609827</v>
      </c>
      <c r="R10" s="148">
        <v>0.01519341523501868</v>
      </c>
      <c r="S10" s="148">
        <v>0.41528263702826085</v>
      </c>
      <c r="V10" s="145" t="s">
        <v>464</v>
      </c>
      <c r="W10" s="146"/>
      <c r="X10" s="146">
        <v>6</v>
      </c>
      <c r="Y10" s="147">
        <v>0.5890944004760086</v>
      </c>
      <c r="Z10" s="147">
        <v>1.8718481162859686</v>
      </c>
      <c r="AA10" s="147">
        <v>0.3969692262551994</v>
      </c>
      <c r="AB10" s="147">
        <v>0.3282673981721031</v>
      </c>
      <c r="AC10" s="147">
        <v>0.1297166633948814</v>
      </c>
      <c r="AD10" s="148">
        <v>0.020323858319075124</v>
      </c>
      <c r="AE10" s="148">
        <v>0.8746538634133171</v>
      </c>
      <c r="AF10" s="148">
        <v>0.2731296173792002</v>
      </c>
      <c r="AG10" s="148">
        <v>0.23046046305764564</v>
      </c>
      <c r="AH10" s="148">
        <v>0.030100700525394045</v>
      </c>
      <c r="AI10" s="148">
        <v>0.27551997642609827</v>
      </c>
      <c r="AJ10" s="148">
        <v>0.01519341523501868</v>
      </c>
    </row>
    <row r="11" spans="1:36" s="137" customFormat="1" ht="9" customHeight="1">
      <c r="A11" s="145" t="s">
        <v>465</v>
      </c>
      <c r="B11" s="145"/>
      <c r="C11" s="150"/>
      <c r="D11" s="147">
        <v>28.83857968241304</v>
      </c>
      <c r="E11" s="147">
        <v>28.902402847819637</v>
      </c>
      <c r="F11" s="147">
        <v>28.8420204191295</v>
      </c>
      <c r="G11" s="147">
        <v>24.5202466633627</v>
      </c>
      <c r="H11" s="147">
        <v>27.09213588320181</v>
      </c>
      <c r="I11" s="147">
        <v>35.02542369619357</v>
      </c>
      <c r="J11" s="147">
        <v>27.071615252032814</v>
      </c>
      <c r="K11" s="148">
        <v>27.91127454224054</v>
      </c>
      <c r="L11" s="148">
        <v>24.602312320091063</v>
      </c>
      <c r="M11" s="148">
        <v>23.721876887758377</v>
      </c>
      <c r="N11" s="148">
        <v>24.152561774087694</v>
      </c>
      <c r="O11" s="148">
        <v>26.35726795096322</v>
      </c>
      <c r="P11" s="148">
        <v>24.534546519328188</v>
      </c>
      <c r="Q11" s="148">
        <v>30.63330304741792</v>
      </c>
      <c r="R11" s="148">
        <v>20.351834630381937</v>
      </c>
      <c r="S11" s="148">
        <v>25.044806902162968</v>
      </c>
      <c r="V11" s="145" t="s">
        <v>465</v>
      </c>
      <c r="W11" s="145"/>
      <c r="X11" s="146">
        <v>7</v>
      </c>
      <c r="Y11" s="147">
        <v>28.83857968241304</v>
      </c>
      <c r="Z11" s="147">
        <v>28.902402847819637</v>
      </c>
      <c r="AA11" s="147">
        <v>24.5202466633627</v>
      </c>
      <c r="AB11" s="147">
        <v>27.09213588320181</v>
      </c>
      <c r="AC11" s="147">
        <v>35.02542369619357</v>
      </c>
      <c r="AD11" s="148">
        <v>27.91127454224054</v>
      </c>
      <c r="AE11" s="148">
        <v>24.602312320091063</v>
      </c>
      <c r="AF11" s="148">
        <v>23.721876887758377</v>
      </c>
      <c r="AG11" s="148">
        <v>24.152561774087694</v>
      </c>
      <c r="AH11" s="148">
        <v>26.35726795096322</v>
      </c>
      <c r="AI11" s="148">
        <v>30.63330304741792</v>
      </c>
      <c r="AJ11" s="148">
        <v>20.351834630381937</v>
      </c>
    </row>
    <row r="12" spans="1:36" s="137" customFormat="1" ht="9" customHeight="1">
      <c r="A12" s="145" t="s">
        <v>469</v>
      </c>
      <c r="B12" s="146"/>
      <c r="C12" s="146"/>
      <c r="D12" s="147">
        <v>6.528890136007275</v>
      </c>
      <c r="E12" s="147">
        <v>0.9047760308513795</v>
      </c>
      <c r="F12" s="147">
        <v>6.2256915124996794</v>
      </c>
      <c r="G12" s="147">
        <v>1.7413634536815812</v>
      </c>
      <c r="H12" s="147">
        <v>2.5084829495963286</v>
      </c>
      <c r="I12" s="147">
        <v>0.816021740050886</v>
      </c>
      <c r="J12" s="147">
        <v>1.641436305755886</v>
      </c>
      <c r="K12" s="148">
        <v>1.0265911690472365</v>
      </c>
      <c r="L12" s="148">
        <v>4.168670215288748</v>
      </c>
      <c r="M12" s="148">
        <v>4.4532668810474085</v>
      </c>
      <c r="N12" s="148">
        <v>2.7685780131560875</v>
      </c>
      <c r="O12" s="148">
        <v>0.22165061295971977</v>
      </c>
      <c r="P12" s="148">
        <v>3.947508743228876</v>
      </c>
      <c r="Q12" s="148">
        <v>2.7188566657662747</v>
      </c>
      <c r="R12" s="148">
        <v>5.790832558367187</v>
      </c>
      <c r="S12" s="148">
        <v>3.9748654491543824</v>
      </c>
      <c r="V12" s="145" t="s">
        <v>469</v>
      </c>
      <c r="W12" s="146"/>
      <c r="X12" s="146">
        <v>8</v>
      </c>
      <c r="Y12" s="147">
        <v>6.528890136007275</v>
      </c>
      <c r="Z12" s="147">
        <v>0.9047760308513795</v>
      </c>
      <c r="AA12" s="147">
        <v>1.7413634536815812</v>
      </c>
      <c r="AB12" s="147">
        <v>2.5084829495963286</v>
      </c>
      <c r="AC12" s="147">
        <v>0.816021740050886</v>
      </c>
      <c r="AD12" s="148">
        <v>1.0265911690472365</v>
      </c>
      <c r="AE12" s="148">
        <v>4.168670215288748</v>
      </c>
      <c r="AF12" s="148">
        <v>4.4532668810474085</v>
      </c>
      <c r="AG12" s="148">
        <v>2.7685780131560875</v>
      </c>
      <c r="AH12" s="148">
        <v>0.22165061295971977</v>
      </c>
      <c r="AI12" s="148">
        <v>2.7188566657662747</v>
      </c>
      <c r="AJ12" s="148">
        <v>5.790832558367187</v>
      </c>
    </row>
    <row r="13" spans="1:36" s="137" customFormat="1" ht="9" customHeight="1">
      <c r="A13" s="145" t="s">
        <v>474</v>
      </c>
      <c r="B13" s="145"/>
      <c r="C13" s="150"/>
      <c r="D13" s="147">
        <v>0.7975171826243352</v>
      </c>
      <c r="E13" s="147">
        <v>0</v>
      </c>
      <c r="F13" s="147">
        <v>0.7545226580691384</v>
      </c>
      <c r="G13" s="147">
        <v>1.2264130008654424</v>
      </c>
      <c r="H13" s="147">
        <v>0</v>
      </c>
      <c r="I13" s="147">
        <v>-0.0011547477453550273</v>
      </c>
      <c r="J13" s="147">
        <v>0.8119818971718209</v>
      </c>
      <c r="K13" s="148">
        <v>0.16353616228837192</v>
      </c>
      <c r="L13" s="148">
        <v>3.4270349547787826</v>
      </c>
      <c r="M13" s="148">
        <v>1.5607543470498075</v>
      </c>
      <c r="N13" s="148">
        <v>0</v>
      </c>
      <c r="O13" s="148">
        <v>-0.02462784588441331</v>
      </c>
      <c r="P13" s="148">
        <v>2.3310512800497527</v>
      </c>
      <c r="Q13" s="148">
        <v>0</v>
      </c>
      <c r="R13" s="148">
        <v>0.0016315076762436168</v>
      </c>
      <c r="S13" s="148">
        <v>1.3584095818490964</v>
      </c>
      <c r="V13" s="145" t="s">
        <v>474</v>
      </c>
      <c r="W13" s="145"/>
      <c r="X13" s="146">
        <v>9</v>
      </c>
      <c r="Y13" s="147">
        <v>0.7975171826243352</v>
      </c>
      <c r="Z13" s="147">
        <v>0</v>
      </c>
      <c r="AA13" s="147">
        <v>1.2264130008654424</v>
      </c>
      <c r="AB13" s="147">
        <v>0</v>
      </c>
      <c r="AC13" s="147">
        <v>-0.0011547477453550273</v>
      </c>
      <c r="AD13" s="148">
        <v>0.16353616228837192</v>
      </c>
      <c r="AE13" s="148">
        <v>3.4270349547787826</v>
      </c>
      <c r="AF13" s="148">
        <v>1.5607543470498075</v>
      </c>
      <c r="AG13" s="148">
        <v>0</v>
      </c>
      <c r="AH13" s="148">
        <v>-0.02462784588441331</v>
      </c>
      <c r="AI13" s="148">
        <v>0</v>
      </c>
      <c r="AJ13" s="148">
        <v>0.0016315076762436168</v>
      </c>
    </row>
    <row r="14" spans="1:36" s="137" customFormat="1" ht="9" customHeight="1">
      <c r="A14" s="145" t="s">
        <v>475</v>
      </c>
      <c r="B14" s="145"/>
      <c r="C14" s="146"/>
      <c r="D14" s="147">
        <v>0</v>
      </c>
      <c r="E14" s="147">
        <v>0</v>
      </c>
      <c r="F14" s="147">
        <v>0</v>
      </c>
      <c r="G14" s="147">
        <v>0.30943874468961197</v>
      </c>
      <c r="H14" s="147">
        <v>0</v>
      </c>
      <c r="I14" s="147">
        <v>0.31832546180286914</v>
      </c>
      <c r="J14" s="147">
        <v>0.27245687188158535</v>
      </c>
      <c r="K14" s="148">
        <v>0.6678514373221662</v>
      </c>
      <c r="L14" s="148">
        <v>1.8613848382142089</v>
      </c>
      <c r="M14" s="148">
        <v>2.809128062656107</v>
      </c>
      <c r="N14" s="148">
        <v>0</v>
      </c>
      <c r="O14" s="148">
        <v>0</v>
      </c>
      <c r="P14" s="148">
        <v>2.062020395919937</v>
      </c>
      <c r="Q14" s="148">
        <v>0.13112982835252807</v>
      </c>
      <c r="R14" s="148">
        <v>0.3866673192697372</v>
      </c>
      <c r="S14" s="148">
        <v>1.1046556319096286</v>
      </c>
      <c r="V14" s="145" t="s">
        <v>475</v>
      </c>
      <c r="W14" s="145"/>
      <c r="X14" s="146">
        <v>10</v>
      </c>
      <c r="Y14" s="147">
        <v>0</v>
      </c>
      <c r="Z14" s="147">
        <v>0</v>
      </c>
      <c r="AA14" s="147">
        <v>0.30943874468961197</v>
      </c>
      <c r="AB14" s="147">
        <v>0</v>
      </c>
      <c r="AC14" s="147">
        <v>0.31832546180286914</v>
      </c>
      <c r="AD14" s="148">
        <v>0.6678514373221662</v>
      </c>
      <c r="AE14" s="148">
        <v>1.8613848382142089</v>
      </c>
      <c r="AF14" s="148">
        <v>2.809128062656107</v>
      </c>
      <c r="AG14" s="148">
        <v>0</v>
      </c>
      <c r="AH14" s="148">
        <v>0</v>
      </c>
      <c r="AI14" s="148">
        <v>0.13112982835252807</v>
      </c>
      <c r="AJ14" s="148">
        <v>0.3866673192697372</v>
      </c>
    </row>
    <row r="15" spans="1:36" s="137" customFormat="1" ht="9" customHeight="1">
      <c r="A15" s="145" t="s">
        <v>476</v>
      </c>
      <c r="B15" s="146"/>
      <c r="C15" s="146"/>
      <c r="D15" s="147">
        <v>0.05020402781675023</v>
      </c>
      <c r="E15" s="147">
        <v>0.7356867398398101</v>
      </c>
      <c r="F15" s="147">
        <v>0.0871587216294363</v>
      </c>
      <c r="G15" s="147">
        <v>0.21364834444107472</v>
      </c>
      <c r="H15" s="147">
        <v>0</v>
      </c>
      <c r="I15" s="147">
        <v>0.20131102360689307</v>
      </c>
      <c r="J15" s="147">
        <v>0.1841961950748746</v>
      </c>
      <c r="K15" s="148">
        <v>0.5425997523325172</v>
      </c>
      <c r="L15" s="148">
        <v>0.48063276869137567</v>
      </c>
      <c r="M15" s="148">
        <v>0.06787553407706026</v>
      </c>
      <c r="N15" s="148">
        <v>3.5057462492941194</v>
      </c>
      <c r="O15" s="148">
        <v>0</v>
      </c>
      <c r="P15" s="148">
        <v>0.3936331189808417</v>
      </c>
      <c r="Q15" s="148">
        <v>-0.0004911229526311912</v>
      </c>
      <c r="R15" s="148">
        <v>0.04772159953012579</v>
      </c>
      <c r="S15" s="148">
        <v>0.24308254134997312</v>
      </c>
      <c r="V15" s="145" t="s">
        <v>476</v>
      </c>
      <c r="W15" s="146"/>
      <c r="X15" s="146">
        <v>11</v>
      </c>
      <c r="Y15" s="147">
        <v>0.05020402781675023</v>
      </c>
      <c r="Z15" s="147">
        <v>0.7356867398398101</v>
      </c>
      <c r="AA15" s="147">
        <v>0.21364834444107472</v>
      </c>
      <c r="AB15" s="147">
        <v>0</v>
      </c>
      <c r="AC15" s="147">
        <v>0.20131102360689307</v>
      </c>
      <c r="AD15" s="148">
        <v>0.5425997523325172</v>
      </c>
      <c r="AE15" s="148">
        <v>0.48063276869137567</v>
      </c>
      <c r="AF15" s="148">
        <v>0.06787553407706026</v>
      </c>
      <c r="AG15" s="148">
        <v>3.5057462492941194</v>
      </c>
      <c r="AH15" s="148">
        <v>0</v>
      </c>
      <c r="AI15" s="148">
        <v>-0.0004911229526311912</v>
      </c>
      <c r="AJ15" s="148">
        <v>0.04772159953012579</v>
      </c>
    </row>
    <row r="16" spans="1:36" s="137" customFormat="1" ht="9" customHeight="1">
      <c r="A16" s="145" t="s">
        <v>27</v>
      </c>
      <c r="B16" s="146"/>
      <c r="C16" s="146"/>
      <c r="D16" s="147">
        <v>0.6722606687785039</v>
      </c>
      <c r="E16" s="147">
        <v>6.638979531296352</v>
      </c>
      <c r="F16" s="147">
        <v>0.9939292750953149</v>
      </c>
      <c r="G16" s="147">
        <v>0.2490303841725164</v>
      </c>
      <c r="H16" s="147">
        <v>0</v>
      </c>
      <c r="I16" s="147">
        <v>1.2078661416413585</v>
      </c>
      <c r="J16" s="147">
        <v>0.4211365133848418</v>
      </c>
      <c r="K16" s="148">
        <v>0.2642101581479766</v>
      </c>
      <c r="L16" s="148">
        <v>1.3312075652050186</v>
      </c>
      <c r="M16" s="148">
        <v>1.4433842415794607</v>
      </c>
      <c r="N16" s="148">
        <v>13.934463759710628</v>
      </c>
      <c r="O16" s="148">
        <v>0</v>
      </c>
      <c r="P16" s="148">
        <v>1.576218270865469</v>
      </c>
      <c r="Q16" s="148">
        <v>0</v>
      </c>
      <c r="R16" s="148">
        <v>0.6989990700406246</v>
      </c>
      <c r="S16" s="148">
        <v>1.062594665371522</v>
      </c>
      <c r="V16" s="145" t="s">
        <v>27</v>
      </c>
      <c r="W16" s="146"/>
      <c r="X16" s="146">
        <v>12</v>
      </c>
      <c r="Y16" s="147">
        <v>0.6722606687785039</v>
      </c>
      <c r="Z16" s="147">
        <v>6.638979531296352</v>
      </c>
      <c r="AA16" s="147">
        <v>0.2490303841725164</v>
      </c>
      <c r="AB16" s="147">
        <v>0</v>
      </c>
      <c r="AC16" s="147">
        <v>1.2078661416413585</v>
      </c>
      <c r="AD16" s="148">
        <v>0.2642101581479766</v>
      </c>
      <c r="AE16" s="148">
        <v>1.3312075652050186</v>
      </c>
      <c r="AF16" s="148">
        <v>1.4433842415794607</v>
      </c>
      <c r="AG16" s="148">
        <v>13.934463759710628</v>
      </c>
      <c r="AH16" s="148">
        <v>0</v>
      </c>
      <c r="AI16" s="148">
        <v>0</v>
      </c>
      <c r="AJ16" s="148">
        <v>0.6989990700406246</v>
      </c>
    </row>
    <row r="17" spans="1:36" s="137" customFormat="1" ht="9" customHeight="1">
      <c r="A17" s="145" t="s">
        <v>477</v>
      </c>
      <c r="B17" s="146"/>
      <c r="C17" s="146"/>
      <c r="D17" s="147">
        <v>0</v>
      </c>
      <c r="E17" s="147">
        <v>0.4776030851379413</v>
      </c>
      <c r="F17" s="147">
        <v>0.025747805839154578</v>
      </c>
      <c r="G17" s="147">
        <v>0.04549119394042503</v>
      </c>
      <c r="H17" s="147">
        <v>0</v>
      </c>
      <c r="I17" s="147">
        <v>0.2548143358083427</v>
      </c>
      <c r="J17" s="147">
        <v>0.08417831432721441</v>
      </c>
      <c r="K17" s="148">
        <v>0</v>
      </c>
      <c r="L17" s="148">
        <v>0.1525737239006629</v>
      </c>
      <c r="M17" s="148">
        <v>0.12675205517352298</v>
      </c>
      <c r="N17" s="148">
        <v>0.4838143495978388</v>
      </c>
      <c r="O17" s="148">
        <v>0</v>
      </c>
      <c r="P17" s="148">
        <v>0.13676927660706648</v>
      </c>
      <c r="Q17" s="148">
        <v>0.434152690125973</v>
      </c>
      <c r="R17" s="148">
        <v>0</v>
      </c>
      <c r="S17" s="148">
        <v>0.10077974160615633</v>
      </c>
      <c r="V17" s="145" t="s">
        <v>477</v>
      </c>
      <c r="W17" s="146"/>
      <c r="X17" s="146">
        <v>13</v>
      </c>
      <c r="Y17" s="147">
        <v>0</v>
      </c>
      <c r="Z17" s="147">
        <v>0.4776030851379413</v>
      </c>
      <c r="AA17" s="147">
        <v>0.04549119394042503</v>
      </c>
      <c r="AB17" s="147">
        <v>0</v>
      </c>
      <c r="AC17" s="147">
        <v>0.2548143358083427</v>
      </c>
      <c r="AD17" s="148">
        <v>0</v>
      </c>
      <c r="AE17" s="148">
        <v>0.1525737239006629</v>
      </c>
      <c r="AF17" s="148">
        <v>0.12675205517352298</v>
      </c>
      <c r="AG17" s="148">
        <v>0.4838143495978388</v>
      </c>
      <c r="AH17" s="148">
        <v>0</v>
      </c>
      <c r="AI17" s="148">
        <v>0.434152690125973</v>
      </c>
      <c r="AJ17" s="148">
        <v>0</v>
      </c>
    </row>
    <row r="18" spans="1:36" s="137" customFormat="1" ht="9" customHeight="1">
      <c r="A18" s="145" t="s">
        <v>478</v>
      </c>
      <c r="B18" s="146"/>
      <c r="C18" s="150"/>
      <c r="D18" s="147">
        <v>3.0010852183790693</v>
      </c>
      <c r="E18" s="147">
        <v>0.8454464550578463</v>
      </c>
      <c r="F18" s="147">
        <v>2.8848737238044064</v>
      </c>
      <c r="G18" s="147">
        <v>4.424850766693049</v>
      </c>
      <c r="H18" s="147">
        <v>5.5935464579622725</v>
      </c>
      <c r="I18" s="147">
        <v>4.107052814312714</v>
      </c>
      <c r="J18" s="147">
        <v>4.504233818127486</v>
      </c>
      <c r="K18" s="148">
        <v>1.4406307013149062</v>
      </c>
      <c r="L18" s="148">
        <v>6.778330299127681</v>
      </c>
      <c r="M18" s="148">
        <v>6.373215873875961</v>
      </c>
      <c r="N18" s="148">
        <v>1.391920147738893</v>
      </c>
      <c r="O18" s="148">
        <v>1.0070052539404553</v>
      </c>
      <c r="P18" s="148">
        <v>6.002749311664273</v>
      </c>
      <c r="Q18" s="148">
        <v>3.2959261351079236</v>
      </c>
      <c r="R18" s="148">
        <v>6.221856492584797</v>
      </c>
      <c r="S18" s="148">
        <v>5.287639576384988</v>
      </c>
      <c r="V18" s="145" t="s">
        <v>478</v>
      </c>
      <c r="W18" s="146"/>
      <c r="X18" s="146">
        <v>14</v>
      </c>
      <c r="Y18" s="147">
        <v>3.0010852183790693</v>
      </c>
      <c r="Z18" s="147">
        <v>0.8454464550578463</v>
      </c>
      <c r="AA18" s="147">
        <v>4.424850766693049</v>
      </c>
      <c r="AB18" s="147">
        <v>5.5935464579622725</v>
      </c>
      <c r="AC18" s="147">
        <v>4.107052814312714</v>
      </c>
      <c r="AD18" s="148">
        <v>1.4406307013149062</v>
      </c>
      <c r="AE18" s="148">
        <v>6.778330299127681</v>
      </c>
      <c r="AF18" s="148">
        <v>6.373215873875961</v>
      </c>
      <c r="AG18" s="148">
        <v>1.391920147738893</v>
      </c>
      <c r="AH18" s="148">
        <v>1.0070052539404553</v>
      </c>
      <c r="AI18" s="148">
        <v>3.2959261351079236</v>
      </c>
      <c r="AJ18" s="148">
        <v>6.221856492584797</v>
      </c>
    </row>
    <row r="19" spans="1:36" s="137" customFormat="1" ht="9" customHeight="1">
      <c r="A19" s="145" t="s">
        <v>481</v>
      </c>
      <c r="B19" s="146"/>
      <c r="C19" s="146"/>
      <c r="D19" s="147">
        <v>4.853225059416552</v>
      </c>
      <c r="E19" s="147">
        <v>21.14209433402551</v>
      </c>
      <c r="F19" s="147">
        <v>5.731365625239886</v>
      </c>
      <c r="G19" s="147">
        <v>6.014700189608282</v>
      </c>
      <c r="H19" s="147">
        <v>9.439800309416398</v>
      </c>
      <c r="I19" s="147">
        <v>2.591253940576681</v>
      </c>
      <c r="J19" s="147">
        <v>5.718736655777645</v>
      </c>
      <c r="K19" s="148">
        <v>3.1903731082269084</v>
      </c>
      <c r="L19" s="148">
        <v>0.6962498677475493</v>
      </c>
      <c r="M19" s="148">
        <v>1.005400365130165</v>
      </c>
      <c r="N19" s="148">
        <v>24.654690862471572</v>
      </c>
      <c r="O19" s="148">
        <v>5.262149737302977</v>
      </c>
      <c r="P19" s="148">
        <v>1.6444196705883387</v>
      </c>
      <c r="Q19" s="148">
        <v>9.549885813913512</v>
      </c>
      <c r="R19" s="148">
        <v>1.686571060316839</v>
      </c>
      <c r="S19" s="148">
        <v>3.2402213892161162</v>
      </c>
      <c r="V19" s="145" t="s">
        <v>481</v>
      </c>
      <c r="W19" s="146"/>
      <c r="X19" s="146">
        <v>15</v>
      </c>
      <c r="Y19" s="147">
        <v>4.853225059416552</v>
      </c>
      <c r="Z19" s="147">
        <v>21.14209433402551</v>
      </c>
      <c r="AA19" s="147">
        <v>6.014700189608282</v>
      </c>
      <c r="AB19" s="147">
        <v>9.439800309416398</v>
      </c>
      <c r="AC19" s="147">
        <v>2.591253940576681</v>
      </c>
      <c r="AD19" s="148">
        <v>3.1903731082269084</v>
      </c>
      <c r="AE19" s="148">
        <v>0.6962498677475493</v>
      </c>
      <c r="AF19" s="148">
        <v>1.005400365130165</v>
      </c>
      <c r="AG19" s="148">
        <v>24.654690862471572</v>
      </c>
      <c r="AH19" s="148">
        <v>5.262149737302977</v>
      </c>
      <c r="AI19" s="148">
        <v>9.549885813913512</v>
      </c>
      <c r="AJ19" s="148">
        <v>1.686571060316839</v>
      </c>
    </row>
    <row r="20" spans="1:36" s="137" customFormat="1" ht="9" customHeight="1">
      <c r="A20" s="145" t="s">
        <v>482</v>
      </c>
      <c r="B20" s="146"/>
      <c r="C20" s="146"/>
      <c r="D20" s="147">
        <v>3.9340011426910038</v>
      </c>
      <c r="E20" s="147">
        <v>2.135864728567191</v>
      </c>
      <c r="F20" s="147">
        <v>3.837062767073514</v>
      </c>
      <c r="G20" s="147">
        <v>3.9910201122855806</v>
      </c>
      <c r="H20" s="147">
        <v>4.588593195439358</v>
      </c>
      <c r="I20" s="147">
        <v>4.2340750663017666</v>
      </c>
      <c r="J20" s="147">
        <v>4.117634091319182</v>
      </c>
      <c r="K20" s="148">
        <v>4.736404284080274</v>
      </c>
      <c r="L20" s="148">
        <v>4.284687537623542</v>
      </c>
      <c r="M20" s="148">
        <v>4.259405165241983</v>
      </c>
      <c r="N20" s="148">
        <v>3.4813265975794017</v>
      </c>
      <c r="O20" s="148">
        <v>3.513572679509632</v>
      </c>
      <c r="P20" s="148">
        <v>4.2804165965779095</v>
      </c>
      <c r="Q20" s="148">
        <v>4.066498047786263</v>
      </c>
      <c r="R20" s="148">
        <v>5.099481180558954</v>
      </c>
      <c r="S20" s="148">
        <v>4.329537955771089</v>
      </c>
      <c r="V20" s="145" t="s">
        <v>482</v>
      </c>
      <c r="W20" s="146"/>
      <c r="X20" s="146">
        <v>16</v>
      </c>
      <c r="Y20" s="147">
        <v>3.9340011426910038</v>
      </c>
      <c r="Z20" s="147">
        <v>2.135864728567191</v>
      </c>
      <c r="AA20" s="147">
        <v>3.9910201122855806</v>
      </c>
      <c r="AB20" s="147">
        <v>4.588593195439358</v>
      </c>
      <c r="AC20" s="147">
        <v>4.2340750663017666</v>
      </c>
      <c r="AD20" s="148">
        <v>4.736404284080274</v>
      </c>
      <c r="AE20" s="148">
        <v>4.284687537623542</v>
      </c>
      <c r="AF20" s="148">
        <v>4.259405165241983</v>
      </c>
      <c r="AG20" s="148">
        <v>3.4813265975794017</v>
      </c>
      <c r="AH20" s="148">
        <v>3.513572679509632</v>
      </c>
      <c r="AI20" s="148">
        <v>4.066498047786263</v>
      </c>
      <c r="AJ20" s="148">
        <v>5.099481180558954</v>
      </c>
    </row>
    <row r="21" spans="1:36" s="137" customFormat="1" ht="9" customHeight="1">
      <c r="A21" s="145" t="s">
        <v>483</v>
      </c>
      <c r="B21" s="146"/>
      <c r="C21" s="146"/>
      <c r="D21" s="147">
        <v>0.07116463202307019</v>
      </c>
      <c r="E21" s="147">
        <v>0.385642242657965</v>
      </c>
      <c r="F21" s="147">
        <v>0.08811826718865945</v>
      </c>
      <c r="G21" s="147">
        <v>0.44344667914284236</v>
      </c>
      <c r="H21" s="147">
        <v>0.683836243320896</v>
      </c>
      <c r="I21" s="147">
        <v>0.42494717029065</v>
      </c>
      <c r="J21" s="147">
        <v>0.46971662689084825</v>
      </c>
      <c r="K21" s="148">
        <v>0.33227145112348394</v>
      </c>
      <c r="L21" s="148">
        <v>0.49763404925993354</v>
      </c>
      <c r="M21" s="148">
        <v>0.36168373447550595</v>
      </c>
      <c r="N21" s="148">
        <v>0.1144671174127379</v>
      </c>
      <c r="O21" s="148">
        <v>0</v>
      </c>
      <c r="P21" s="148">
        <v>0.4169044187250773</v>
      </c>
      <c r="Q21" s="148">
        <v>0.4130344031628318</v>
      </c>
      <c r="R21" s="148">
        <v>0.29010245868206813</v>
      </c>
      <c r="S21" s="148">
        <v>0.37074035109454817</v>
      </c>
      <c r="V21" s="145" t="s">
        <v>483</v>
      </c>
      <c r="W21" s="146"/>
      <c r="X21" s="146">
        <v>17</v>
      </c>
      <c r="Y21" s="147">
        <v>0.07116463202307019</v>
      </c>
      <c r="Z21" s="147">
        <v>0.385642242657965</v>
      </c>
      <c r="AA21" s="147">
        <v>0.44344667914284236</v>
      </c>
      <c r="AB21" s="147">
        <v>0.683836243320896</v>
      </c>
      <c r="AC21" s="147">
        <v>0.42494717029065</v>
      </c>
      <c r="AD21" s="148">
        <v>0.33227145112348394</v>
      </c>
      <c r="AE21" s="148">
        <v>0.49763404925993354</v>
      </c>
      <c r="AF21" s="148">
        <v>0.36168373447550595</v>
      </c>
      <c r="AG21" s="148">
        <v>0.1144671174127379</v>
      </c>
      <c r="AH21" s="148">
        <v>0</v>
      </c>
      <c r="AI21" s="148">
        <v>0.4130344031628318</v>
      </c>
      <c r="AJ21" s="148">
        <v>0.29010245868206813</v>
      </c>
    </row>
    <row r="22" spans="1:36" s="154" customFormat="1" ht="12.75" customHeight="1">
      <c r="A22" s="151" t="s">
        <v>491</v>
      </c>
      <c r="B22" s="151"/>
      <c r="C22" s="151"/>
      <c r="D22" s="152">
        <v>-5.249786168029672</v>
      </c>
      <c r="E22" s="152">
        <v>-1.6612281222189154</v>
      </c>
      <c r="F22" s="152">
        <v>-5.056325324326394</v>
      </c>
      <c r="G22" s="152">
        <v>-5.905965140677495</v>
      </c>
      <c r="H22" s="152">
        <v>-8.313940638853865</v>
      </c>
      <c r="I22" s="152">
        <v>-4.161325958344406</v>
      </c>
      <c r="J22" s="152">
        <v>-5.8383498764269035</v>
      </c>
      <c r="K22" s="153">
        <v>-5.520527096902271</v>
      </c>
      <c r="L22" s="153">
        <v>-7.5025994447221365</v>
      </c>
      <c r="M22" s="153">
        <v>-6.634953123758464</v>
      </c>
      <c r="N22" s="153">
        <v>-1.436180766471793</v>
      </c>
      <c r="O22" s="153">
        <v>0.14229422066550512</v>
      </c>
      <c r="P22" s="153">
        <v>-6.768723226552893</v>
      </c>
      <c r="Q22" s="153">
        <v>-3.6780197922549718</v>
      </c>
      <c r="R22" s="153">
        <v>-6.7117166723769515</v>
      </c>
      <c r="S22" s="153">
        <v>-6.266303179403053</v>
      </c>
      <c r="V22" s="151" t="s">
        <v>491</v>
      </c>
      <c r="W22" s="151"/>
      <c r="X22" s="151"/>
      <c r="Y22" s="152">
        <v>-5.249786168029672</v>
      </c>
      <c r="Z22" s="152">
        <v>-1.6612281222189154</v>
      </c>
      <c r="AA22" s="152">
        <v>-5.905965140677495</v>
      </c>
      <c r="AB22" s="152">
        <v>-8.313940638853865</v>
      </c>
      <c r="AC22" s="152">
        <v>-4.161325958344406</v>
      </c>
      <c r="AD22" s="153">
        <v>-5.520527096902271</v>
      </c>
      <c r="AE22" s="153">
        <v>-7.5025994447221365</v>
      </c>
      <c r="AF22" s="153">
        <v>-6.634953123758464</v>
      </c>
      <c r="AG22" s="153">
        <v>-1.436180766471793</v>
      </c>
      <c r="AH22" s="153">
        <v>0.14229422066550512</v>
      </c>
      <c r="AI22" s="153">
        <v>-3.6780197922549718</v>
      </c>
      <c r="AJ22" s="153">
        <v>-6.7117166723769515</v>
      </c>
    </row>
    <row r="23" spans="1:19" s="137" customFormat="1" ht="12.75">
      <c r="A23" s="145"/>
      <c r="B23" s="145"/>
      <c r="C23" s="146"/>
      <c r="D23" s="75"/>
      <c r="E23" s="75"/>
      <c r="F23" s="75"/>
      <c r="G23" s="75"/>
      <c r="H23" s="75"/>
      <c r="I23" s="75"/>
      <c r="J23" s="75"/>
      <c r="K23" s="145"/>
      <c r="L23" s="145"/>
      <c r="M23" s="136"/>
      <c r="N23" s="136"/>
      <c r="O23" s="136"/>
      <c r="P23" s="136"/>
      <c r="Q23" s="136"/>
      <c r="R23" s="136"/>
      <c r="S23" s="136"/>
    </row>
    <row r="24" spans="1:36" s="137" customFormat="1" ht="10.5" customHeight="1">
      <c r="A24" s="145"/>
      <c r="B24" s="145"/>
      <c r="C24" s="146"/>
      <c r="D24" s="145"/>
      <c r="E24" s="145"/>
      <c r="F24" s="145"/>
      <c r="G24" s="145"/>
      <c r="H24" s="145"/>
      <c r="I24" s="145"/>
      <c r="J24" s="145"/>
      <c r="K24" s="145"/>
      <c r="L24" s="145"/>
      <c r="M24" s="136"/>
      <c r="N24" s="136"/>
      <c r="O24" s="136"/>
      <c r="P24" s="136"/>
      <c r="Q24" s="136"/>
      <c r="R24" s="136"/>
      <c r="S24" s="136"/>
      <c r="Y24" s="187">
        <f>SUM(Y7:Y11)</f>
        <v>82.835462637723</v>
      </c>
      <c r="Z24" s="187">
        <f aca="true" t="shared" si="0" ref="Z24:AJ24">SUM(Z7:Z11)</f>
        <v>67.51112429546129</v>
      </c>
      <c r="AA24" s="187">
        <f t="shared" si="0"/>
        <v>83.06383807600605</v>
      </c>
      <c r="AB24" s="187">
        <f t="shared" si="0"/>
        <v>84.30361809175886</v>
      </c>
      <c r="AC24" s="187">
        <f t="shared" si="0"/>
        <v>89.06530868331814</v>
      </c>
      <c r="AD24" s="187">
        <f t="shared" si="0"/>
        <v>88.75287133579741</v>
      </c>
      <c r="AE24" s="187">
        <f t="shared" si="0"/>
        <v>78.51045432821228</v>
      </c>
      <c r="AF24" s="187">
        <f t="shared" si="0"/>
        <v>79.76409183205544</v>
      </c>
      <c r="AG24" s="187">
        <f t="shared" si="0"/>
        <v>50.2525907724241</v>
      </c>
      <c r="AH24" s="187">
        <f t="shared" si="0"/>
        <v>88.28261821366024</v>
      </c>
      <c r="AI24" s="187">
        <f t="shared" si="0"/>
        <v>82.3618102792034</v>
      </c>
      <c r="AJ24" s="187">
        <f t="shared" si="0"/>
        <v>83.94800385035813</v>
      </c>
    </row>
    <row r="25" spans="1:19" s="137" customFormat="1" ht="12.75">
      <c r="A25" s="145"/>
      <c r="B25" s="145"/>
      <c r="C25" s="146"/>
      <c r="D25" s="147"/>
      <c r="E25" s="147"/>
      <c r="F25" s="147"/>
      <c r="G25" s="147"/>
      <c r="H25" s="147"/>
      <c r="I25" s="147"/>
      <c r="J25" s="147"/>
      <c r="K25" s="136"/>
      <c r="L25" s="136"/>
      <c r="M25" s="136"/>
      <c r="N25" s="136"/>
      <c r="O25" s="136"/>
      <c r="P25" s="136"/>
      <c r="Q25" s="136"/>
      <c r="R25" s="136"/>
      <c r="S25" s="136"/>
    </row>
    <row r="26" spans="1:19" ht="12.75">
      <c r="A26" s="146"/>
      <c r="B26" s="146"/>
      <c r="C26" s="146"/>
      <c r="D26" s="86"/>
      <c r="E26" s="86"/>
      <c r="F26" s="86"/>
      <c r="G26" s="86"/>
      <c r="H26" s="86"/>
      <c r="I26" s="86"/>
      <c r="J26" s="86"/>
      <c r="K26" s="155"/>
      <c r="L26" s="155"/>
      <c r="M26" s="155"/>
      <c r="N26" s="155"/>
      <c r="O26" s="155"/>
      <c r="P26" s="155"/>
      <c r="Q26" s="155"/>
      <c r="R26" s="155"/>
      <c r="S26" s="155"/>
    </row>
    <row r="27" spans="1:19" ht="12.75">
      <c r="A27" s="146"/>
      <c r="B27" s="146"/>
      <c r="C27" s="146"/>
      <c r="D27" s="146"/>
      <c r="E27" s="146"/>
      <c r="F27" s="146"/>
      <c r="G27" s="146"/>
      <c r="H27" s="146"/>
      <c r="I27" s="146"/>
      <c r="J27" s="146"/>
      <c r="K27" s="155"/>
      <c r="L27" s="155"/>
      <c r="M27" s="155"/>
      <c r="N27" s="155"/>
      <c r="O27" s="155"/>
      <c r="P27" s="155"/>
      <c r="Q27" s="155"/>
      <c r="R27" s="155"/>
      <c r="S27" s="155"/>
    </row>
    <row r="28" spans="1:19" ht="12.75">
      <c r="A28" s="282"/>
      <c r="B28" s="282"/>
      <c r="C28" s="282"/>
      <c r="D28" s="283"/>
      <c r="E28" s="283"/>
      <c r="F28" s="283"/>
      <c r="G28" s="283"/>
      <c r="H28" s="283"/>
      <c r="I28" s="283"/>
      <c r="J28" s="157"/>
      <c r="K28" s="155"/>
      <c r="L28" s="155"/>
      <c r="M28" s="155"/>
      <c r="N28" s="155"/>
      <c r="O28" s="155"/>
      <c r="P28" s="155"/>
      <c r="Q28" s="155"/>
      <c r="R28" s="155"/>
      <c r="S28" s="155"/>
    </row>
    <row r="29" spans="1:19" ht="12.75">
      <c r="A29" s="282"/>
      <c r="B29" s="282"/>
      <c r="C29" s="282"/>
      <c r="D29" s="157"/>
      <c r="E29" s="157"/>
      <c r="F29" s="157"/>
      <c r="G29" s="157"/>
      <c r="H29" s="157"/>
      <c r="I29" s="157"/>
      <c r="J29" s="157"/>
      <c r="K29" s="155"/>
      <c r="L29" s="155"/>
      <c r="M29" s="155"/>
      <c r="N29" s="155"/>
      <c r="O29" s="155"/>
      <c r="P29" s="155"/>
      <c r="Q29" s="155"/>
      <c r="R29" s="155"/>
      <c r="S29" s="155"/>
    </row>
    <row r="30" spans="1:19" ht="12.75">
      <c r="A30" s="146"/>
      <c r="B30" s="146"/>
      <c r="C30" s="146"/>
      <c r="D30" s="158"/>
      <c r="E30" s="158"/>
      <c r="F30" s="158"/>
      <c r="G30" s="158"/>
      <c r="H30" s="158"/>
      <c r="I30" s="158"/>
      <c r="J30" s="158"/>
      <c r="K30" s="155"/>
      <c r="L30" s="155"/>
      <c r="M30" s="155"/>
      <c r="N30" s="155"/>
      <c r="O30" s="155"/>
      <c r="P30" s="155"/>
      <c r="Q30" s="155"/>
      <c r="R30" s="155"/>
      <c r="S30" s="155"/>
    </row>
    <row r="31" spans="1:19" ht="12.75">
      <c r="A31" s="146"/>
      <c r="B31" s="146"/>
      <c r="C31" s="146"/>
      <c r="D31" s="158"/>
      <c r="E31" s="158"/>
      <c r="F31" s="158"/>
      <c r="G31" s="158"/>
      <c r="H31" s="158"/>
      <c r="I31" s="158"/>
      <c r="J31" s="158"/>
      <c r="K31" s="155"/>
      <c r="L31" s="155"/>
      <c r="M31" s="155"/>
      <c r="N31" s="155"/>
      <c r="O31" s="155"/>
      <c r="P31" s="155"/>
      <c r="Q31" s="155"/>
      <c r="R31" s="155"/>
      <c r="S31" s="155"/>
    </row>
    <row r="32" spans="1:10" ht="12.75">
      <c r="A32" s="159"/>
      <c r="B32" s="160"/>
      <c r="C32" s="159"/>
      <c r="D32" s="161"/>
      <c r="E32" s="161"/>
      <c r="F32" s="161"/>
      <c r="G32" s="161"/>
      <c r="H32" s="161"/>
      <c r="I32" s="161"/>
      <c r="J32" s="161"/>
    </row>
    <row r="33" spans="1:10" ht="12.75">
      <c r="A33" s="159"/>
      <c r="B33" s="160"/>
      <c r="C33" s="159"/>
      <c r="D33" s="161"/>
      <c r="E33" s="161"/>
      <c r="F33" s="161"/>
      <c r="G33" s="161"/>
      <c r="H33" s="161"/>
      <c r="I33" s="161"/>
      <c r="J33" s="161"/>
    </row>
    <row r="34" spans="1:10" ht="12.75">
      <c r="A34" s="159"/>
      <c r="B34" s="159"/>
      <c r="C34" s="160"/>
      <c r="D34" s="161"/>
      <c r="E34" s="161"/>
      <c r="F34" s="161"/>
      <c r="G34" s="161"/>
      <c r="H34" s="161"/>
      <c r="I34" s="161"/>
      <c r="J34" s="161"/>
    </row>
    <row r="35" spans="1:10" ht="12.75">
      <c r="A35" s="159"/>
      <c r="B35" s="159"/>
      <c r="C35" s="160"/>
      <c r="D35" s="161"/>
      <c r="E35" s="161"/>
      <c r="F35" s="161"/>
      <c r="G35" s="161"/>
      <c r="H35" s="161"/>
      <c r="I35" s="161"/>
      <c r="J35" s="161"/>
    </row>
    <row r="36" spans="1:10" ht="12.75">
      <c r="A36" s="159"/>
      <c r="B36" s="159"/>
      <c r="C36" s="159"/>
      <c r="D36" s="161"/>
      <c r="E36" s="161"/>
      <c r="F36" s="161"/>
      <c r="G36" s="161"/>
      <c r="H36" s="161"/>
      <c r="I36" s="161"/>
      <c r="J36" s="161"/>
    </row>
    <row r="37" spans="1:10" ht="12.75">
      <c r="A37" s="159"/>
      <c r="B37" s="159"/>
      <c r="C37" s="160"/>
      <c r="D37" s="161"/>
      <c r="E37" s="161"/>
      <c r="F37" s="161"/>
      <c r="G37" s="161"/>
      <c r="H37" s="161"/>
      <c r="I37" s="161"/>
      <c r="J37" s="161"/>
    </row>
    <row r="38" spans="1:10" ht="12.75">
      <c r="A38" s="159"/>
      <c r="B38" s="159"/>
      <c r="C38" s="159"/>
      <c r="D38" s="161"/>
      <c r="E38" s="161"/>
      <c r="F38" s="161"/>
      <c r="G38" s="161"/>
      <c r="H38" s="161"/>
      <c r="I38" s="161"/>
      <c r="J38" s="161"/>
    </row>
    <row r="39" spans="1:10" ht="12.75">
      <c r="A39" s="159"/>
      <c r="B39" s="159"/>
      <c r="C39" s="159"/>
      <c r="D39" s="161"/>
      <c r="E39" s="161"/>
      <c r="F39" s="161"/>
      <c r="G39" s="161"/>
      <c r="H39" s="161"/>
      <c r="I39" s="161"/>
      <c r="J39" s="161"/>
    </row>
    <row r="40" spans="1:10" ht="12.75">
      <c r="A40" s="159"/>
      <c r="B40" s="159"/>
      <c r="C40" s="159"/>
      <c r="D40" s="161"/>
      <c r="E40" s="161"/>
      <c r="F40" s="161"/>
      <c r="G40" s="161"/>
      <c r="H40" s="161"/>
      <c r="I40" s="161"/>
      <c r="J40" s="161"/>
    </row>
    <row r="41" spans="1:10" ht="12.75">
      <c r="A41" s="159"/>
      <c r="B41" s="159"/>
      <c r="C41" s="159"/>
      <c r="D41" s="161"/>
      <c r="E41" s="161"/>
      <c r="F41" s="161"/>
      <c r="G41" s="161"/>
      <c r="H41" s="161"/>
      <c r="I41" s="161"/>
      <c r="J41" s="161"/>
    </row>
    <row r="42" spans="1:10" ht="12.75">
      <c r="A42" s="159"/>
      <c r="B42" s="159"/>
      <c r="C42" s="160"/>
      <c r="D42" s="161"/>
      <c r="E42" s="161"/>
      <c r="F42" s="161"/>
      <c r="G42" s="161"/>
      <c r="H42" s="161"/>
      <c r="I42" s="161"/>
      <c r="J42" s="161"/>
    </row>
    <row r="43" spans="1:10" ht="12.75">
      <c r="A43" s="159"/>
      <c r="B43" s="159"/>
      <c r="C43" s="159"/>
      <c r="D43" s="161"/>
      <c r="E43" s="161"/>
      <c r="F43" s="161"/>
      <c r="G43" s="161"/>
      <c r="H43" s="161"/>
      <c r="I43" s="161"/>
      <c r="J43" s="161"/>
    </row>
    <row r="44" spans="1:10" ht="12.75">
      <c r="A44" s="159"/>
      <c r="B44" s="159"/>
      <c r="C44" s="159"/>
      <c r="D44" s="161"/>
      <c r="E44" s="161"/>
      <c r="F44" s="161"/>
      <c r="G44" s="161"/>
      <c r="H44" s="161"/>
      <c r="I44" s="161"/>
      <c r="J44" s="161"/>
    </row>
    <row r="45" spans="1:10" ht="12.75">
      <c r="A45" s="159"/>
      <c r="B45" s="159"/>
      <c r="C45" s="159"/>
      <c r="D45" s="161"/>
      <c r="E45" s="161"/>
      <c r="F45" s="161"/>
      <c r="G45" s="161"/>
      <c r="H45" s="161"/>
      <c r="I45" s="161"/>
      <c r="J45" s="161"/>
    </row>
    <row r="46" spans="1:10" ht="12.75">
      <c r="A46" s="159"/>
      <c r="B46" s="159"/>
      <c r="C46" s="159"/>
      <c r="D46" s="161"/>
      <c r="E46" s="161"/>
      <c r="F46" s="161"/>
      <c r="G46" s="161"/>
      <c r="H46" s="161"/>
      <c r="I46" s="161"/>
      <c r="J46" s="161"/>
    </row>
  </sheetData>
  <mergeCells count="6">
    <mergeCell ref="A28:C29"/>
    <mergeCell ref="D28:I28"/>
    <mergeCell ref="K3:P3"/>
    <mergeCell ref="A3:C4"/>
    <mergeCell ref="D3:F3"/>
    <mergeCell ref="G3:J3"/>
  </mergeCells>
  <printOptions horizontalCentered="1"/>
  <pageMargins left="0.5" right="0.5" top="0.5" bottom="0.5" header="0" footer="0.5"/>
  <pageSetup horizontalDpi="300" verticalDpi="300" orientation="portrait" r:id="rId2"/>
  <headerFooter alignWithMargins="0">
    <oddFooter>&amp;C&amp;8Energy Information Administration/Petroleum Supply Annual 2005, Volume 1</oddFooter>
  </headerFooter>
  <drawing r:id="rId1"/>
</worksheet>
</file>

<file path=xl/worksheets/sheet7.xml><?xml version="1.0" encoding="utf-8"?>
<worksheet xmlns="http://schemas.openxmlformats.org/spreadsheetml/2006/main" xmlns:r="http://schemas.openxmlformats.org/officeDocument/2006/relationships">
  <dimension ref="A1:Q35"/>
  <sheetViews>
    <sheetView workbookViewId="0" topLeftCell="A1">
      <selection activeCell="J22" sqref="J22:L24"/>
    </sheetView>
  </sheetViews>
  <sheetFormatPr defaultColWidth="9.140625" defaultRowHeight="12.75"/>
  <cols>
    <col min="1" max="1" width="17.00390625" style="0" customWidth="1"/>
    <col min="2" max="2" width="9.7109375" style="0" customWidth="1"/>
    <col min="3" max="3" width="11.28125" style="0" customWidth="1"/>
    <col min="4" max="4" width="12.00390625" style="0" customWidth="1"/>
    <col min="6" max="6" width="8.7109375" style="0" customWidth="1"/>
    <col min="7" max="7" width="11.421875" style="0" customWidth="1"/>
    <col min="12" max="12" width="10.00390625" style="0" bestFit="1" customWidth="1"/>
  </cols>
  <sheetData>
    <row r="1" spans="1:17" ht="12.75">
      <c r="A1" s="4" t="s">
        <v>592</v>
      </c>
      <c r="I1" s="4" t="s">
        <v>684</v>
      </c>
      <c r="K1" t="s">
        <v>695</v>
      </c>
      <c r="L1" t="s">
        <v>687</v>
      </c>
      <c r="M1" t="s">
        <v>688</v>
      </c>
      <c r="N1" t="s">
        <v>645</v>
      </c>
      <c r="O1" t="s">
        <v>692</v>
      </c>
      <c r="P1" t="s">
        <v>692</v>
      </c>
      <c r="Q1" t="s">
        <v>694</v>
      </c>
    </row>
    <row r="2" spans="3:16" ht="12.75">
      <c r="C2" t="s">
        <v>1</v>
      </c>
      <c r="D2" t="s">
        <v>533</v>
      </c>
      <c r="E2" t="s">
        <v>593</v>
      </c>
      <c r="F2" t="s">
        <v>594</v>
      </c>
      <c r="K2" t="s">
        <v>689</v>
      </c>
      <c r="L2" t="s">
        <v>690</v>
      </c>
      <c r="M2" t="s">
        <v>691</v>
      </c>
      <c r="N2" t="s">
        <v>691</v>
      </c>
      <c r="O2" t="s">
        <v>648</v>
      </c>
      <c r="P2" t="s">
        <v>693</v>
      </c>
    </row>
    <row r="3" spans="1:17" ht="12.75">
      <c r="A3" t="s">
        <v>387</v>
      </c>
      <c r="B3" s="209" t="s">
        <v>73</v>
      </c>
      <c r="C3" s="221">
        <f>SUM(RefData!O5:O16)</f>
        <v>1676600</v>
      </c>
      <c r="D3" s="221">
        <f>SUM(RefData!AY5:AY16)</f>
        <v>1326211.7542989627</v>
      </c>
      <c r="E3" s="205">
        <f>D3/C3</f>
        <v>0.791012617379794</v>
      </c>
      <c r="F3" s="206">
        <v>0.82835462637723</v>
      </c>
      <c r="G3" s="221">
        <f>F3*C3</f>
        <v>1388819.3665840637</v>
      </c>
      <c r="J3" t="s">
        <v>1</v>
      </c>
      <c r="K3">
        <v>30000</v>
      </c>
      <c r="L3">
        <f>42*K3*365</f>
        <v>459900000</v>
      </c>
      <c r="M3">
        <v>180</v>
      </c>
      <c r="N3">
        <v>40</v>
      </c>
      <c r="O3">
        <f>((M3/2)^2)*N3</f>
        <v>324000</v>
      </c>
      <c r="P3">
        <f>7.48*O3</f>
        <v>2423520</v>
      </c>
      <c r="Q3">
        <f>L3/P3</f>
        <v>189.7653000594177</v>
      </c>
    </row>
    <row r="4" spans="1:17" ht="12.75">
      <c r="A4" t="s">
        <v>388</v>
      </c>
      <c r="B4" s="209" t="s">
        <v>105</v>
      </c>
      <c r="C4" s="221">
        <f>SUM(RefData!O17:O19)</f>
        <v>95000</v>
      </c>
      <c r="D4" s="221">
        <f>SUM(RefData!AY17:AY19)</f>
        <v>59708.28011204481</v>
      </c>
      <c r="E4" s="205">
        <f aca="true" t="shared" si="0" ref="E4:E15">D4/C4</f>
        <v>0.6285082117057349</v>
      </c>
      <c r="F4" s="206">
        <v>0.6751112429546129</v>
      </c>
      <c r="G4" s="221">
        <f aca="true" t="shared" si="1" ref="G4:G14">F4*C4</f>
        <v>64135.56808068822</v>
      </c>
      <c r="J4" t="s">
        <v>535</v>
      </c>
      <c r="K4">
        <v>20000</v>
      </c>
      <c r="L4">
        <f>42*K4*365</f>
        <v>306600000</v>
      </c>
      <c r="M4">
        <v>150</v>
      </c>
      <c r="N4">
        <v>40</v>
      </c>
      <c r="O4">
        <f>((M4/2)^2)*N4</f>
        <v>225000</v>
      </c>
      <c r="P4">
        <f>7.48*O4</f>
        <v>1683000</v>
      </c>
      <c r="Q4">
        <f>L4/P4</f>
        <v>182.174688057041</v>
      </c>
    </row>
    <row r="5" spans="1:17" ht="12.75">
      <c r="A5" t="s">
        <v>390</v>
      </c>
      <c r="B5" s="209" t="s">
        <v>114</v>
      </c>
      <c r="C5" s="221">
        <f>SUM(RefData!O20:O33)</f>
        <v>2354900</v>
      </c>
      <c r="D5" s="221">
        <f>SUM(RefData!AY20:AY33)</f>
        <v>1787481.3160754635</v>
      </c>
      <c r="E5" s="205">
        <f t="shared" si="0"/>
        <v>0.7590476521616475</v>
      </c>
      <c r="F5" s="206">
        <v>0.8306383807600605</v>
      </c>
      <c r="G5" s="221">
        <f t="shared" si="1"/>
        <v>1956070.3228518665</v>
      </c>
      <c r="J5" t="s">
        <v>685</v>
      </c>
      <c r="K5">
        <v>10000</v>
      </c>
      <c r="L5">
        <f>42*K5*365</f>
        <v>153300000</v>
      </c>
      <c r="M5">
        <v>105</v>
      </c>
      <c r="N5">
        <v>40</v>
      </c>
      <c r="O5">
        <f>((M5/2)^2)*N5</f>
        <v>110250</v>
      </c>
      <c r="P5">
        <f>7.48*O5</f>
        <v>824670</v>
      </c>
      <c r="Q5">
        <f>L5/P5</f>
        <v>185.8925388337153</v>
      </c>
    </row>
    <row r="6" spans="1:17" ht="12.75">
      <c r="A6" t="s">
        <v>391</v>
      </c>
      <c r="B6" s="209" t="s">
        <v>144</v>
      </c>
      <c r="C6" s="221">
        <f>SUM(RefData!O34:O37)</f>
        <v>441600</v>
      </c>
      <c r="D6" s="221">
        <f>SUM(RefData!AY34:AY37)</f>
        <v>311811.2911392405</v>
      </c>
      <c r="E6" s="205">
        <f t="shared" si="0"/>
        <v>0.7060944092827004</v>
      </c>
      <c r="F6" s="206">
        <v>0.8430361809175886</v>
      </c>
      <c r="G6" s="221">
        <f t="shared" si="1"/>
        <v>372284.77749320713</v>
      </c>
      <c r="J6" t="s">
        <v>686</v>
      </c>
      <c r="K6">
        <v>15000</v>
      </c>
      <c r="L6">
        <f>42*K6*365</f>
        <v>229950000</v>
      </c>
      <c r="M6">
        <v>130</v>
      </c>
      <c r="N6">
        <v>40</v>
      </c>
      <c r="O6">
        <f>((M6/2)^2)*N6</f>
        <v>169000</v>
      </c>
      <c r="P6">
        <f>7.48*O6</f>
        <v>1264120</v>
      </c>
      <c r="Q6">
        <f>L6/P6</f>
        <v>181.90519887352465</v>
      </c>
    </row>
    <row r="7" spans="1:7" ht="12.75">
      <c r="A7" t="s">
        <v>392</v>
      </c>
      <c r="B7" s="209" t="s">
        <v>155</v>
      </c>
      <c r="C7" s="221">
        <f>SUM(RefData!O38:O45)</f>
        <v>786140</v>
      </c>
      <c r="D7" s="221">
        <f>SUM(RefData!AY38:AY45)</f>
        <v>630945.829418502</v>
      </c>
      <c r="E7" s="205">
        <f t="shared" si="0"/>
        <v>0.8025871084266187</v>
      </c>
      <c r="F7" s="206">
        <v>0.8906530868331813</v>
      </c>
      <c r="G7" s="221">
        <f t="shared" si="1"/>
        <v>700178.0176830372</v>
      </c>
    </row>
    <row r="8" spans="1:13" ht="12.75">
      <c r="A8" t="s">
        <v>393</v>
      </c>
      <c r="B8" s="209" t="s">
        <v>172</v>
      </c>
      <c r="C8" s="221">
        <f>SUM(RefData!O46:O52)</f>
        <v>647527</v>
      </c>
      <c r="D8" s="221">
        <f>SUM(RefData!AY46:AY52)</f>
        <v>535606.1654117471</v>
      </c>
      <c r="E8" s="205">
        <f t="shared" si="0"/>
        <v>0.8271564975850383</v>
      </c>
      <c r="F8" s="206">
        <v>0.8875287133579741</v>
      </c>
      <c r="G8" s="221">
        <f t="shared" si="1"/>
        <v>574698.8051745489</v>
      </c>
      <c r="K8" t="s">
        <v>696</v>
      </c>
      <c r="M8" s="231">
        <v>0.9</v>
      </c>
    </row>
    <row r="9" spans="1:7" ht="12.75">
      <c r="A9" t="s">
        <v>394</v>
      </c>
      <c r="B9" s="209" t="s">
        <v>186</v>
      </c>
      <c r="C9" s="221">
        <f>SUM(RefData!O53:O70)</f>
        <v>4060476</v>
      </c>
      <c r="D9" s="221">
        <f>SUM(RefData!AY53:AY70)</f>
        <v>3141287.30229828</v>
      </c>
      <c r="E9" s="205">
        <f t="shared" si="0"/>
        <v>0.7736253834029015</v>
      </c>
      <c r="F9" s="206">
        <v>0.7851045432821228</v>
      </c>
      <c r="G9" s="221">
        <f t="shared" si="1"/>
        <v>3187898.1554880207</v>
      </c>
    </row>
    <row r="10" spans="1:7" ht="12.75">
      <c r="A10" t="s">
        <v>395</v>
      </c>
      <c r="B10" s="209" t="s">
        <v>211</v>
      </c>
      <c r="C10" s="221">
        <f>SUM(RefData!O71:O88)</f>
        <v>3277763</v>
      </c>
      <c r="D10" s="221">
        <f>SUM(RefData!AY71:AY88)</f>
        <v>2583742.141469263</v>
      </c>
      <c r="E10" s="205">
        <f t="shared" si="0"/>
        <v>0.788263868214164</v>
      </c>
      <c r="F10" s="206">
        <v>0.7976409183205544</v>
      </c>
      <c r="G10" s="221">
        <f t="shared" si="1"/>
        <v>2614477.889357135</v>
      </c>
    </row>
    <row r="11" spans="1:7" ht="12.75">
      <c r="A11" t="s">
        <v>396</v>
      </c>
      <c r="B11" s="209" t="s">
        <v>243</v>
      </c>
      <c r="C11" s="221">
        <f>SUM(RefData!O89:O98)</f>
        <v>213120</v>
      </c>
      <c r="D11" s="221">
        <f>SUM(RefData!AY89:AY98)</f>
        <v>112632.70223158831</v>
      </c>
      <c r="E11" s="205">
        <f t="shared" si="0"/>
        <v>0.5284942859965668</v>
      </c>
      <c r="F11" s="206">
        <v>0.502525907724241</v>
      </c>
      <c r="G11" s="221">
        <f t="shared" si="1"/>
        <v>107098.32145419024</v>
      </c>
    </row>
    <row r="12" spans="1:7" ht="12.75">
      <c r="A12" t="s">
        <v>397</v>
      </c>
      <c r="B12" s="209" t="s">
        <v>263</v>
      </c>
      <c r="C12" s="221">
        <f>SUM(RefData!O99:O101)</f>
        <v>112600</v>
      </c>
      <c r="D12" s="221">
        <f>SUM(RefData!AY99:AY101)</f>
        <v>93877.47368421053</v>
      </c>
      <c r="E12" s="205">
        <f t="shared" si="0"/>
        <v>0.8337253435542676</v>
      </c>
      <c r="F12" s="206">
        <v>0.8828261821366025</v>
      </c>
      <c r="G12" s="221">
        <f t="shared" si="1"/>
        <v>99406.22810858143</v>
      </c>
    </row>
    <row r="13" spans="1:7" ht="12.75">
      <c r="A13" t="s">
        <v>398</v>
      </c>
      <c r="B13" s="209" t="s">
        <v>270</v>
      </c>
      <c r="C13" s="221">
        <f>SUM(RefData!O102:O117)</f>
        <v>595550</v>
      </c>
      <c r="D13" s="221">
        <f>SUM(RefData!AY102:AY117)</f>
        <v>451804.53881109046</v>
      </c>
      <c r="E13" s="205">
        <f t="shared" si="0"/>
        <v>0.7586341009337427</v>
      </c>
      <c r="F13" s="206">
        <v>0.823618102792034</v>
      </c>
      <c r="G13" s="221">
        <f t="shared" si="1"/>
        <v>490505.76111779583</v>
      </c>
    </row>
    <row r="14" spans="1:7" ht="12.75">
      <c r="A14" t="s">
        <v>399</v>
      </c>
      <c r="B14" s="209" t="s">
        <v>299</v>
      </c>
      <c r="C14" s="221">
        <f>SUM(RefData!O118:O153)</f>
        <v>3182438</v>
      </c>
      <c r="D14" s="221">
        <f>SUM(RefData!AY118:AY153)</f>
        <v>2554562.006696898</v>
      </c>
      <c r="E14" s="205">
        <f t="shared" si="0"/>
        <v>0.8027059778373995</v>
      </c>
      <c r="F14" s="206">
        <v>0.8394800385035813</v>
      </c>
      <c r="G14" s="221">
        <f t="shared" si="1"/>
        <v>2671593.1747752605</v>
      </c>
    </row>
    <row r="15" spans="1:7" ht="12.75">
      <c r="A15" t="s">
        <v>534</v>
      </c>
      <c r="B15" s="209" t="s">
        <v>363</v>
      </c>
      <c r="C15" s="221">
        <f>SUM(RefData!O154:O155)</f>
        <v>572900</v>
      </c>
      <c r="D15" s="221">
        <f>SUM(RefData!AY154:AY155)</f>
        <v>471482</v>
      </c>
      <c r="E15" s="205">
        <f t="shared" si="0"/>
        <v>0.8229743410717403</v>
      </c>
      <c r="F15" s="205">
        <f>E15</f>
        <v>0.8229743410717403</v>
      </c>
      <c r="G15" s="221">
        <f>F15*C15</f>
        <v>471482</v>
      </c>
    </row>
    <row r="16" spans="3:4" ht="12.75">
      <c r="C16" s="221"/>
      <c r="D16" s="221"/>
    </row>
    <row r="17" spans="3:7" ht="12.75">
      <c r="C17" s="221">
        <f>SUM(C3:C15)</f>
        <v>18016614</v>
      </c>
      <c r="D17" s="221">
        <f>SUM(D3:D15)</f>
        <v>14061152.80164729</v>
      </c>
      <c r="G17" s="221">
        <f>SUM(G3:G15)</f>
        <v>14698648.388168395</v>
      </c>
    </row>
    <row r="19" spans="7:9" ht="12.75">
      <c r="G19" t="s">
        <v>564</v>
      </c>
      <c r="H19">
        <v>0.07</v>
      </c>
      <c r="I19" s="209" t="s">
        <v>573</v>
      </c>
    </row>
    <row r="20" spans="1:12" ht="12.75">
      <c r="A20" s="4" t="s">
        <v>595</v>
      </c>
      <c r="G20" t="s">
        <v>606</v>
      </c>
      <c r="H20">
        <v>10</v>
      </c>
      <c r="I20" s="194">
        <f>H19*(1+H19)^H20/((1+H19)^H20-1)</f>
        <v>0.1423775027273647</v>
      </c>
      <c r="J20" s="238" t="s">
        <v>700</v>
      </c>
      <c r="K20" s="238"/>
      <c r="L20" s="238"/>
    </row>
    <row r="21" spans="1:14" ht="25.5">
      <c r="A21" s="201" t="s">
        <v>600</v>
      </c>
      <c r="B21" s="201" t="s">
        <v>599</v>
      </c>
      <c r="C21" s="201" t="s">
        <v>610</v>
      </c>
      <c r="D21" s="201" t="s">
        <v>611</v>
      </c>
      <c r="E21" s="201" t="s">
        <v>612</v>
      </c>
      <c r="F21" s="201" t="s">
        <v>601</v>
      </c>
      <c r="G21" s="201" t="s">
        <v>603</v>
      </c>
      <c r="H21" s="201" t="s">
        <v>604</v>
      </c>
      <c r="I21" s="201" t="s">
        <v>605</v>
      </c>
      <c r="J21" s="201" t="s">
        <v>607</v>
      </c>
      <c r="K21" s="201" t="s">
        <v>608</v>
      </c>
      <c r="L21" s="201" t="s">
        <v>609</v>
      </c>
      <c r="M21" s="201"/>
      <c r="N21" s="201"/>
    </row>
    <row r="22" spans="1:12" ht="12.75">
      <c r="A22" t="s">
        <v>566</v>
      </c>
      <c r="B22" s="209" t="s">
        <v>597</v>
      </c>
      <c r="F22" s="207">
        <v>0</v>
      </c>
      <c r="G22">
        <v>70300</v>
      </c>
      <c r="H22">
        <v>10900</v>
      </c>
      <c r="I22" s="210">
        <f>G22*$I$20+H22</f>
        <v>20909.13844173374</v>
      </c>
      <c r="J22">
        <v>0</v>
      </c>
      <c r="K22">
        <v>0</v>
      </c>
      <c r="L22">
        <v>0</v>
      </c>
    </row>
    <row r="23" spans="1:12" ht="12.75">
      <c r="A23" t="s">
        <v>596</v>
      </c>
      <c r="B23" s="209"/>
      <c r="F23" s="207">
        <v>0</v>
      </c>
      <c r="G23">
        <v>73900</v>
      </c>
      <c r="H23">
        <v>18400</v>
      </c>
      <c r="I23" s="210">
        <f>G23*I$20+H23</f>
        <v>28921.697451552252</v>
      </c>
      <c r="J23">
        <v>0</v>
      </c>
      <c r="K23">
        <v>0</v>
      </c>
      <c r="L23">
        <v>0</v>
      </c>
    </row>
    <row r="24" spans="1:12" ht="12.75">
      <c r="A24" t="s">
        <v>567</v>
      </c>
      <c r="B24" s="209" t="s">
        <v>598</v>
      </c>
      <c r="F24" s="207">
        <v>0</v>
      </c>
      <c r="G24">
        <v>77600</v>
      </c>
      <c r="H24">
        <v>26000</v>
      </c>
      <c r="I24" s="210">
        <f>G24*I$20+H24</f>
        <v>37048.4942116435</v>
      </c>
      <c r="J24">
        <v>0</v>
      </c>
      <c r="K24">
        <v>0</v>
      </c>
      <c r="L24">
        <v>0</v>
      </c>
    </row>
    <row r="26" ht="12.75">
      <c r="A26" t="s">
        <v>602</v>
      </c>
    </row>
    <row r="29" ht="12.75">
      <c r="A29" s="4" t="s">
        <v>649</v>
      </c>
    </row>
    <row r="30" spans="2:6" ht="12.75">
      <c r="B30" s="209" t="s">
        <v>529</v>
      </c>
      <c r="C30" s="209" t="s">
        <v>641</v>
      </c>
      <c r="D30" s="209" t="s">
        <v>647</v>
      </c>
      <c r="E30" s="209" t="s">
        <v>642</v>
      </c>
      <c r="F30" s="209" t="s">
        <v>645</v>
      </c>
    </row>
    <row r="31" spans="2:6" ht="12.75">
      <c r="B31" s="209" t="s">
        <v>644</v>
      </c>
      <c r="C31" s="209" t="s">
        <v>646</v>
      </c>
      <c r="D31" s="209" t="s">
        <v>648</v>
      </c>
      <c r="E31" s="209" t="s">
        <v>643</v>
      </c>
      <c r="F31" s="209" t="s">
        <v>643</v>
      </c>
    </row>
    <row r="32" spans="1:6" ht="12.75">
      <c r="A32" t="s">
        <v>546</v>
      </c>
      <c r="B32">
        <v>30000</v>
      </c>
      <c r="C32">
        <v>180</v>
      </c>
      <c r="D32">
        <f>B32*365/C32*42/7.48</f>
        <v>341577.54010695184</v>
      </c>
      <c r="E32">
        <v>120</v>
      </c>
      <c r="F32">
        <f>D32/(PI()*(E32/2)^2)</f>
        <v>30.202085531773065</v>
      </c>
    </row>
    <row r="33" spans="1:6" ht="12.75">
      <c r="A33" t="s">
        <v>547</v>
      </c>
      <c r="B33">
        <v>20000</v>
      </c>
      <c r="C33">
        <v>180</v>
      </c>
      <c r="D33">
        <f>B33*365/C33*42/7.48</f>
        <v>227718.36007130123</v>
      </c>
      <c r="E33">
        <v>100</v>
      </c>
      <c r="F33">
        <f>D33/(PI()*(E33/2)^2)</f>
        <v>28.994002110502144</v>
      </c>
    </row>
    <row r="34" spans="1:6" ht="12.75">
      <c r="A34" t="s">
        <v>640</v>
      </c>
      <c r="B34">
        <v>10000</v>
      </c>
      <c r="C34">
        <v>180</v>
      </c>
      <c r="D34">
        <f>B34*365/C34*42/7.48</f>
        <v>113859.18003565061</v>
      </c>
      <c r="E34">
        <v>70</v>
      </c>
      <c r="F34">
        <f>D34/(PI()*(E34/2)^2)</f>
        <v>29.5857164392879</v>
      </c>
    </row>
    <row r="35" spans="1:6" ht="12.75">
      <c r="A35" t="s">
        <v>639</v>
      </c>
      <c r="B35">
        <v>15000</v>
      </c>
      <c r="C35">
        <v>180</v>
      </c>
      <c r="D35">
        <f>B35*365/C35*42/7.48</f>
        <v>170788.77005347592</v>
      </c>
      <c r="E35">
        <v>85</v>
      </c>
      <c r="F35">
        <f>D35/(PI()*(E35/2)^2)</f>
        <v>30.097580045503957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39"/>
  <sheetViews>
    <sheetView workbookViewId="0" topLeftCell="A1">
      <selection activeCell="P28" sqref="P28"/>
    </sheetView>
  </sheetViews>
  <sheetFormatPr defaultColWidth="9.140625" defaultRowHeight="12.75"/>
  <cols>
    <col min="1" max="1" width="23.57421875" style="0" customWidth="1"/>
    <col min="2" max="2" width="7.57421875" style="0" customWidth="1"/>
    <col min="7" max="7" width="10.140625" style="0" bestFit="1" customWidth="1"/>
    <col min="16" max="16" width="10.00390625" style="0" customWidth="1"/>
  </cols>
  <sheetData>
    <row r="1" ht="12.75">
      <c r="A1" t="s">
        <v>653</v>
      </c>
    </row>
    <row r="2" spans="1:11" ht="12.75">
      <c r="A2" s="225" t="s">
        <v>654</v>
      </c>
      <c r="B2" s="225"/>
      <c r="C2" s="225"/>
      <c r="D2" s="225"/>
      <c r="E2" s="225"/>
      <c r="F2" s="225"/>
      <c r="G2" s="225"/>
      <c r="H2" s="225"/>
      <c r="I2" s="225"/>
      <c r="J2" s="225"/>
      <c r="K2" s="225"/>
    </row>
    <row r="3" spans="1:9" ht="12.75">
      <c r="A3" t="s">
        <v>655</v>
      </c>
      <c r="B3" t="s">
        <v>538</v>
      </c>
      <c r="E3">
        <v>1170470</v>
      </c>
      <c r="G3">
        <v>16538540</v>
      </c>
      <c r="I3">
        <v>3559080</v>
      </c>
    </row>
    <row r="4" spans="1:7" ht="12.75">
      <c r="A4" t="s">
        <v>656</v>
      </c>
      <c r="B4" t="s">
        <v>538</v>
      </c>
      <c r="C4">
        <v>7951000</v>
      </c>
      <c r="G4">
        <v>15067000</v>
      </c>
    </row>
    <row r="5" spans="1:16" ht="12.75">
      <c r="A5" t="s">
        <v>657</v>
      </c>
      <c r="B5" t="s">
        <v>658</v>
      </c>
      <c r="C5">
        <v>250339</v>
      </c>
      <c r="G5">
        <v>767131</v>
      </c>
      <c r="K5">
        <v>9207</v>
      </c>
      <c r="O5" s="207" t="s">
        <v>659</v>
      </c>
      <c r="P5" s="207"/>
    </row>
    <row r="6" spans="1:16" ht="12.75">
      <c r="A6" t="s">
        <v>660</v>
      </c>
      <c r="O6" s="207"/>
      <c r="P6" s="207"/>
    </row>
    <row r="7" spans="1:16" ht="12.75">
      <c r="A7" s="4"/>
      <c r="B7" s="4"/>
      <c r="C7" s="292" t="s">
        <v>535</v>
      </c>
      <c r="D7" s="292"/>
      <c r="E7" s="292" t="s">
        <v>22</v>
      </c>
      <c r="F7" s="292"/>
      <c r="G7" s="292" t="s">
        <v>661</v>
      </c>
      <c r="H7" s="292"/>
      <c r="I7" s="292" t="s">
        <v>662</v>
      </c>
      <c r="J7" s="292"/>
      <c r="K7" s="292" t="s">
        <v>15</v>
      </c>
      <c r="L7" s="292"/>
      <c r="M7" s="292" t="s">
        <v>663</v>
      </c>
      <c r="N7" s="292"/>
      <c r="O7" s="293" t="s">
        <v>664</v>
      </c>
      <c r="P7" s="293"/>
    </row>
    <row r="8" spans="1:16" ht="12.75">
      <c r="A8" s="226" t="s">
        <v>650</v>
      </c>
      <c r="B8" s="226"/>
      <c r="C8" s="227" t="s">
        <v>665</v>
      </c>
      <c r="D8" s="227" t="s">
        <v>666</v>
      </c>
      <c r="E8" s="227" t="s">
        <v>665</v>
      </c>
      <c r="F8" s="227" t="s">
        <v>666</v>
      </c>
      <c r="G8" s="227" t="s">
        <v>665</v>
      </c>
      <c r="H8" s="227" t="s">
        <v>666</v>
      </c>
      <c r="I8" s="227" t="s">
        <v>665</v>
      </c>
      <c r="J8" s="227" t="s">
        <v>666</v>
      </c>
      <c r="K8" s="227" t="s">
        <v>665</v>
      </c>
      <c r="L8" s="227" t="s">
        <v>666</v>
      </c>
      <c r="M8" s="227" t="s">
        <v>665</v>
      </c>
      <c r="N8" s="227" t="s">
        <v>666</v>
      </c>
      <c r="O8" s="228" t="s">
        <v>665</v>
      </c>
      <c r="P8" s="228" t="s">
        <v>666</v>
      </c>
    </row>
    <row r="9" spans="6:16" ht="12.75">
      <c r="F9" s="229"/>
      <c r="O9" s="207"/>
      <c r="P9" s="207"/>
    </row>
    <row r="10" spans="1:16" ht="12.75">
      <c r="A10" t="s">
        <v>667</v>
      </c>
      <c r="C10">
        <v>4.72</v>
      </c>
      <c r="D10">
        <v>0.953</v>
      </c>
      <c r="E10">
        <v>35.4</v>
      </c>
      <c r="F10">
        <v>9.4</v>
      </c>
      <c r="G10">
        <v>0.263</v>
      </c>
      <c r="H10">
        <v>0.247</v>
      </c>
      <c r="I10">
        <v>1.36</v>
      </c>
      <c r="J10">
        <v>0.509</v>
      </c>
      <c r="K10">
        <v>0.799</v>
      </c>
      <c r="L10">
        <v>0.355</v>
      </c>
      <c r="M10">
        <v>8.51</v>
      </c>
      <c r="N10">
        <v>2.29</v>
      </c>
      <c r="O10" s="207">
        <f aca="true" t="shared" si="0" ref="O10:O22">(C10*$C$36+E10*$E$36+G10*$G$36+I10*$I$36+K10*$K$36)/SUM($C$36:$K$36)</f>
        <v>2.4571932965032923</v>
      </c>
      <c r="P10" s="207">
        <f aca="true" t="shared" si="1" ref="P10:P22">(D10*$C$36+F10*$E$36+H10*$G$36+J10*$I$36+L10*$K$36)/SUM($C$36:$K$36)</f>
        <v>0.7072693383680573</v>
      </c>
    </row>
    <row r="11" spans="1:16" ht="12.75">
      <c r="A11" t="s">
        <v>668</v>
      </c>
      <c r="C11">
        <v>1.61</v>
      </c>
      <c r="D11">
        <v>0.626</v>
      </c>
      <c r="E11">
        <v>0.118</v>
      </c>
      <c r="F11">
        <v>0.061</v>
      </c>
      <c r="G11">
        <v>0.446</v>
      </c>
      <c r="H11">
        <v>0.807</v>
      </c>
      <c r="I11">
        <v>4.61</v>
      </c>
      <c r="J11">
        <v>3.32</v>
      </c>
      <c r="K11">
        <v>1.244</v>
      </c>
      <c r="L11">
        <v>1.06</v>
      </c>
      <c r="M11">
        <v>1.61</v>
      </c>
      <c r="N11">
        <v>1.17</v>
      </c>
      <c r="O11" s="207">
        <f t="shared" si="0"/>
        <v>1.2115272205462695</v>
      </c>
      <c r="P11" s="207">
        <f t="shared" si="1"/>
        <v>1.0239164528327818</v>
      </c>
    </row>
    <row r="12" spans="1:16" ht="12.75">
      <c r="A12" t="s">
        <v>669</v>
      </c>
      <c r="C12">
        <v>0.01</v>
      </c>
      <c r="D12">
        <v>0</v>
      </c>
      <c r="E12">
        <v>0</v>
      </c>
      <c r="F12">
        <v>0</v>
      </c>
      <c r="G12">
        <v>0.061</v>
      </c>
      <c r="H12">
        <v>2E-05</v>
      </c>
      <c r="I12">
        <v>0.025</v>
      </c>
      <c r="J12">
        <v>0</v>
      </c>
      <c r="K12">
        <v>0</v>
      </c>
      <c r="L12">
        <v>0</v>
      </c>
      <c r="M12">
        <v>0.02</v>
      </c>
      <c r="N12">
        <v>4E-06</v>
      </c>
      <c r="O12" s="207">
        <f t="shared" si="0"/>
        <v>0.03722292836147825</v>
      </c>
      <c r="P12" s="207">
        <f t="shared" si="1"/>
        <v>1.0620461728211558E-05</v>
      </c>
    </row>
    <row r="13" spans="1:16" ht="12.75">
      <c r="A13" t="s">
        <v>670</v>
      </c>
      <c r="C13">
        <v>0.789</v>
      </c>
      <c r="D13">
        <v>0.00065</v>
      </c>
      <c r="E13">
        <v>0</v>
      </c>
      <c r="F13">
        <v>0</v>
      </c>
      <c r="G13">
        <v>0.218</v>
      </c>
      <c r="H13">
        <v>0.0008</v>
      </c>
      <c r="I13">
        <v>0.141</v>
      </c>
      <c r="J13">
        <v>0.0002</v>
      </c>
      <c r="K13">
        <v>0.0191</v>
      </c>
      <c r="L13">
        <v>3E-05</v>
      </c>
      <c r="M13">
        <v>0.23</v>
      </c>
      <c r="N13">
        <v>0.0003</v>
      </c>
      <c r="O13" s="207">
        <f t="shared" si="0"/>
        <v>0.314919069441791</v>
      </c>
      <c r="P13" s="207">
        <f t="shared" si="1"/>
        <v>0.0005988600239868535</v>
      </c>
    </row>
    <row r="14" spans="1:16" ht="12.75">
      <c r="A14" t="s">
        <v>671</v>
      </c>
      <c r="C14">
        <v>0.849</v>
      </c>
      <c r="D14">
        <v>0.01565</v>
      </c>
      <c r="E14">
        <v>0.004</v>
      </c>
      <c r="F14">
        <v>0.0001</v>
      </c>
      <c r="G14">
        <v>0.126</v>
      </c>
      <c r="H14">
        <v>0.0108</v>
      </c>
      <c r="I14">
        <v>0.968</v>
      </c>
      <c r="J14">
        <v>0.033</v>
      </c>
      <c r="K14">
        <v>0.91</v>
      </c>
      <c r="L14">
        <v>0.0368</v>
      </c>
      <c r="M14">
        <v>0.57</v>
      </c>
      <c r="N14">
        <v>0.02</v>
      </c>
      <c r="O14" s="207">
        <f t="shared" si="0"/>
        <v>0.4597711152683274</v>
      </c>
      <c r="P14" s="207">
        <f t="shared" si="1"/>
        <v>0.016671544087014503</v>
      </c>
    </row>
    <row r="15" spans="1:16" ht="12.75">
      <c r="A15" t="s">
        <v>672</v>
      </c>
      <c r="C15">
        <v>1.605</v>
      </c>
      <c r="D15">
        <v>0.0631</v>
      </c>
      <c r="E15">
        <v>0.011</v>
      </c>
      <c r="F15">
        <v>0.0006</v>
      </c>
      <c r="G15">
        <v>0.346</v>
      </c>
      <c r="H15">
        <v>0.0633</v>
      </c>
      <c r="I15">
        <v>3.73</v>
      </c>
      <c r="J15">
        <v>0.272</v>
      </c>
      <c r="K15">
        <v>1.366</v>
      </c>
      <c r="L15">
        <v>0.118</v>
      </c>
      <c r="M15">
        <v>1.41</v>
      </c>
      <c r="N15">
        <v>0.1</v>
      </c>
      <c r="O15" s="207">
        <f t="shared" si="0"/>
        <v>1.0790399787747906</v>
      </c>
      <c r="P15" s="207">
        <f t="shared" si="1"/>
        <v>0.08838404073011394</v>
      </c>
    </row>
    <row r="16" spans="1:16" ht="12.75">
      <c r="A16" t="s">
        <v>673</v>
      </c>
      <c r="C16">
        <v>7.138</v>
      </c>
      <c r="D16">
        <v>4.428</v>
      </c>
      <c r="E16">
        <v>3.22</v>
      </c>
      <c r="F16">
        <v>2.63</v>
      </c>
      <c r="G16">
        <v>2.46</v>
      </c>
      <c r="H16">
        <v>7.11</v>
      </c>
      <c r="I16">
        <v>3.9</v>
      </c>
      <c r="J16">
        <v>4.48</v>
      </c>
      <c r="K16">
        <v>7.53</v>
      </c>
      <c r="L16">
        <v>10.27</v>
      </c>
      <c r="M16">
        <v>4.85</v>
      </c>
      <c r="N16">
        <v>5.78</v>
      </c>
      <c r="O16" s="207">
        <f t="shared" si="0"/>
        <v>4.260313777737605</v>
      </c>
      <c r="P16" s="207">
        <f t="shared" si="1"/>
        <v>6.439954157072024</v>
      </c>
    </row>
    <row r="17" spans="1:16" ht="12.75">
      <c r="A17" t="s">
        <v>674</v>
      </c>
      <c r="C17">
        <v>3.54</v>
      </c>
      <c r="D17">
        <v>3.62</v>
      </c>
      <c r="E17">
        <v>0</v>
      </c>
      <c r="F17">
        <v>0</v>
      </c>
      <c r="G17">
        <v>0</v>
      </c>
      <c r="H17">
        <v>0</v>
      </c>
      <c r="I17">
        <v>0</v>
      </c>
      <c r="J17">
        <v>0</v>
      </c>
      <c r="K17">
        <v>0</v>
      </c>
      <c r="L17">
        <v>0</v>
      </c>
      <c r="M17">
        <v>0.71</v>
      </c>
      <c r="N17">
        <v>0.72</v>
      </c>
      <c r="O17" s="207">
        <f t="shared" si="0"/>
        <v>0.8206910759002451</v>
      </c>
      <c r="P17" s="207">
        <f t="shared" si="1"/>
        <v>0.8392377668810416</v>
      </c>
    </row>
    <row r="18" spans="1:16" ht="12.75">
      <c r="A18" t="s">
        <v>675</v>
      </c>
      <c r="C18">
        <v>0.444</v>
      </c>
      <c r="D18">
        <v>0.0006</v>
      </c>
      <c r="E18">
        <v>0.012</v>
      </c>
      <c r="F18">
        <v>2E-05</v>
      </c>
      <c r="G18">
        <v>0.219</v>
      </c>
      <c r="H18">
        <v>0.00125</v>
      </c>
      <c r="I18">
        <v>0.798</v>
      </c>
      <c r="J18">
        <v>0.0018</v>
      </c>
      <c r="K18">
        <v>0.399</v>
      </c>
      <c r="L18">
        <v>0.0011</v>
      </c>
      <c r="M18">
        <v>0.37</v>
      </c>
      <c r="N18">
        <v>0.001</v>
      </c>
      <c r="O18" s="207">
        <f t="shared" si="0"/>
        <v>0.3430106158400774</v>
      </c>
      <c r="P18" s="207">
        <f t="shared" si="1"/>
        <v>0.0011035693388886058</v>
      </c>
    </row>
    <row r="19" spans="1:16" ht="12.75">
      <c r="A19" t="s">
        <v>676</v>
      </c>
      <c r="C19">
        <v>0.0551</v>
      </c>
      <c r="D19">
        <v>0.0001</v>
      </c>
      <c r="E19">
        <v>0</v>
      </c>
      <c r="F19">
        <v>0</v>
      </c>
      <c r="G19">
        <v>0.323</v>
      </c>
      <c r="H19">
        <v>0.0031</v>
      </c>
      <c r="I19">
        <v>0.0276</v>
      </c>
      <c r="J19">
        <v>0.0001</v>
      </c>
      <c r="K19">
        <v>0.066</v>
      </c>
      <c r="L19">
        <v>0.0003</v>
      </c>
      <c r="M19">
        <v>0.09</v>
      </c>
      <c r="N19">
        <v>0.0007</v>
      </c>
      <c r="O19" s="207">
        <f t="shared" si="0"/>
        <v>0.1942228271209832</v>
      </c>
      <c r="P19" s="207">
        <f t="shared" si="1"/>
        <v>0.0017119258754376425</v>
      </c>
    </row>
    <row r="20" spans="1:16" ht="12.75">
      <c r="A20" t="s">
        <v>677</v>
      </c>
      <c r="C20">
        <v>3.528</v>
      </c>
      <c r="D20">
        <v>0.0882</v>
      </c>
      <c r="E20">
        <v>0</v>
      </c>
      <c r="F20">
        <v>0</v>
      </c>
      <c r="G20">
        <v>0</v>
      </c>
      <c r="H20">
        <v>0</v>
      </c>
      <c r="I20">
        <v>0.0907</v>
      </c>
      <c r="J20">
        <v>0.0042</v>
      </c>
      <c r="K20">
        <v>0</v>
      </c>
      <c r="L20">
        <v>0</v>
      </c>
      <c r="M20">
        <v>0.72</v>
      </c>
      <c r="N20">
        <v>0.02</v>
      </c>
      <c r="O20" s="207">
        <f t="shared" si="0"/>
        <v>0.8270232747814253</v>
      </c>
      <c r="P20" s="207">
        <f t="shared" si="1"/>
        <v>0.02086977367092416</v>
      </c>
    </row>
    <row r="21" spans="1:16" ht="12.75">
      <c r="A21" t="s">
        <v>678</v>
      </c>
      <c r="C21">
        <v>7.21</v>
      </c>
      <c r="D21">
        <v>0.842</v>
      </c>
      <c r="E21">
        <v>0.503</v>
      </c>
      <c r="F21">
        <v>0.077</v>
      </c>
      <c r="G21">
        <v>0.878</v>
      </c>
      <c r="H21">
        <v>0.477</v>
      </c>
      <c r="I21">
        <v>14.54</v>
      </c>
      <c r="J21">
        <v>3.14</v>
      </c>
      <c r="K21">
        <v>5.05</v>
      </c>
      <c r="L21">
        <v>1.295</v>
      </c>
      <c r="M21">
        <v>5.64</v>
      </c>
      <c r="N21">
        <v>1.17</v>
      </c>
      <c r="O21" s="207">
        <f t="shared" si="0"/>
        <v>4.160511056980021</v>
      </c>
      <c r="P21" s="207">
        <f t="shared" si="1"/>
        <v>0.90659488458519</v>
      </c>
    </row>
    <row r="22" spans="1:16" ht="12.75">
      <c r="A22" t="s">
        <v>679</v>
      </c>
      <c r="C22">
        <v>7.17</v>
      </c>
      <c r="D22">
        <v>0.235</v>
      </c>
      <c r="E22">
        <v>0.0212</v>
      </c>
      <c r="F22">
        <v>0.0009</v>
      </c>
      <c r="G22">
        <v>1.42</v>
      </c>
      <c r="H22">
        <v>0.216</v>
      </c>
      <c r="I22">
        <v>13.79</v>
      </c>
      <c r="J22">
        <v>0.8367</v>
      </c>
      <c r="K22">
        <v>5.49</v>
      </c>
      <c r="L22">
        <v>0.395</v>
      </c>
      <c r="M22">
        <v>5.58</v>
      </c>
      <c r="N22">
        <v>0.34</v>
      </c>
      <c r="O22" s="207">
        <f t="shared" si="0"/>
        <v>4.397775794284575</v>
      </c>
      <c r="P22" s="207">
        <f t="shared" si="1"/>
        <v>0.29610598827108</v>
      </c>
    </row>
    <row r="25" spans="3:16" ht="12.75">
      <c r="C25">
        <f aca="true" t="shared" si="2" ref="C25:L25">SUM(C10:C22)</f>
        <v>38.668099999999995</v>
      </c>
      <c r="D25">
        <f t="shared" si="2"/>
        <v>10.8723</v>
      </c>
      <c r="E25">
        <f t="shared" si="2"/>
        <v>39.2892</v>
      </c>
      <c r="F25">
        <f t="shared" si="2"/>
        <v>12.169619999999998</v>
      </c>
      <c r="G25">
        <f t="shared" si="2"/>
        <v>6.760000000000001</v>
      </c>
      <c r="H25">
        <f t="shared" si="2"/>
        <v>8.93627</v>
      </c>
      <c r="I25">
        <f t="shared" si="2"/>
        <v>43.9803</v>
      </c>
      <c r="J25">
        <f t="shared" si="2"/>
        <v>12.597000000000001</v>
      </c>
      <c r="K25">
        <f t="shared" si="2"/>
        <v>22.8731</v>
      </c>
      <c r="L25">
        <f t="shared" si="2"/>
        <v>13.531229999999997</v>
      </c>
      <c r="M25">
        <f>SUM(M10:M22)</f>
        <v>30.310000000000002</v>
      </c>
      <c r="N25">
        <f>SUM(N10:N22)</f>
        <v>11.612004</v>
      </c>
      <c r="O25">
        <f>SUM(O10:O22)</f>
        <v>20.56322203154088</v>
      </c>
      <c r="P25">
        <f>SUM(P10:P22)</f>
        <v>10.342428922198268</v>
      </c>
    </row>
    <row r="27" ht="12.75">
      <c r="A27" t="s">
        <v>653</v>
      </c>
    </row>
    <row r="28" spans="15:16" ht="12.75">
      <c r="O28" s="237">
        <f>O11/O25</f>
        <v>0.05891718810836013</v>
      </c>
      <c r="P28" s="237">
        <f>P11/P25</f>
        <v>0.09900154601354029</v>
      </c>
    </row>
    <row r="29" spans="1:11" ht="12.75">
      <c r="A29" t="s">
        <v>680</v>
      </c>
      <c r="C29">
        <f>0.74</f>
        <v>0.74</v>
      </c>
      <c r="E29">
        <v>0.692</v>
      </c>
      <c r="G29">
        <v>0.88</v>
      </c>
      <c r="I29">
        <v>0.79</v>
      </c>
      <c r="K29">
        <v>0.79</v>
      </c>
    </row>
    <row r="30" spans="1:7" ht="12.75">
      <c r="A30" t="s">
        <v>681</v>
      </c>
      <c r="B30" t="s">
        <v>538</v>
      </c>
      <c r="G30" s="230">
        <f>RefData!P157</f>
        <v>17333014</v>
      </c>
    </row>
    <row r="31" spans="1:11" ht="12.75">
      <c r="A31" t="s">
        <v>682</v>
      </c>
      <c r="B31" t="s">
        <v>538</v>
      </c>
      <c r="C31">
        <f>('T18'!S19-'T17'!T26)*1000/365</f>
        <v>7901893.150684931</v>
      </c>
      <c r="E31" s="207">
        <f>E32*G33</f>
        <v>1029619.3854836571</v>
      </c>
      <c r="G31">
        <f>'T17'!T6*1000/365</f>
        <v>15220087.671232877</v>
      </c>
      <c r="I31" s="207">
        <f>I32*G33</f>
        <v>3208268.595542126</v>
      </c>
      <c r="K31" s="207">
        <f>(78286+14009)*1000/365+I31</f>
        <v>3461131.609240756</v>
      </c>
    </row>
    <row r="32" spans="1:9" ht="12.75">
      <c r="A32" t="s">
        <v>681</v>
      </c>
      <c r="B32" t="s">
        <v>683</v>
      </c>
      <c r="E32">
        <v>1238479</v>
      </c>
      <c r="G32">
        <v>18307502</v>
      </c>
      <c r="I32" s="230">
        <f>(RefData!AB157+RefData!AC157)</f>
        <v>3859070</v>
      </c>
    </row>
    <row r="33" ht="12.75">
      <c r="G33">
        <f>G31/G32</f>
        <v>0.8313579685110988</v>
      </c>
    </row>
    <row r="34" spans="3:12" ht="12.75">
      <c r="C34">
        <f>SUM(C10:C22)</f>
        <v>38.668099999999995</v>
      </c>
      <c r="D34">
        <f>SUM(D10:D22)</f>
        <v>10.8723</v>
      </c>
      <c r="E34">
        <f aca="true" t="shared" si="3" ref="E34:L34">SUM(E10:E22)</f>
        <v>39.2892</v>
      </c>
      <c r="F34">
        <f t="shared" si="3"/>
        <v>12.169619999999998</v>
      </c>
      <c r="G34">
        <f t="shared" si="3"/>
        <v>6.760000000000001</v>
      </c>
      <c r="H34">
        <f t="shared" si="3"/>
        <v>8.93627</v>
      </c>
      <c r="I34">
        <f t="shared" si="3"/>
        <v>43.9803</v>
      </c>
      <c r="J34">
        <f t="shared" si="3"/>
        <v>12.597000000000001</v>
      </c>
      <c r="K34">
        <f t="shared" si="3"/>
        <v>22.8731</v>
      </c>
      <c r="L34">
        <f t="shared" si="3"/>
        <v>13.531229999999997</v>
      </c>
    </row>
    <row r="36" spans="1:11" ht="12.75">
      <c r="A36" t="s">
        <v>697</v>
      </c>
      <c r="C36" s="232">
        <f>C$31*C$29/($G$31*$G$29)</f>
        <v>0.43657920567450903</v>
      </c>
      <c r="D36" s="232"/>
      <c r="E36" s="232">
        <f>E$31*E$29/($G$31*$G$29)</f>
        <v>0.053196490160154014</v>
      </c>
      <c r="F36" s="232"/>
      <c r="G36" s="232">
        <f>G$31*G$29/($G$31*$G$29)</f>
        <v>1</v>
      </c>
      <c r="H36" s="232"/>
      <c r="I36" s="232">
        <f>I$31*I$29/($G$31*$G$29)</f>
        <v>0.18923348397633039</v>
      </c>
      <c r="J36" s="232"/>
      <c r="K36" s="232">
        <f>K$31*K$29/($G$31*$G$29)</f>
        <v>0.20414811709571257</v>
      </c>
    </row>
    <row r="37" spans="3:11" ht="12.75">
      <c r="C37">
        <f>C$31*C$29/($G$31*$G$29)</f>
        <v>0.43657920567450903</v>
      </c>
      <c r="E37">
        <f>E$31*E$29/($G$31*$G$29)</f>
        <v>0.053196490160154014</v>
      </c>
      <c r="G37">
        <f>G$31*G$29/($G$31*$G$29)</f>
        <v>1</v>
      </c>
      <c r="I37">
        <f>I$31*I$29/($G$31*$G$29)</f>
        <v>0.18923348397633039</v>
      </c>
      <c r="K37">
        <f>K$31*K$29/($G$31*$G$29)</f>
        <v>0.20414811709571257</v>
      </c>
    </row>
    <row r="38" spans="3:11" ht="12.75">
      <c r="C38">
        <f>C$31/$G$30</f>
        <v>0.4558868498395565</v>
      </c>
      <c r="E38">
        <f>E$31/$G$30</f>
        <v>0.059402212764823076</v>
      </c>
      <c r="G38">
        <f>G$31/$G$31</f>
        <v>1</v>
      </c>
      <c r="I38">
        <f>I$31/$G$30</f>
        <v>0.18509582900828014</v>
      </c>
      <c r="K38">
        <f>K$31/$G$30</f>
        <v>0.1996843485640037</v>
      </c>
    </row>
    <row r="39" spans="3:11" ht="12.75">
      <c r="C39">
        <f>$C$5/$G$5</f>
        <v>0.3263314870602283</v>
      </c>
      <c r="E39">
        <f>$E$3/$G$3*0.7</f>
        <v>0.049540588226046546</v>
      </c>
      <c r="G39">
        <v>1</v>
      </c>
      <c r="I39">
        <f>$I$3/$G$3*0.8</f>
        <v>0.1721593320813083</v>
      </c>
      <c r="K39">
        <f>$K$5/$G$5+$I39</f>
        <v>0.18416119356259375</v>
      </c>
    </row>
  </sheetData>
  <mergeCells count="7">
    <mergeCell ref="K7:L7"/>
    <mergeCell ref="M7:N7"/>
    <mergeCell ref="O7:P7"/>
    <mergeCell ref="C7:D7"/>
    <mergeCell ref="E7:F7"/>
    <mergeCell ref="G7:H7"/>
    <mergeCell ref="I7:J7"/>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Coburn</dc:creator>
  <cp:keywords/>
  <dc:description/>
  <cp:lastModifiedBy>bshine</cp:lastModifiedBy>
  <dcterms:created xsi:type="dcterms:W3CDTF">2007-07-18T19:05:04Z</dcterms:created>
  <dcterms:modified xsi:type="dcterms:W3CDTF">2007-08-23T12:34:54Z</dcterms:modified>
  <cp:category/>
  <cp:version/>
  <cp:contentType/>
  <cp:contentStatus/>
</cp:coreProperties>
</file>