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136" yWindow="640" windowWidth="20540" windowHeight="13200" tabRatio="830" firstSheet="1" activeTab="13"/>
  </bookViews>
  <sheets>
    <sheet name="Beta_N" sheetId="1" r:id="rId1"/>
    <sheet name="TF_outer" sheetId="2" r:id="rId2"/>
    <sheet name="Shape" sheetId="3" r:id="rId3"/>
    <sheet name="TF_inductance" sheetId="4" r:id="rId4"/>
    <sheet name="TF_Heating" sheetId="5" r:id="rId5"/>
    <sheet name="TF_Stress" sheetId="6" r:id="rId6"/>
    <sheet name="Blanket" sheetId="7" r:id="rId7"/>
    <sheet name="TC" sheetId="8" r:id="rId8"/>
    <sheet name="Gamma_CD" sheetId="9" r:id="rId9"/>
    <sheet name="Tritium" sheetId="10" r:id="rId10"/>
    <sheet name="Divertor" sheetId="11" r:id="rId11"/>
    <sheet name="Summary" sheetId="12" r:id="rId12"/>
    <sheet name="A95A100" sheetId="13" r:id="rId13"/>
    <sheet name="Base" sheetId="14" r:id="rId14"/>
  </sheets>
  <definedNames>
    <definedName name="A">'Base'!$B$23</definedName>
    <definedName name="A_100">'Base'!$B$24</definedName>
    <definedName name="A_div_peal">'Base'!#REF!</definedName>
    <definedName name="A_fw">'Base'!$B$219</definedName>
    <definedName name="A_plasma">'Base'!$B$218</definedName>
    <definedName name="A_tm">'Blanket'!$B$21</definedName>
    <definedName name="alpha_N">'Base'!$B$70</definedName>
    <definedName name="alpha_nbi">'Base'!$B$129</definedName>
    <definedName name="alpha_T">'Base'!$B$73</definedName>
    <definedName name="alpha_Te">'Base'!$B$72</definedName>
    <definedName name="alpha_Ti">'Base'!$B$71</definedName>
    <definedName name="alpha_Ttest">'Tritium'!$D$46</definedName>
    <definedName name="ane">'Base'!$B$98</definedName>
    <definedName name="anscount" hidden="1">2</definedName>
    <definedName name="Anwall">'Blanket'!#REF!</definedName>
    <definedName name="Anwall_target">'Base'!#REF!</definedName>
    <definedName name="bA">'A95A100'!$B$11</definedName>
    <definedName name="BEM">'Base'!$B$253</definedName>
    <definedName name="Beta_N">'Base'!$B$80</definedName>
    <definedName name="Beta_N_e">'Base'!$B$79</definedName>
    <definedName name="Beta_N_i">'Base'!$B$78</definedName>
    <definedName name="Beta_N_Limit">'Base'!$B$77</definedName>
    <definedName name="Beta_n_total">'Base'!$B$83</definedName>
    <definedName name="Beta_P">'Base'!$B$85</definedName>
    <definedName name="Beta_T">'Base'!$B$84</definedName>
    <definedName name="Bmax">'TF_Stress'!$B$1</definedName>
    <definedName name="bp">'Blanket'!$G$2</definedName>
    <definedName name="Bt">'Base'!$B$40</definedName>
    <definedName name="C_ejima">'Base'!$B$246</definedName>
    <definedName name="CoeffCu">'TF_Heating'!$B$32</definedName>
    <definedName name="CSAcenter">'TF_Heating'!$B$11</definedName>
    <definedName name="CSAends">'TF_Heating'!$B$12</definedName>
    <definedName name="CSAH20">'TF_Heating'!$B$13</definedName>
    <definedName name="d">'Shape'!$B$75</definedName>
    <definedName name="delta">'Base'!$B$29</definedName>
    <definedName name="deltaR">'TF_inductance'!$B$16</definedName>
    <definedName name="DensCu">'TF_Heating'!$B$30</definedName>
    <definedName name="DensH20">'TF_Heating'!$B$24</definedName>
    <definedName name="Div_Pwr_Rec?">'Base'!$B$255</definedName>
    <definedName name="dr">'Base'!$B$147</definedName>
    <definedName name="drfw">'Base'!$B$36</definedName>
    <definedName name="drtf">'Base'!$B$37</definedName>
    <definedName name="dTheta">'Shape'!$B$70</definedName>
    <definedName name="dztfmiddle">'Base'!$B$45</definedName>
    <definedName name="e">'Base'!$B$26</definedName>
    <definedName name="E_nbi">'Base'!$B$117</definedName>
    <definedName name="E_nbi_max">'Base'!$B$20</definedName>
    <definedName name="Eta_neo">'Base'!$B$233</definedName>
    <definedName name="f_CS">'Blanket'!$B$25</definedName>
    <definedName name="f_DIV">'Blanket'!#REF!</definedName>
    <definedName name="fBOP">'Base'!#REF!</definedName>
    <definedName name="fBS">'Base'!$B$88</definedName>
    <definedName name="fBS_limit">'Base'!$B$11</definedName>
    <definedName name="FF">'Base'!$B$244</definedName>
    <definedName name="fGW">'Base'!$B$96</definedName>
    <definedName name="fGW_limit">'Base'!$B$10</definedName>
    <definedName name="fimp">'Base'!$B$103</definedName>
    <definedName name="FlowH20">'TF_Heating'!$B$20</definedName>
    <definedName name="Flux_Exp">'Base'!$B$210</definedName>
    <definedName name="fN">'Blanket'!$B$46</definedName>
    <definedName name="fPalphae">'Base'!$B$138</definedName>
    <definedName name="fPalphai">'Base'!$B$137</definedName>
    <definedName name="fPauxe">'Base'!$B$134</definedName>
    <definedName name="fPauxi">'Base'!$B$135</definedName>
    <definedName name="fpeak_fw">'Base'!$B$18</definedName>
    <definedName name="Fprof">'Base'!#REF!</definedName>
    <definedName name="fracwater">'Base'!$B$38</definedName>
    <definedName name="frad">'Base'!$B$100</definedName>
    <definedName name="frad_core">'Base'!$B$220</definedName>
    <definedName name="frad_core_limit">'Base'!$B$19</definedName>
    <definedName name="frad_core_min">'Base'!$B$207</definedName>
    <definedName name="frad_div">'Base'!$B$212</definedName>
    <definedName name="frad_div_limit">'Base'!$B$16</definedName>
    <definedName name="frade">'Base'!$B$140</definedName>
    <definedName name="fradi">'Base'!$B$139</definedName>
    <definedName name="fT">'Base'!$B$145</definedName>
    <definedName name="Gamma_CD">'Base'!$B$89</definedName>
    <definedName name="Gen_Elec?">'Base'!$B$254</definedName>
    <definedName name="halfht">'TF_inductance'!$B$5</definedName>
    <definedName name="Hcordy">'Base'!#REF!</definedName>
    <definedName name="height">'TF_inductance'!$B$6</definedName>
    <definedName name="HH">'Base'!$B$203</definedName>
    <definedName name="HHe">'Base'!$B$199</definedName>
    <definedName name="HHi">'Base'!$B$196</definedName>
    <definedName name="Ip">'Base'!$B$52</definedName>
    <definedName name="Itf">'Base'!$B$41</definedName>
    <definedName name="Javgtf">'Base'!$B$35</definedName>
    <definedName name="k">'Shape'!$B$74</definedName>
    <definedName name="ka">'Gamma_CD'!$B$1</definedName>
    <definedName name="ka0">'Base'!$B$118</definedName>
    <definedName name="ka1">'Base'!#REF!</definedName>
    <definedName name="ka10">'Base'!$B$119</definedName>
    <definedName name="ka11">'Base'!$B$120</definedName>
    <definedName name="ka2">'Base'!#REF!</definedName>
    <definedName name="ka20">'Base'!$B$121</definedName>
    <definedName name="ka21">'Base'!$B$122</definedName>
    <definedName name="ka3">'Base'!#REF!</definedName>
    <definedName name="ka30">'Base'!$B$123</definedName>
    <definedName name="ka31">'Base'!$B$124</definedName>
    <definedName name="ka4">'Base'!#REF!</definedName>
    <definedName name="ka40">'Base'!$B$125</definedName>
    <definedName name="ka41">'Base'!$B$126</definedName>
    <definedName name="ka5">'Base'!#REF!</definedName>
    <definedName name="ka50">'Base'!$B$127</definedName>
    <definedName name="ka51">'Base'!$B$128</definedName>
    <definedName name="kappa">'Base'!$B$28</definedName>
    <definedName name="kb">'Gamma_CD'!$B$2</definedName>
    <definedName name="kc">'Gamma_CD'!$B$3</definedName>
    <definedName name="kd">'Gamma_CD'!$B$4</definedName>
    <definedName name="lambd_mid">'Base'!$B$209</definedName>
    <definedName name="lambda_div">'Base'!$B$211</definedName>
    <definedName name="Lext">'Base'!$B$243</definedName>
    <definedName name="Li">'Base'!$B$242</definedName>
    <definedName name="limcount" hidden="1">1</definedName>
    <definedName name="M">'Base'!$B$201</definedName>
    <definedName name="mA">'A95A100'!$B$10</definedName>
    <definedName name="Massflow">'TF_Heating'!$B$28</definedName>
    <definedName name="Mode">'Base'!$B$3</definedName>
    <definedName name="mp">'Blanket'!#REF!</definedName>
    <definedName name="mu0">'Base'!$B$21</definedName>
    <definedName name="Npassage">'TF_Heating'!$B$16</definedName>
    <definedName name="nrdiv">'Base'!$B$146</definedName>
    <definedName name="NSW">'Base'!$B$269</definedName>
    <definedName name="Nu">'TF_Stress'!$B$2</definedName>
    <definedName name="Nu_Paux">'Base'!$B$263</definedName>
    <definedName name="Nu_TF">'Base'!$B$48</definedName>
    <definedName name="Nu_thermal">'Base'!$B$252</definedName>
    <definedName name="OSOL">'Shape'!$B$7</definedName>
    <definedName name="P_alpha">'Base'!$B$173</definedName>
    <definedName name="P_alpha_tc">'Base'!#REF!</definedName>
    <definedName name="P_alpha_thermal">'Base'!$B$171</definedName>
    <definedName name="P_aux">'Base'!$B$92</definedName>
    <definedName name="P_Brem">'Base'!$B$132</definedName>
    <definedName name="P_CD">'Base'!$B$90</definedName>
    <definedName name="P_div">'Base'!$B$213</definedName>
    <definedName name="P_div_particle">'Base'!#REF!</definedName>
    <definedName name="P_div_rad">'Base'!#REF!</definedName>
    <definedName name="P_Elec_gen">'Base'!$B$260</definedName>
    <definedName name="P_elec_out">'Base'!$B$260</definedName>
    <definedName name="P_elecinput">'Base'!$B$265</definedName>
    <definedName name="P_fus_target">'Base'!#REF!</definedName>
    <definedName name="P_fusion">'Base'!$B$93</definedName>
    <definedName name="P_fusion_tc">'Base'!#REF!</definedName>
    <definedName name="P_fw">'Base'!$B$221</definedName>
    <definedName name="P_Input">'Base'!#REF!</definedName>
    <definedName name="P_loss">'Base'!#REF!</definedName>
    <definedName name="P_net">'Base'!$B$266</definedName>
    <definedName name="P_Output">'Base'!#REF!</definedName>
    <definedName name="P_rad_core">'Base'!$B$217</definedName>
    <definedName name="P_sol">'Base'!$B$208</definedName>
    <definedName name="pf">'Base'!$B$86</definedName>
    <definedName name="Pi_input">'Base'!$B$142</definedName>
    <definedName name="Pie">'Base'!$B$143</definedName>
    <definedName name="PrandtLH20">'TF_Heating'!$B$26</definedName>
    <definedName name="_xlnm.Print_Area" localSheetId="13">'Base'!$A$270:$E$278</definedName>
    <definedName name="_xlnm.Print_Area" localSheetId="2">'Shape'!$A$8:$E$20</definedName>
    <definedName name="ptc">'Base'!#REF!</definedName>
    <definedName name="Q">'Base'!$B$94</definedName>
    <definedName name="Q_div">'Base'!$B$215</definedName>
    <definedName name="Q_div_limit">'Base'!$B$15</definedName>
    <definedName name="Q_elec">'Base'!$B$267</definedName>
    <definedName name="Q_engr">'Base'!#REF!</definedName>
    <definedName name="Q_fw">'Base'!$B$222</definedName>
    <definedName name="Q_fw_limit">'Base'!$B$17</definedName>
    <definedName name="qcyl">'Base'!$B$31</definedName>
    <definedName name="qMHD">'Base'!$B$34</definedName>
    <definedName name="Qn_om">'Base'!$B$226</definedName>
    <definedName name="Qn_target">'Base'!$B$6</definedName>
    <definedName name="Qn_tm">'Base'!$B$225</definedName>
    <definedName name="Qnbi0">'Base'!$B$144</definedName>
    <definedName name="Qtc">'Base'!#REF!</definedName>
    <definedName name="Qtc_400">'Base'!#REF!</definedName>
    <definedName name="R0">'Base'!$B$22</definedName>
    <definedName name="ReoRm">'Base'!$B$47</definedName>
    <definedName name="ResCu">'TF_Heating'!$B$35</definedName>
    <definedName name="Reynolds">'TF_Heating'!$B$27</definedName>
    <definedName name="rinner1">'TF_inductance'!$B$1</definedName>
    <definedName name="rinner2">'TF_inductance'!$B$2</definedName>
    <definedName name="Rmassflow">'TF_Heating'!$B$29</definedName>
    <definedName name="router1">'TF_inductance'!$B$3</definedName>
    <definedName name="router2">'TF_inductance'!$B$4</definedName>
    <definedName name="Rtan">'Base'!$B$116</definedName>
    <definedName name="s">'Base'!$B$33</definedName>
    <definedName name="sencount" hidden="1">1</definedName>
    <definedName name="SHCu">'TF_Heating'!$B$31</definedName>
    <definedName name="SHH20">'TF_Heating'!$B$22</definedName>
    <definedName name="Sigmax">'Base'!$B$44</definedName>
    <definedName name="slope">'TF_inductance'!$B$8</definedName>
    <definedName name="sMHD">'Base'!$B$32</definedName>
    <definedName name="solver_adj" localSheetId="13" hidden="1">'Base'!$B$100,'Base'!$B$96,'Base'!$B$78,'Base'!$B$79,'Base'!$B$89,'Base'!$B$35,'Base'!$B$38,'Base'!$B$31,'Base'!$B$93</definedName>
    <definedName name="solver_adj" localSheetId="6" hidden="1">'Blanket'!$P$2,'Blanket'!$P$3</definedName>
    <definedName name="solver_cvg" localSheetId="13" hidden="1">0.00001</definedName>
    <definedName name="solver_cvg" localSheetId="6" hidden="1">0.0001</definedName>
    <definedName name="solver_cvg" localSheetId="4" hidden="1">0.0001</definedName>
    <definedName name="solver_drv" localSheetId="13" hidden="1">2</definedName>
    <definedName name="solver_drv" localSheetId="6" hidden="1">1</definedName>
    <definedName name="solver_drv" localSheetId="4" hidden="1">1</definedName>
    <definedName name="solver_est" localSheetId="13" hidden="1">2</definedName>
    <definedName name="solver_est" localSheetId="6" hidden="1">1</definedName>
    <definedName name="solver_est" localSheetId="4" hidden="1">1</definedName>
    <definedName name="solver_itr" localSheetId="13" hidden="1">200</definedName>
    <definedName name="solver_itr" localSheetId="6" hidden="1">100</definedName>
    <definedName name="solver_itr" localSheetId="4" hidden="1">100</definedName>
    <definedName name="solver_lhs0" localSheetId="13" hidden="1">'Base'!$B$97</definedName>
    <definedName name="solver_lhs1" localSheetId="13" hidden="1">'Base'!$B$196</definedName>
    <definedName name="solver_lhs10" localSheetId="13" hidden="1">'Base'!$B$220</definedName>
    <definedName name="solver_lhs11" localSheetId="13" hidden="1">'Base'!$B$100</definedName>
    <definedName name="solver_lhs12" localSheetId="13" hidden="1">'Base'!$B$38</definedName>
    <definedName name="solver_lhs13" localSheetId="13" hidden="1">'Base'!$B$38</definedName>
    <definedName name="solver_lhs14" localSheetId="13" hidden="1">'Base'!$B$83</definedName>
    <definedName name="solver_lhs15" localSheetId="13" hidden="1">'Base'!$B$113</definedName>
    <definedName name="solver_lhs16" localSheetId="13" hidden="1">'Base'!$B$215</definedName>
    <definedName name="solver_lhs17" localSheetId="13" hidden="1">'Base'!$B$96</definedName>
    <definedName name="solver_lhs18" localSheetId="13" hidden="1">'Base'!$B$43</definedName>
    <definedName name="solver_lhs19" localSheetId="13" hidden="1">'Base'!$B$44</definedName>
    <definedName name="solver_lhs2" localSheetId="13" hidden="1">'Base'!$B$31</definedName>
    <definedName name="solver_lhs20" localSheetId="13" hidden="1">'Base'!$B$222</definedName>
    <definedName name="solver_lhs21" localSheetId="13" hidden="1">'Base'!$B$88</definedName>
    <definedName name="solver_lhs22" localSheetId="13" hidden="1">'Base'!$B$199</definedName>
    <definedName name="solver_lhs23" localSheetId="13" hidden="1">'Base'!$B$115</definedName>
    <definedName name="solver_lhs24" localSheetId="13" hidden="1">'Base'!$B$35</definedName>
    <definedName name="solver_lhs25" localSheetId="13" hidden="1">'Base'!$B$225</definedName>
    <definedName name="solver_lhs26" localSheetId="13" hidden="1">'Base'!$B$117</definedName>
    <definedName name="solver_lhs27" localSheetId="13" hidden="1">'Base'!$B$143</definedName>
    <definedName name="solver_lhs28" localSheetId="13" hidden="1">'Base'!#REF!</definedName>
    <definedName name="solver_lhs29" localSheetId="13" hidden="1">'Base'!$B$199</definedName>
    <definedName name="solver_lhs3" localSheetId="13" hidden="1">'Base'!$B$177</definedName>
    <definedName name="solver_lhs30" localSheetId="13" hidden="1">'Base'!$B$88</definedName>
    <definedName name="solver_lhs31" localSheetId="13" hidden="1">'Base'!$B$88</definedName>
    <definedName name="solver_lhs4" localSheetId="13" hidden="1">'Base'!$B$212</definedName>
    <definedName name="solver_lhs5" localSheetId="13" hidden="1">'Base'!$B$89</definedName>
    <definedName name="solver_lhs6" localSheetId="13" hidden="1">'Base'!$B$96</definedName>
    <definedName name="solver_lhs7" localSheetId="13" hidden="1">'Base'!$B$89</definedName>
    <definedName name="solver_lhs8" localSheetId="13" hidden="1">'Base'!$B$52</definedName>
    <definedName name="solver_lhs9" localSheetId="13" hidden="1">'Base'!$B$175</definedName>
    <definedName name="solver_lin" localSheetId="13" hidden="1">2</definedName>
    <definedName name="solver_lin" localSheetId="6" hidden="1">2</definedName>
    <definedName name="solver_lin" localSheetId="4" hidden="1">2</definedName>
    <definedName name="solver_neg" localSheetId="13" hidden="1">1</definedName>
    <definedName name="solver_neg" localSheetId="6" hidden="1">2</definedName>
    <definedName name="solver_neg" localSheetId="4" hidden="1">2</definedName>
    <definedName name="solver_num" localSheetId="13" hidden="1">27</definedName>
    <definedName name="solver_num" localSheetId="6" hidden="1">0</definedName>
    <definedName name="solver_num" localSheetId="4" hidden="1">0</definedName>
    <definedName name="solver_nwt" localSheetId="13" hidden="1">1</definedName>
    <definedName name="solver_nwt" localSheetId="6" hidden="1">1</definedName>
    <definedName name="solver_nwt" localSheetId="4" hidden="1">1</definedName>
    <definedName name="solver_opt" localSheetId="13" hidden="1">'Base'!$B$92</definedName>
    <definedName name="solver_opt" localSheetId="6" hidden="1">'Blanket'!$R$20</definedName>
    <definedName name="solver_opt" localSheetId="4" hidden="1">'TF_Heating'!$D$35</definedName>
    <definedName name="solver_pre" localSheetId="13" hidden="1">0.000001</definedName>
    <definedName name="solver_pre" localSheetId="6" hidden="1">0.000001</definedName>
    <definedName name="solver_pre" localSheetId="4" hidden="1">0.000001</definedName>
    <definedName name="solver_rel0" localSheetId="13" hidden="1">2</definedName>
    <definedName name="solver_rel1" localSheetId="13" hidden="1">1</definedName>
    <definedName name="solver_rel10" localSheetId="13" hidden="1">1</definedName>
    <definedName name="solver_rel11" localSheetId="13" hidden="1">3</definedName>
    <definedName name="solver_rel12" localSheetId="13" hidden="1">3</definedName>
    <definedName name="solver_rel13" localSheetId="13" hidden="1">1</definedName>
    <definedName name="solver_rel14" localSheetId="13" hidden="1">1</definedName>
    <definedName name="solver_rel15" localSheetId="13" hidden="1">1</definedName>
    <definedName name="solver_rel16" localSheetId="13" hidden="1">1</definedName>
    <definedName name="solver_rel17" localSheetId="13" hidden="1">3</definedName>
    <definedName name="solver_rel18" localSheetId="13" hidden="1">1</definedName>
    <definedName name="solver_rel19" localSheetId="13" hidden="1">1</definedName>
    <definedName name="solver_rel2" localSheetId="13" hidden="1">3</definedName>
    <definedName name="solver_rel20" localSheetId="13" hidden="1">1</definedName>
    <definedName name="solver_rel21" localSheetId="13" hidden="1">1</definedName>
    <definedName name="solver_rel22" localSheetId="13" hidden="1">1</definedName>
    <definedName name="solver_rel23" localSheetId="13" hidden="1">1</definedName>
    <definedName name="solver_rel24" localSheetId="13" hidden="1">1</definedName>
    <definedName name="solver_rel25" localSheetId="13" hidden="1">2</definedName>
    <definedName name="solver_rel26" localSheetId="13" hidden="1">1</definedName>
    <definedName name="solver_rel27" localSheetId="13" hidden="1">1</definedName>
    <definedName name="solver_rel28" localSheetId="13" hidden="1">3</definedName>
    <definedName name="solver_rel29" localSheetId="13" hidden="1">2</definedName>
    <definedName name="solver_rel3" localSheetId="13" hidden="1">2</definedName>
    <definedName name="solver_rel30" localSheetId="13" hidden="1">1</definedName>
    <definedName name="solver_rel31" localSheetId="13" hidden="1">1</definedName>
    <definedName name="solver_rel4" localSheetId="13" hidden="1">1</definedName>
    <definedName name="solver_rel5" localSheetId="13" hidden="1">1</definedName>
    <definedName name="solver_rel6" localSheetId="13" hidden="1">1</definedName>
    <definedName name="solver_rel7" localSheetId="13" hidden="1">3</definedName>
    <definedName name="solver_rel8" localSheetId="13" hidden="1">1</definedName>
    <definedName name="solver_rel9" localSheetId="13" hidden="1">2</definedName>
    <definedName name="solver_rhs0" localSheetId="13" hidden="1">160000000000000000000</definedName>
    <definedName name="solver_rhs1" localSheetId="13" hidden="1">'Base'!$B$7</definedName>
    <definedName name="solver_rhs10" localSheetId="13" hidden="1">'Base'!$B$19</definedName>
    <definedName name="solver_rhs11" localSheetId="13" hidden="1">0</definedName>
    <definedName name="solver_rhs12" localSheetId="13" hidden="1">0.05</definedName>
    <definedName name="solver_rhs13" localSheetId="13" hidden="1">0.25</definedName>
    <definedName name="solver_rhs14" localSheetId="13" hidden="1">'Base'!$B$77</definedName>
    <definedName name="solver_rhs15" localSheetId="13" hidden="1">'Base'!$B$12</definedName>
    <definedName name="solver_rhs16" localSheetId="13" hidden="1">'Base'!$B$15</definedName>
    <definedName name="solver_rhs17" localSheetId="13" hidden="1">0.1</definedName>
    <definedName name="solver_rhs18" localSheetId="13" hidden="1">'Base'!$B$13</definedName>
    <definedName name="solver_rhs19" localSheetId="13" hidden="1">'Base'!$B$14</definedName>
    <definedName name="solver_rhs2" localSheetId="13" hidden="1">'Base'!$B$30</definedName>
    <definedName name="solver_rhs20" localSheetId="13" hidden="1">'Base'!$B$17</definedName>
    <definedName name="solver_rhs21" localSheetId="13" hidden="1">'Base'!$B$11</definedName>
    <definedName name="solver_rhs22" localSheetId="13" hidden="1">'Base'!$B$8</definedName>
    <definedName name="solver_rhs23" localSheetId="13" hidden="1">20</definedName>
    <definedName name="solver_rhs24" localSheetId="13" hidden="1">100000000</definedName>
    <definedName name="solver_rhs25" localSheetId="13" hidden="1">'Base'!$B$6</definedName>
    <definedName name="solver_rhs26" localSheetId="13" hidden="1">'Base'!$B$20</definedName>
    <definedName name="solver_rhs27" localSheetId="13" hidden="1">'Base'!$B$142</definedName>
    <definedName name="solver_rhs28" localSheetId="13" hidden="1">0.1</definedName>
    <definedName name="solver_rhs29" localSheetId="13" hidden="1">0.72</definedName>
    <definedName name="solver_rhs3" localSheetId="13" hidden="1">0</definedName>
    <definedName name="solver_rhs30" localSheetId="13" hidden="1">0.8</definedName>
    <definedName name="solver_rhs31" localSheetId="13" hidden="1">0.8</definedName>
    <definedName name="solver_rhs4" localSheetId="13" hidden="1">'Base'!$B$16</definedName>
    <definedName name="solver_rhs5" localSheetId="13" hidden="1">'Base'!$B$130</definedName>
    <definedName name="solver_rhs6" localSheetId="13" hidden="1">'Base'!$B$10</definedName>
    <definedName name="solver_rhs7" localSheetId="13" hidden="1">0.01</definedName>
    <definedName name="solver_rhs8" localSheetId="13" hidden="1">'Base'!$B$9</definedName>
    <definedName name="solver_rhs9" localSheetId="13" hidden="1">0</definedName>
    <definedName name="solver_scl" localSheetId="13" hidden="1">1</definedName>
    <definedName name="solver_scl" localSheetId="6" hidden="1">2</definedName>
    <definedName name="solver_scl" localSheetId="4" hidden="1">2</definedName>
    <definedName name="solver_sho" localSheetId="13" hidden="1">2</definedName>
    <definedName name="solver_sho" localSheetId="6" hidden="1">2</definedName>
    <definedName name="solver_sho" localSheetId="4" hidden="1">2</definedName>
    <definedName name="solver_tim" localSheetId="13" hidden="1">100</definedName>
    <definedName name="solver_tim" localSheetId="6" hidden="1">100</definedName>
    <definedName name="solver_tim" localSheetId="4" hidden="1">100</definedName>
    <definedName name="solver_tol" localSheetId="13" hidden="1">0.01</definedName>
    <definedName name="solver_tol" localSheetId="6" hidden="1">0.05</definedName>
    <definedName name="solver_tol" localSheetId="4" hidden="1">0.05</definedName>
    <definedName name="solver_typ" localSheetId="13" hidden="1">2</definedName>
    <definedName name="solver_typ" localSheetId="6" hidden="1">2</definedName>
    <definedName name="solver_typ" localSheetId="4" hidden="1">1</definedName>
    <definedName name="solver_val" localSheetId="13" hidden="1">1000</definedName>
    <definedName name="solver_val" localSheetId="6" hidden="1">0</definedName>
    <definedName name="solver_val" localSheetId="4" hidden="1">0</definedName>
    <definedName name="T_flat">'Base'!$B$245</definedName>
    <definedName name="T0e">'Base'!$B$111</definedName>
    <definedName name="T0i">'Base'!$B$108</definedName>
    <definedName name="Tau">'Tritium'!$C$2</definedName>
    <definedName name="Tau_E_98">'Base'!$B$202</definedName>
    <definedName name="Tau_E_e">'Base'!$B$198</definedName>
    <definedName name="Tau_E_i">'Base'!$B$195</definedName>
    <definedName name="Tau_E_NC">'Base'!$B$194</definedName>
    <definedName name="Tavg_ndw">'Base'!$B$115</definedName>
    <definedName name="Tavge">'Base'!$B$112</definedName>
    <definedName name="Tavgi">'Base'!$B$109</definedName>
    <definedName name="TconH20">'TF_Heating'!$B$25</definedName>
    <definedName name="TCumax">'Base'!$B$43</definedName>
    <definedName name="Temp0">'Base'!$B$113</definedName>
    <definedName name="Temp0test">'Tritium'!$D$45</definedName>
    <definedName name="Tempavg">'Base'!$B$114</definedName>
    <definedName name="TH20max">'Base'!$B$42</definedName>
    <definedName name="TiETe">'Base'!$B$5</definedName>
    <definedName name="tpote">'Base'!$B$99</definedName>
    <definedName name="ViscH20">'TF_Heating'!$B$23</definedName>
    <definedName name="vol">'Base'!$B$141</definedName>
    <definedName name="W_om">'Blanket'!$B$48</definedName>
    <definedName name="We">'Base'!$B$197</definedName>
    <definedName name="Wi">'Base'!$B$189</definedName>
    <definedName name="WP">'TF_Heating'!$B$19</definedName>
    <definedName name="Wtot">'Base'!$B$200</definedName>
    <definedName name="X">'Base'!#REF!</definedName>
    <definedName name="xa">'Blanket'!$P$2</definedName>
    <definedName name="xb">'Blanket'!$P$3</definedName>
    <definedName name="xb0">'Beta_N'!$B$16</definedName>
    <definedName name="xb1">'Beta_N'!$B$17</definedName>
    <definedName name="xb2">'Beta_N'!$B$18</definedName>
    <definedName name="xb3">'Beta_N'!$B$19</definedName>
    <definedName name="xd0">'Beta_N'!$B$20</definedName>
    <definedName name="xd1">'Beta_N'!$B$21</definedName>
    <definedName name="xk1">'Blanket'!$L$2</definedName>
    <definedName name="xk2">'Blanket'!$L$3</definedName>
    <definedName name="xm">'Beta_N'!$B$22</definedName>
    <definedName name="xn">'Beta_N'!$B$23</definedName>
    <definedName name="xnDT">'Base'!$B$104</definedName>
    <definedName name="xne">'Base'!$B$97</definedName>
    <definedName name="xnex">'Base'!$B$110</definedName>
    <definedName name="xnHe">'Base'!$B$101</definedName>
    <definedName name="xni">'Base'!$B$106</definedName>
    <definedName name="xnix">'Base'!$B$107</definedName>
    <definedName name="xnTotal">'Base'!$B$105</definedName>
    <definedName name="Xnum">'Base'!#REF!</definedName>
    <definedName name="Xnwall">'Base'!$B$223</definedName>
    <definedName name="Xnwall_target">'Base'!$B$6</definedName>
    <definedName name="Zeff">'Base'!$B$131</definedName>
    <definedName name="Zimp">'Base'!$B$102</definedName>
    <definedName name="zmax">'Blanket'!$F$29</definedName>
  </definedNames>
  <calcPr fullCalcOnLoad="1"/>
</workbook>
</file>

<file path=xl/sharedStrings.xml><?xml version="1.0" encoding="utf-8"?>
<sst xmlns="http://schemas.openxmlformats.org/spreadsheetml/2006/main" count="1273" uniqueCount="760">
  <si>
    <t>xne[1/m^3]</t>
  </si>
  <si>
    <t>P_aux*Q</t>
  </si>
  <si>
    <t>R0</t>
  </si>
  <si>
    <t>Zeff</t>
  </si>
  <si>
    <t>P_sol_max[MW]</t>
  </si>
  <si>
    <t>lambda_mid[m]</t>
  </si>
  <si>
    <t>lambda_div[m]</t>
  </si>
  <si>
    <t>P_div_particle[MW]</t>
  </si>
  <si>
    <t>ITER Begin DT</t>
  </si>
  <si>
    <t>(B38-0.5)*dr</t>
  </si>
  <si>
    <t>Nu_TF</t>
  </si>
  <si>
    <t>Bmax</t>
  </si>
  <si>
    <t>Nu</t>
  </si>
  <si>
    <t>Sigrr</t>
  </si>
  <si>
    <t>CoeffCu</t>
  </si>
  <si>
    <t>ResCu</t>
  </si>
  <si>
    <t>HcapCu</t>
  </si>
  <si>
    <t>Dpassage</t>
  </si>
  <si>
    <t>Npassage</t>
  </si>
  <si>
    <t>WP</t>
  </si>
  <si>
    <t>∑P_tf[MW]</t>
  </si>
  <si>
    <t>Ip[MA]</t>
  </si>
  <si>
    <t>Rpf[m]</t>
  </si>
  <si>
    <t>Ipf[Amp]</t>
  </si>
  <si>
    <t>Jpf[A/m^2]</t>
  </si>
  <si>
    <t>Ecrit_Paux[keV]</t>
  </si>
  <si>
    <t>Ecrit_Palpha[keV]</t>
  </si>
  <si>
    <t>vol[m^3]</t>
  </si>
  <si>
    <t>Pie[MW]</t>
  </si>
  <si>
    <t>P_alpha[MW]</t>
  </si>
  <si>
    <t>Tauslow_alpha[sec]</t>
  </si>
  <si>
    <t>P_alpha_avg[MW/m^3]</t>
  </si>
  <si>
    <t>W_alpha[MJ]</t>
  </si>
  <si>
    <t>Beta_N(A) Menard</t>
  </si>
  <si>
    <t>alpha_n</t>
  </si>
  <si>
    <t>alpha_T</t>
  </si>
  <si>
    <t>Avogardro's No</t>
  </si>
  <si>
    <t>Joule/eV</t>
  </si>
  <si>
    <t>P_aux</t>
  </si>
  <si>
    <t xml:space="preserve"> </t>
  </si>
  <si>
    <t>Top VV/TF Return</t>
  </si>
  <si>
    <t>Outer VV/TF Return</t>
  </si>
  <si>
    <t>Plasma</t>
  </si>
  <si>
    <t>Theta</t>
  </si>
  <si>
    <t>4.8E-43*Zeff*xne^2*(1+alpha_N)^2*Temp0^0.5*(1+alpha_T)^0.5*(2*PI()^2*R0^3*e^2*kappa)/(1+2*alpha_N+(alpha_T/2))</t>
  </si>
  <si>
    <t>difcalc (frad)</t>
  </si>
  <si>
    <t>Min P_elec</t>
  </si>
  <si>
    <t>frad_core_limit</t>
  </si>
  <si>
    <t>g/day</t>
  </si>
  <si>
    <t>T consumption rate</t>
  </si>
  <si>
    <t>fH20</t>
  </si>
  <si>
    <t>outer half height</t>
  </si>
  <si>
    <t>MJ</t>
  </si>
  <si>
    <t>T (R0=1.0)</t>
  </si>
  <si>
    <t>T (R0=1.1)</t>
  </si>
  <si>
    <t>T (R0=1.2)</t>
  </si>
  <si>
    <t>$M_elec (R0=1.0)</t>
  </si>
  <si>
    <t>$M_elec (R0=1.1)</t>
  </si>
  <si>
    <t>$M_elec (R0=1.2)</t>
  </si>
  <si>
    <t>Beta_N_thermal_ions</t>
  </si>
  <si>
    <t>Beta_N_thermal_electrons</t>
  </si>
  <si>
    <t>Mode</t>
  </si>
  <si>
    <t>fPauxi</t>
  </si>
  <si>
    <t>alpha_Ti</t>
  </si>
  <si>
    <t>alpha_Te</t>
  </si>
  <si>
    <t>P_alpha_Target[MW]</t>
  </si>
  <si>
    <t>P_alpha_Thermal[MW]</t>
  </si>
  <si>
    <t>P_alpha_Tc[MW]</t>
  </si>
  <si>
    <t>ne_20</t>
  </si>
  <si>
    <t>E_nbi_max</t>
  </si>
  <si>
    <t>Pi_input[MW]</t>
  </si>
  <si>
    <t>P_alpha</t>
  </si>
  <si>
    <t>fradcalc</t>
  </si>
  <si>
    <t>HH</t>
  </si>
  <si>
    <t>dZ port min</t>
  </si>
  <si>
    <t>Sigmax[MPa]</t>
  </si>
  <si>
    <t>∆Ztf middle[m]</t>
  </si>
  <si>
    <t>∆Ztf end[m]</t>
  </si>
  <si>
    <t>P_tf_inner[MW]</t>
  </si>
  <si>
    <t>P_tf_outer[MW]</t>
  </si>
  <si>
    <t>Density Al</t>
  </si>
  <si>
    <t>Mass vert</t>
  </si>
  <si>
    <t>kg/m^3</t>
  </si>
  <si>
    <t>∑Mass</t>
  </si>
  <si>
    <t>kBS(A)</t>
  </si>
  <si>
    <t>Hcordy*P_alpha*(1+5/Q-frad)/Wtot*Tau_e</t>
  </si>
  <si>
    <t>P_alpha*5/Q</t>
  </si>
  <si>
    <t>Eta_neo</t>
  </si>
  <si>
    <t>rinner1</t>
  </si>
  <si>
    <t>P_Brem</t>
  </si>
  <si>
    <t>mu0</t>
  </si>
  <si>
    <t>e</t>
  </si>
  <si>
    <t>nrdiv</t>
  </si>
  <si>
    <t>dr</t>
  </si>
  <si>
    <t>Tikev</t>
  </si>
  <si>
    <t>Rend/Rmiddle</t>
  </si>
  <si>
    <t>((Beta_N*Ip*Bt)/(R0*e*2*mu0)*(1+alpha_N+alpha_T)/((1+alpha_N)*xnTotal*1.6e-16))</t>
  </si>
  <si>
    <t>atom/mole</t>
  </si>
  <si>
    <t>gram/atom</t>
  </si>
  <si>
    <t>Weight per T atom</t>
  </si>
  <si>
    <t>Beta_T_thermal</t>
  </si>
  <si>
    <t>Beta_T_alpha</t>
  </si>
  <si>
    <t>Beta_T_nbi</t>
  </si>
  <si>
    <t>Beta_T_total</t>
  </si>
  <si>
    <t>Qtc</t>
  </si>
  <si>
    <t>alpha_nbi</t>
  </si>
  <si>
    <t>alpha_T(A)</t>
  </si>
  <si>
    <t>Section</t>
  </si>
  <si>
    <t>Z(m)</t>
  </si>
  <si>
    <t>dR(m)</t>
  </si>
  <si>
    <t>dZ(m)</t>
  </si>
  <si>
    <t>TF Midplane</t>
  </si>
  <si>
    <t>TF End</t>
  </si>
  <si>
    <t>PF1</t>
  </si>
  <si>
    <t xml:space="preserve">Z       </t>
  </si>
  <si>
    <t>(B41-0.5)*dr</t>
  </si>
  <si>
    <t>∑P_tf</t>
  </si>
  <si>
    <t>P_tf_outer</t>
  </si>
  <si>
    <t>A/m^2</t>
  </si>
  <si>
    <t>m^2</t>
  </si>
  <si>
    <t>R_horizon_avg</t>
  </si>
  <si>
    <t>Thk_horizon</t>
  </si>
  <si>
    <t>Thk_vert</t>
  </si>
  <si>
    <t>R_vert</t>
  </si>
  <si>
    <t>∑P_elec input[MW]</t>
  </si>
  <si>
    <t>P_net elec[MW]</t>
  </si>
  <si>
    <t>N_flux[1/sec]</t>
  </si>
  <si>
    <t>T fueling rate[gm/day]</t>
  </si>
  <si>
    <t>T breeding rate[gm/day]</t>
  </si>
  <si>
    <t>Op Days/year[days]</t>
  </si>
  <si>
    <t>T fueling rate[kG/yr]</t>
  </si>
  <si>
    <t>DensH20</t>
  </si>
  <si>
    <t>TconH20</t>
  </si>
  <si>
    <t>PrandtLH20</t>
  </si>
  <si>
    <t>CSACu</t>
  </si>
  <si>
    <t>Mass PF[kG]</t>
  </si>
  <si>
    <t>PF width[m]</t>
  </si>
  <si>
    <t>PF height[m]</t>
  </si>
  <si>
    <t>P_pf[MW]</t>
  </si>
  <si>
    <t>Effective Blanket Area Lost</t>
  </si>
  <si>
    <t>(xnDT+4*xnHe+Zimp^2*fimp*xne)/xne</t>
  </si>
  <si>
    <t>Beta_N(A) Stambaugh</t>
  </si>
  <si>
    <t>Beta_N_Limit</t>
  </si>
  <si>
    <t>%IACS</t>
  </si>
  <si>
    <t>∆Rrad</t>
  </si>
  <si>
    <t>Divertor Power Recovery?</t>
  </si>
  <si>
    <t>Tau_e*HH</t>
  </si>
  <si>
    <t>Ptotal</t>
  </si>
  <si>
    <t>∆TH20</t>
  </si>
  <si>
    <t>TH20in</t>
  </si>
  <si>
    <t>Q_div w/o enhanced core rad[MW/m^2]</t>
  </si>
  <si>
    <t>Q_div[MW/m^2]</t>
  </si>
  <si>
    <t>P_sol_actual[MW]</t>
  </si>
  <si>
    <t>P_rad_core[MW]</t>
  </si>
  <si>
    <t>A_plasma[m^2]</t>
  </si>
  <si>
    <t>A_fw[m^2]</t>
  </si>
  <si>
    <t>P_fw[MW]</t>
  </si>
  <si>
    <t>Q_fw[MW/m^2]</t>
  </si>
  <si>
    <t>Xnwall[MW/m^2]</t>
  </si>
  <si>
    <t>MeV/atom</t>
  </si>
  <si>
    <t>Joule/atom</t>
  </si>
  <si>
    <t>Yield</t>
  </si>
  <si>
    <t>Joule/gram</t>
  </si>
  <si>
    <t>MJ/kG</t>
  </si>
  <si>
    <t>MW-day/kG</t>
  </si>
  <si>
    <t>A_cyl_blanket</t>
  </si>
  <si>
    <t>HH=1.0</t>
  </si>
  <si>
    <t>HH=1.8</t>
  </si>
  <si>
    <t>HH=1.6</t>
  </si>
  <si>
    <t>HH_98</t>
  </si>
  <si>
    <t>T consumption</t>
  </si>
  <si>
    <t>R(m)</t>
  </si>
  <si>
    <t>fBS Limit</t>
  </si>
  <si>
    <t>P_tc</t>
  </si>
  <si>
    <t>fTC</t>
  </si>
  <si>
    <t>Temp0 Limit</t>
  </si>
  <si>
    <t>P_nbi</t>
  </si>
  <si>
    <t>keV</t>
  </si>
  <si>
    <t>J_nbi</t>
  </si>
  <si>
    <t>#NBI Port</t>
  </si>
  <si>
    <t>B'</t>
  </si>
  <si>
    <t>∑B'*A</t>
  </si>
  <si>
    <t>T (CTF)</t>
  </si>
  <si>
    <t>T (CANDU)</t>
  </si>
  <si>
    <t>T (ITER)</t>
  </si>
  <si>
    <t>∑T</t>
  </si>
  <si>
    <t>(Error)^2</t>
  </si>
  <si>
    <t>Port Height (delta Z)[m]</t>
  </si>
  <si>
    <t>Available TM Area [m]</t>
  </si>
  <si>
    <t>(Rpf-R0)/a</t>
  </si>
  <si>
    <t>Ipf/Ip</t>
  </si>
  <si>
    <t>T Breeding rate[kG/yr]</t>
  </si>
  <si>
    <t>Demand Cost[$/kw-month]</t>
  </si>
  <si>
    <t>Energy Cost[$/kw-hr]</t>
  </si>
  <si>
    <t>Demand[KW]</t>
  </si>
  <si>
    <t>∑P_pf[MW]</t>
  </si>
  <si>
    <t>P_CD[MW]</t>
  </si>
  <si>
    <t>P_aux[MW]</t>
  </si>
  <si>
    <t>P_fusion[MW]</t>
  </si>
  <si>
    <t>Availability</t>
  </si>
  <si>
    <t>fPalphae</t>
  </si>
  <si>
    <t>HHi</t>
  </si>
  <si>
    <t>HHe</t>
  </si>
  <si>
    <t>KA5</t>
  </si>
  <si>
    <t>Tekev</t>
  </si>
  <si>
    <t>Qtc_400</t>
  </si>
  <si>
    <t>ane[10^19/m^3]</t>
  </si>
  <si>
    <t>xnHe[1/m^3]</t>
  </si>
  <si>
    <t>xnDT[1/m^3]</t>
  </si>
  <si>
    <t>n/s/W</t>
  </si>
  <si>
    <t>Rcenter</t>
  </si>
  <si>
    <t>Actual Test Module Area</t>
  </si>
  <si>
    <t>NBI Duct Width</t>
  </si>
  <si>
    <t>Tavge[keV]</t>
  </si>
  <si>
    <t>Temp0[keV]</t>
  </si>
  <si>
    <t>Tempavg[keV]</t>
  </si>
  <si>
    <t>Tavg_ndw[keV]</t>
  </si>
  <si>
    <t>E_nbi[keV]</t>
  </si>
  <si>
    <t>P_fusion_tc[MW]</t>
  </si>
  <si>
    <t>P_Brem[MW]</t>
  </si>
  <si>
    <t>T fueling rate</t>
  </si>
  <si>
    <t>Sigtt</t>
  </si>
  <si>
    <t>Sigzz</t>
  </si>
  <si>
    <t>SigVM</t>
  </si>
  <si>
    <t>fStress</t>
  </si>
  <si>
    <t>SigMax</t>
  </si>
  <si>
    <t>MPA</t>
  </si>
  <si>
    <t>Beta_N(A) Wong</t>
  </si>
  <si>
    <t>k1</t>
  </si>
  <si>
    <t>k2</t>
  </si>
  <si>
    <t>A_cs</t>
  </si>
  <si>
    <t>Region</t>
  </si>
  <si>
    <t>∆Z</t>
  </si>
  <si>
    <t>kappa*a</t>
  </si>
  <si>
    <t>2*pi*(R0+a)*kappa*a</t>
  </si>
  <si>
    <t>3/4/mu0*0.000001*((Beta_N*Ip*Bt)/R0/e)*vol</t>
  </si>
  <si>
    <t>P_aux/P_CD</t>
  </si>
  <si>
    <t>Available Test Module Area</t>
  </si>
  <si>
    <t>Radial Port Angle</t>
  </si>
  <si>
    <t>slope</t>
  </si>
  <si>
    <t>mid outer leg</t>
  </si>
  <si>
    <t>frad</t>
  </si>
  <si>
    <t>fN</t>
  </si>
  <si>
    <t>phi_CS</t>
  </si>
  <si>
    <t>theta_CS</t>
  </si>
  <si>
    <t>Nu_Paux</t>
  </si>
  <si>
    <t>Tau_E*HH</t>
  </si>
  <si>
    <t>fBS</t>
  </si>
  <si>
    <t>P_CD</t>
  </si>
  <si>
    <t>Eta_CD</t>
  </si>
  <si>
    <t>alpha_n(A)</t>
  </si>
  <si>
    <t>Gen Elec?</t>
  </si>
  <si>
    <t>(B51-0.5)*dr</t>
  </si>
  <si>
    <t>Qn_tm (R0=1.0)</t>
  </si>
  <si>
    <t>Qn_tm (R0=1.1)</t>
  </si>
  <si>
    <t>Qn_tm (R0=1.2)</t>
  </si>
  <si>
    <t>A_tm (R0=1.0)</t>
  </si>
  <si>
    <t>A_tm (R0=1.1)</t>
  </si>
  <si>
    <t>A_tm (R0=1.2)</t>
  </si>
  <si>
    <t>TFTR</t>
  </si>
  <si>
    <t>NBI Angle</t>
  </si>
  <si>
    <t>Area lost to NBI</t>
  </si>
  <si>
    <t>A_nbi</t>
  </si>
  <si>
    <t>(1+kappa^2*(1+2*delta^2-1.2*delta^3))/(1-e^2)^2</t>
  </si>
  <si>
    <t>DEMO</t>
  </si>
  <si>
    <t>CTF 2MW/m^2</t>
  </si>
  <si>
    <t>CTF 1MW/m^2</t>
  </si>
  <si>
    <t>dv</t>
  </si>
  <si>
    <t>rdtcgs</t>
  </si>
  <si>
    <t>exparg</t>
  </si>
  <si>
    <t>svdt</t>
  </si>
  <si>
    <t>Fcorr_nbi</t>
  </si>
  <si>
    <t>E_nbi</t>
  </si>
  <si>
    <t>Beta_N_total</t>
  </si>
  <si>
    <t>fPauxe</t>
  </si>
  <si>
    <t>fPalphai</t>
  </si>
  <si>
    <t>KA3</t>
  </si>
  <si>
    <t>A_100</t>
  </si>
  <si>
    <t>R0+a_100</t>
  </si>
  <si>
    <t>kappa*a_100</t>
  </si>
  <si>
    <t>Gamma_CD[10^20*A/W-m^2]</t>
  </si>
  <si>
    <t>Gamma_CD(&lt;Te&gt;)[10^20A/W-m^2]</t>
  </si>
  <si>
    <t>(xne*R0*Ip*(1-fBS))/1e20/Gamma_CD</t>
  </si>
  <si>
    <t>Apf[m^2]</t>
  </si>
  <si>
    <t>Tavg</t>
  </si>
  <si>
    <t>W</t>
  </si>
  <si>
    <t>Total</t>
  </si>
  <si>
    <t>Ions</t>
  </si>
  <si>
    <t>Electrons</t>
  </si>
  <si>
    <t>P_tot</t>
  </si>
  <si>
    <t>P_rad</t>
  </si>
  <si>
    <t>W/Tau_E</t>
  </si>
  <si>
    <t>HH*Tau_E</t>
  </si>
  <si>
    <t>fT</t>
  </si>
  <si>
    <t>M</t>
  </si>
  <si>
    <t>fT?</t>
  </si>
  <si>
    <t>R0+a[m]</t>
  </si>
  <si>
    <t>kappa[A]</t>
  </si>
  <si>
    <t>qcyl[A]</t>
  </si>
  <si>
    <t>Tauslow_nbi[sec]</t>
  </si>
  <si>
    <t>P_nbi_avg[MW/m^3]</t>
  </si>
  <si>
    <t>W_nbi[MJ]</t>
  </si>
  <si>
    <t>Wi[MJ]</t>
  </si>
  <si>
    <t>Tau_E_NC[sec]</t>
  </si>
  <si>
    <t>(0.525+0.5*alpha_N)*SQRT(e)*Beta_P</t>
  </si>
  <si>
    <t>Wtot/C63</t>
  </si>
  <si>
    <t>A_pfs</t>
  </si>
  <si>
    <t>A_cyl</t>
  </si>
  <si>
    <t>Res_vert</t>
  </si>
  <si>
    <t>dTheta</t>
  </si>
  <si>
    <t>a</t>
  </si>
  <si>
    <t>dens</t>
  </si>
  <si>
    <t>Cold Shield</t>
  </si>
  <si>
    <t>(B37-0.5)*dr</t>
  </si>
  <si>
    <t>Javgtf</t>
  </si>
  <si>
    <t>W_tm</t>
  </si>
  <si>
    <t>Qn_wall</t>
  </si>
  <si>
    <t>Qn_tm</t>
  </si>
  <si>
    <t>#Test Module Ports</t>
  </si>
  <si>
    <t>NWL p.u.</t>
  </si>
  <si>
    <t>NWL/Avg</t>
  </si>
  <si>
    <t>Fit</t>
  </si>
  <si>
    <t>Integral</t>
  </si>
  <si>
    <t>CY</t>
  </si>
  <si>
    <t>Yr</t>
  </si>
  <si>
    <t>W_tf</t>
  </si>
  <si>
    <t>e1</t>
  </si>
  <si>
    <t>e2</t>
  </si>
  <si>
    <t>e3</t>
  </si>
  <si>
    <t>e4</t>
  </si>
  <si>
    <t>e5</t>
  </si>
  <si>
    <t>eo2</t>
  </si>
  <si>
    <t>a1</t>
  </si>
  <si>
    <t>a2</t>
  </si>
  <si>
    <t>(B50-0.5)*dr</t>
  </si>
  <si>
    <t>A</t>
  </si>
  <si>
    <t>kappa</t>
  </si>
  <si>
    <t>delta</t>
  </si>
  <si>
    <t>REACTOR</t>
  </si>
  <si>
    <t>Target or Limit Qn</t>
  </si>
  <si>
    <t>P_net</t>
  </si>
  <si>
    <t>T (gm/day)</t>
  </si>
  <si>
    <t>fGW SCAN</t>
  </si>
  <si>
    <t>Qn_tm (fGW=0.25)</t>
  </si>
  <si>
    <t>KA4</t>
  </si>
  <si>
    <t>dZ port max</t>
  </si>
  <si>
    <t>P_elec gen</t>
  </si>
  <si>
    <t>Rfilm</t>
  </si>
  <si>
    <t>Rthermal</t>
  </si>
  <si>
    <t>Rohmic</t>
  </si>
  <si>
    <t>Pohmic</t>
  </si>
  <si>
    <t>FluxFactor</t>
  </si>
  <si>
    <t>Qn_tm (fGW=0.5)</t>
  </si>
  <si>
    <t>Qn_tm (fGW=0.75)</t>
  </si>
  <si>
    <t>Qn_tm (fGW=1.0)</t>
  </si>
  <si>
    <t>Beta_N/Beta_N(A)</t>
  </si>
  <si>
    <t>Q_elec</t>
  </si>
  <si>
    <t>Itf</t>
  </si>
  <si>
    <t>Rho_outer</t>
  </si>
  <si>
    <t>frad_core</t>
  </si>
  <si>
    <t>pnbi</t>
  </si>
  <si>
    <t>Qnbi0</t>
  </si>
  <si>
    <t>Ip Limit</t>
  </si>
  <si>
    <t>PF3</t>
  </si>
  <si>
    <t>peaking factor</t>
  </si>
  <si>
    <t>R plasma midplane outboard edge</t>
  </si>
  <si>
    <t>Tangency Radius</t>
  </si>
  <si>
    <t>Tangency Angle</t>
  </si>
  <si>
    <t>I_nbi</t>
  </si>
  <si>
    <t>Nmodule</t>
  </si>
  <si>
    <t>Npassage/module</t>
  </si>
  <si>
    <t>Pmodule</t>
  </si>
  <si>
    <t>Backplate thickness</t>
  </si>
  <si>
    <t>(B49-0.5)*dr</t>
  </si>
  <si>
    <t>(1+kappa^2)</t>
  </si>
  <si>
    <t>qMHD*s/sMHD</t>
  </si>
  <si>
    <t>Ip*Beta_N/R0/e/Bt</t>
  </si>
  <si>
    <t>Q_fw_limit</t>
  </si>
  <si>
    <t>P_th_blanket[MW]</t>
  </si>
  <si>
    <t>P_th_divertor[MW]</t>
  </si>
  <si>
    <t>P_th_rec[MW]</t>
  </si>
  <si>
    <t>P_elec gen[MW]</t>
  </si>
  <si>
    <t>P_bop[MW]</t>
  </si>
  <si>
    <t>P_aux_input[MW]</t>
  </si>
  <si>
    <t>(B52-0.5)*dr</t>
  </si>
  <si>
    <t>(B53-0.5)*dr</t>
  </si>
  <si>
    <t>JT60</t>
  </si>
  <si>
    <t>∆Zcenter</t>
  </si>
  <si>
    <t>xnDT*(((1+fimp)/(1-Zimp*fimp))+1)+xnHe*(2*((1+fimp)/(1-Zimp*fimp))+1)</t>
  </si>
  <si>
    <t>Inductance</t>
  </si>
  <si>
    <t>ViscH20</t>
  </si>
  <si>
    <t>KA20</t>
  </si>
  <si>
    <t>KA21</t>
  </si>
  <si>
    <t>KA30</t>
  </si>
  <si>
    <t>KA31</t>
  </si>
  <si>
    <t>KA40</t>
  </si>
  <si>
    <t>KA41</t>
  </si>
  <si>
    <t>KA50</t>
  </si>
  <si>
    <t>KA51</t>
  </si>
  <si>
    <t>KA0</t>
  </si>
  <si>
    <t>KA1</t>
  </si>
  <si>
    <t>KA2</t>
  </si>
  <si>
    <t>ARIES</t>
  </si>
  <si>
    <t>2*PI()^2*R0^3*e^2*kappa</t>
  </si>
  <si>
    <t xml:space="preserve"> Rminor</t>
  </si>
  <si>
    <t>Xnwall</t>
  </si>
  <si>
    <t>qcyl/qcyl(A)</t>
  </si>
  <si>
    <t>Zimp</t>
  </si>
  <si>
    <t>fimp</t>
  </si>
  <si>
    <t>Tempavg</t>
  </si>
  <si>
    <t>Fprof_nbi</t>
  </si>
  <si>
    <t>Angled</t>
  </si>
  <si>
    <t>Annual Elec Cost</t>
  </si>
  <si>
    <t>Culham</t>
  </si>
  <si>
    <t>Inductive</t>
  </si>
  <si>
    <t>∑</t>
  </si>
  <si>
    <t>Max-&gt;</t>
  </si>
  <si>
    <t>Npassage/Area</t>
  </si>
  <si>
    <t>Passage/Area</t>
  </si>
  <si>
    <t>ARIES-ST</t>
  </si>
  <si>
    <t>Prospective Blanket Area</t>
  </si>
  <si>
    <t>k1*a</t>
  </si>
  <si>
    <t>Weighted NBI Area Lost</t>
  </si>
  <si>
    <t>WPPassage</t>
  </si>
  <si>
    <t>Wet Area</t>
  </si>
  <si>
    <t>Rmassflow</t>
  </si>
  <si>
    <t>SHH20</t>
  </si>
  <si>
    <t>T (Other)</t>
  </si>
  <si>
    <t>Half-life</t>
  </si>
  <si>
    <t>yrs</t>
  </si>
  <si>
    <t>Tau</t>
  </si>
  <si>
    <t>T (Decay)</t>
  </si>
  <si>
    <t>ITER Start</t>
  </si>
  <si>
    <t>CTF Start</t>
  </si>
  <si>
    <t>DEMO Start</t>
  </si>
  <si>
    <t>CTF Phase 1</t>
  </si>
  <si>
    <t>CTF Phase 2</t>
  </si>
  <si>
    <t>fBR</t>
  </si>
  <si>
    <t>P_ie</t>
  </si>
  <si>
    <t>Actual Test Module Ports</t>
  </si>
  <si>
    <t>Port Height (delta Z)</t>
  </si>
  <si>
    <t>Years to Complete</t>
  </si>
  <si>
    <t>kg/yr</t>
  </si>
  <si>
    <t>ITER/CTF Shutdwon</t>
  </si>
  <si>
    <t>kg</t>
  </si>
  <si>
    <t>(kg/yr)</t>
  </si>
  <si>
    <t>(kG)</t>
  </si>
  <si>
    <t>Qn_wall[MW/m^2]</t>
  </si>
  <si>
    <t>Qn_tm[MW/m^2]</t>
  </si>
  <si>
    <t>Qn_om[MW/m^2]</t>
  </si>
  <si>
    <t>P_loss[MW]</t>
  </si>
  <si>
    <t>Tau_J[sec]</t>
  </si>
  <si>
    <t>Bt</t>
  </si>
  <si>
    <t>Beta_N</t>
  </si>
  <si>
    <t>Beta_P</t>
  </si>
  <si>
    <t>fGW</t>
  </si>
  <si>
    <t>xne</t>
  </si>
  <si>
    <t>dZ port/dZ plas</t>
  </si>
  <si>
    <t>W/DT reaction</t>
  </si>
  <si>
    <t>Atomic Weight T</t>
  </si>
  <si>
    <t>gram/mole</t>
  </si>
  <si>
    <t>MW-yr/m^2</t>
  </si>
  <si>
    <t>Ω-m</t>
  </si>
  <si>
    <t>R_horizon</t>
  </si>
  <si>
    <t>Ω</t>
  </si>
  <si>
    <t>∑R_outer</t>
  </si>
  <si>
    <t>MW</t>
  </si>
  <si>
    <t>Z_vert</t>
  </si>
  <si>
    <t>Area Requirement</t>
  </si>
  <si>
    <t>Actual Test Module Weighted Area</t>
  </si>
  <si>
    <t>(B54-0.5)*dr</t>
  </si>
  <si>
    <t>Beta_N_alpha</t>
  </si>
  <si>
    <t>R0*e/nrdiv</t>
  </si>
  <si>
    <t>(B36-0.5)*dr</t>
  </si>
  <si>
    <t>Nu_PF</t>
  </si>
  <si>
    <t>SC PF?</t>
  </si>
  <si>
    <t>Mass_TF_CS</t>
  </si>
  <si>
    <t>Mass_TF_Outer</t>
  </si>
  <si>
    <t>Mass_PF_Outer</t>
  </si>
  <si>
    <t>Annual Elec Cost[$M]</t>
  </si>
  <si>
    <t>Duty Factor</t>
  </si>
  <si>
    <t>Rtan</t>
  </si>
  <si>
    <t>A_cyl_blanket[m^2]</t>
  </si>
  <si>
    <t>P_Density[MW/m^3]</t>
  </si>
  <si>
    <t>Nu_thermal</t>
  </si>
  <si>
    <t>Voltage</t>
  </si>
  <si>
    <t>Current</t>
  </si>
  <si>
    <t>Current Density</t>
  </si>
  <si>
    <t>xnTotal[1/m^3]</t>
  </si>
  <si>
    <t>xni[1/m^3]</t>
  </si>
  <si>
    <t>T0i[keV]</t>
  </si>
  <si>
    <t>Tavgi[keV]</t>
  </si>
  <si>
    <t>T0e[keV]</t>
  </si>
  <si>
    <t>A/W-m^2</t>
  </si>
  <si>
    <t>MW/m^3</t>
  </si>
  <si>
    <t>$M (30% avail)</t>
  </si>
  <si>
    <t>MW/m</t>
  </si>
  <si>
    <t>1/m^3</t>
  </si>
  <si>
    <t>HH_89</t>
  </si>
  <si>
    <t>Mass_CS</t>
  </si>
  <si>
    <t>Mass_Outer</t>
  </si>
  <si>
    <t>Mass</t>
  </si>
  <si>
    <t>P_elec_net/vol</t>
  </si>
  <si>
    <t>Q_div</t>
  </si>
  <si>
    <t>Q_fw</t>
  </si>
  <si>
    <t>No</t>
  </si>
  <si>
    <t>Operating Days</t>
  </si>
  <si>
    <t>A_div</t>
  </si>
  <si>
    <t>(B44-0.5)*dr</t>
  </si>
  <si>
    <t>Max Duct Width</t>
  </si>
  <si>
    <t>Available Test Module Ports</t>
  </si>
  <si>
    <t>Q_div_limit</t>
  </si>
  <si>
    <t>Q</t>
  </si>
  <si>
    <t>Flux</t>
  </si>
  <si>
    <t>weber/amp-turn</t>
  </si>
  <si>
    <t>Coils</t>
  </si>
  <si>
    <t>Turns</t>
  </si>
  <si>
    <t>Yes</t>
  </si>
  <si>
    <t>Tau_E*HH[sec]</t>
  </si>
  <si>
    <t>Tau_E_89[sec]</t>
  </si>
  <si>
    <t>deg</t>
  </si>
  <si>
    <t>#Add'l Non-Blanket Ports</t>
  </si>
  <si>
    <t>PF2</t>
  </si>
  <si>
    <t>FBR</t>
  </si>
  <si>
    <t>TH20max</t>
  </si>
  <si>
    <t>TCumax</t>
  </si>
  <si>
    <t>Sigmax</t>
  </si>
  <si>
    <t>qcyl</t>
  </si>
  <si>
    <t>Ip</t>
  </si>
  <si>
    <t>power</t>
  </si>
  <si>
    <t>sum</t>
  </si>
  <si>
    <t>(B46-0.5)*dr</t>
  </si>
  <si>
    <t>(B47-0.5)*dr</t>
  </si>
  <si>
    <t>(B48-0.5)*dr</t>
  </si>
  <si>
    <t>Radial Port Width</t>
  </si>
  <si>
    <t>SHCu</t>
  </si>
  <si>
    <t>difcalc(P_alpha)</t>
  </si>
  <si>
    <t>((Beta_N*Ip*Bt)/(R0*e*2*mu0)/(xnTotal*1.6e-16))</t>
  </si>
  <si>
    <t xml:space="preserve">  </t>
  </si>
  <si>
    <t>Weighted Center Stack Area Lost</t>
  </si>
  <si>
    <t>fCS</t>
  </si>
  <si>
    <t>Ti=Te?</t>
  </si>
  <si>
    <t>xnix[1/m^3]</t>
  </si>
  <si>
    <t>xnex[1/m^3]</t>
  </si>
  <si>
    <t>CSAH20</t>
  </si>
  <si>
    <t>MassCu</t>
  </si>
  <si>
    <t>Q_TC_15</t>
  </si>
  <si>
    <t>p_TC</t>
  </si>
  <si>
    <t>Power</t>
  </si>
  <si>
    <t>c</t>
  </si>
  <si>
    <t>Eb=200</t>
  </si>
  <si>
    <t>Eb=200 fit</t>
  </si>
  <si>
    <t>Eb=300</t>
  </si>
  <si>
    <t>Eb=300 fit</t>
  </si>
  <si>
    <t>Eb=400</t>
  </si>
  <si>
    <t>Eb=400 fit</t>
  </si>
  <si>
    <t>Eb=500</t>
  </si>
  <si>
    <t>Beta_N_thermal</t>
  </si>
  <si>
    <t>Target HHi</t>
  </si>
  <si>
    <t>H</t>
  </si>
  <si>
    <t>Ifraction</t>
  </si>
  <si>
    <t>frad_div_limit</t>
  </si>
  <si>
    <t>Sustained</t>
  </si>
  <si>
    <t>NSTX</t>
  </si>
  <si>
    <t>NSST</t>
  </si>
  <si>
    <t>CTF</t>
  </si>
  <si>
    <t>A=1.5</t>
  </si>
  <si>
    <t>A=2.0</t>
  </si>
  <si>
    <t>Itf[Amp]</t>
  </si>
  <si>
    <t>TH20max[degC]</t>
  </si>
  <si>
    <t>TCumax[degC]</t>
  </si>
  <si>
    <t>1.5*tpote*(Beta_N*Ip*Bt/(R0*e*2*mu0))/(3.52*1.6e-16*(1+(5/Q)-frad))</t>
  </si>
  <si>
    <t>Mass horizon</t>
  </si>
  <si>
    <t>Target HHe</t>
  </si>
  <si>
    <t>fradi</t>
  </si>
  <si>
    <t>frade</t>
  </si>
  <si>
    <t>A95</t>
  </si>
  <si>
    <t>A100</t>
  </si>
  <si>
    <t>R095</t>
  </si>
  <si>
    <t>a95</t>
  </si>
  <si>
    <t>R0100</t>
  </si>
  <si>
    <t>a100</t>
  </si>
  <si>
    <t>∆Tfilm</t>
  </si>
  <si>
    <t>Tcu</t>
  </si>
  <si>
    <t>Massflow</t>
  </si>
  <si>
    <t>(B55-0.5)*dr</t>
  </si>
  <si>
    <t>tau_p/tau_E</t>
  </si>
  <si>
    <t>P_bop</t>
  </si>
  <si>
    <t>∑P_elec input</t>
  </si>
  <si>
    <t>Tau_E_i[sec]</t>
  </si>
  <si>
    <t>We[MJ]</t>
  </si>
  <si>
    <t>Tau_E_e[sec]</t>
  </si>
  <si>
    <t>Wtot[MJ]</t>
  </si>
  <si>
    <t>Tau_E_98[sec]</t>
  </si>
  <si>
    <t>W_cs</t>
  </si>
  <si>
    <t>W_div</t>
  </si>
  <si>
    <t>W_cyl</t>
  </si>
  <si>
    <t>b</t>
  </si>
  <si>
    <t>Integral Fit</t>
  </si>
  <si>
    <t>Running Average</t>
  </si>
  <si>
    <t>Running Fit Average</t>
  </si>
  <si>
    <t>P_fusion</t>
  </si>
  <si>
    <t>frad_core_min</t>
  </si>
  <si>
    <t>Volume</t>
  </si>
  <si>
    <t>Vol H20</t>
  </si>
  <si>
    <t>tH20avg calc</t>
  </si>
  <si>
    <t>Beta_N*(mu0*1000000)*10*e*R0*Bt*s/Ip</t>
  </si>
  <si>
    <t>0.0562*Ip^0.93*R0^1.97*e^0.58*Bt^0.15*kappa*0.78*ane^0.41*2.5^0.19/(P_alpha*(1+5/Q-frad))^0.69</t>
  </si>
  <si>
    <t>Ck</t>
  </si>
  <si>
    <t>Czeff</t>
  </si>
  <si>
    <t>NuStar</t>
  </si>
  <si>
    <t>Cplat</t>
  </si>
  <si>
    <t>∆Zends</t>
  </si>
  <si>
    <t>vH20</t>
  </si>
  <si>
    <t>CSAcenter</t>
  </si>
  <si>
    <t>CSAends</t>
  </si>
  <si>
    <t>Reynolds</t>
  </si>
  <si>
    <t>Eb=500 fit</t>
  </si>
  <si>
    <t>Prior</t>
  </si>
  <si>
    <t>Fluence</t>
  </si>
  <si>
    <t>Nwall</t>
  </si>
  <si>
    <t>Years</t>
  </si>
  <si>
    <t>CTF Phase 3</t>
  </si>
  <si>
    <t>Days</t>
  </si>
  <si>
    <t>MW/m^2</t>
  </si>
  <si>
    <t>Rends</t>
  </si>
  <si>
    <t>days/year</t>
  </si>
  <si>
    <t>kG/yr</t>
  </si>
  <si>
    <t>TBR</t>
  </si>
  <si>
    <t>A=2.5</t>
  </si>
  <si>
    <t>Base</t>
  </si>
  <si>
    <t>Max</t>
  </si>
  <si>
    <t>Hi Perf</t>
  </si>
  <si>
    <t>HH=1.4</t>
  </si>
  <si>
    <t>HH=1.2</t>
  </si>
  <si>
    <t>0.5*(2+alpha_N)*xne/1e20</t>
  </si>
  <si>
    <t>fGW*Ip/(PI()*R0^2*e^2*(1+0.5*alpha_N))*1e20</t>
  </si>
  <si>
    <t>A100/A95</t>
  </si>
  <si>
    <t>mA</t>
  </si>
  <si>
    <t>bA</t>
  </si>
  <si>
    <t>Aeng</t>
  </si>
  <si>
    <t>Avg Power</t>
  </si>
  <si>
    <t>LPassage</t>
  </si>
  <si>
    <t>tH20outlet</t>
  </si>
  <si>
    <t>Sigmax Limit</t>
  </si>
  <si>
    <t>P_line</t>
  </si>
  <si>
    <t>Flux Expansion</t>
  </si>
  <si>
    <t>frad_div</t>
  </si>
  <si>
    <t>P_CD/P_aux</t>
  </si>
  <si>
    <t>Beta_T</t>
  </si>
  <si>
    <r>
      <t>Li[</t>
    </r>
    <r>
      <rPr>
        <sz val="9"/>
        <rFont val="Symbol"/>
        <family val="0"/>
      </rPr>
      <t>m</t>
    </r>
    <r>
      <rPr>
        <sz val="9"/>
        <rFont val="Geneva"/>
        <family val="0"/>
      </rPr>
      <t>H]</t>
    </r>
  </si>
  <si>
    <t>Lext[mH]</t>
  </si>
  <si>
    <t>T_flat[sec]</t>
  </si>
  <si>
    <t>P_LtoH[MW]</t>
  </si>
  <si>
    <t>gm/day</t>
  </si>
  <si>
    <t>Outboard Midplane Peaking</t>
  </si>
  <si>
    <t>fD</t>
  </si>
  <si>
    <t>Outboard SOL gap</t>
  </si>
  <si>
    <t>NBI Chord</t>
  </si>
  <si>
    <t>xne*(1-Zimp*fimp)-2*xnHe</t>
  </si>
  <si>
    <t>PI()*R0*e^2*Bt*s/qcyl/mu0/1e6</t>
  </si>
  <si>
    <t>xb0</t>
  </si>
  <si>
    <t>xb1</t>
  </si>
  <si>
    <t>xb2</t>
  </si>
  <si>
    <t>xb3</t>
  </si>
  <si>
    <t>xd0</t>
  </si>
  <si>
    <t>xd1</t>
  </si>
  <si>
    <t>xm</t>
  </si>
  <si>
    <t>xn</t>
  </si>
  <si>
    <t>Amp</t>
  </si>
  <si>
    <t>KA10</t>
  </si>
  <si>
    <t>KA11</t>
  </si>
  <si>
    <t>fpeak_fw</t>
  </si>
  <si>
    <t>k</t>
  </si>
  <si>
    <t>d</t>
  </si>
  <si>
    <t>R</t>
  </si>
  <si>
    <t>Z</t>
  </si>
  <si>
    <t>P_tf_outer/P_tf_inner</t>
  </si>
  <si>
    <t>J_vert</t>
  </si>
  <si>
    <t>A_vert</t>
  </si>
  <si>
    <t>P_Brem/P_alpha</t>
  </si>
  <si>
    <t>frad-C57</t>
  </si>
  <si>
    <t>C_ejima</t>
  </si>
  <si>
    <t>Psi_OH (axial)</t>
  </si>
  <si>
    <t>Psi_OH (Poynting)</t>
  </si>
  <si>
    <t>P_aux_input</t>
  </si>
  <si>
    <t>Fprof_alpha</t>
  </si>
  <si>
    <t>rinner2</t>
  </si>
  <si>
    <t>router1</t>
  </si>
  <si>
    <t>router2</t>
  </si>
  <si>
    <t>half height</t>
  </si>
  <si>
    <t>height</t>
  </si>
  <si>
    <t>∑P_pf</t>
  </si>
  <si>
    <t>PF aspect ratio</t>
  </si>
  <si>
    <t>#PF</t>
  </si>
  <si>
    <t>Outboard First Wall</t>
  </si>
  <si>
    <t>Blanket</t>
  </si>
  <si>
    <t>Hot Shield</t>
  </si>
  <si>
    <t>fBOP</t>
  </si>
  <si>
    <t>fP</t>
  </si>
  <si>
    <t>fGW Limit</t>
  </si>
  <si>
    <t>Culham-CTF</t>
  </si>
  <si>
    <t>VNS</t>
  </si>
  <si>
    <t>a3</t>
  </si>
  <si>
    <t>a4</t>
  </si>
  <si>
    <t>ls</t>
  </si>
  <si>
    <t>m</t>
  </si>
  <si>
    <t>TCumax Limit</t>
  </si>
  <si>
    <t>Net Elec w/</t>
  </si>
  <si>
    <t>SC PF Coils</t>
  </si>
  <si>
    <t>deg C</t>
  </si>
  <si>
    <t>MA</t>
  </si>
  <si>
    <t>2*pi*(R0+aeng)*kappa*aeng</t>
  </si>
  <si>
    <t>4*PI()*0.0000001</t>
  </si>
  <si>
    <t>1/A</t>
  </si>
  <si>
    <t>(B39-0.5)*dr</t>
  </si>
  <si>
    <t>(B40-0.5)*dr</t>
  </si>
  <si>
    <t>R0+a</t>
  </si>
  <si>
    <t>(B45-0.5)*dr</t>
  </si>
  <si>
    <t>$/kw-hr</t>
  </si>
  <si>
    <t>kw</t>
  </si>
  <si>
    <t>$M</t>
  </si>
  <si>
    <t>$/kw-month</t>
  </si>
  <si>
    <t>(P_aux+P_alpha)/R0</t>
  </si>
  <si>
    <t>CANDU Supply End?</t>
  </si>
  <si>
    <t>J_horizon</t>
  </si>
  <si>
    <t>A_horizon</t>
  </si>
  <si>
    <t>pf</t>
  </si>
  <si>
    <t>(B42-0.5)*dr</t>
  </si>
  <si>
    <t>(B43-0.5)*dr</t>
  </si>
  <si>
    <t>Javgtf[A/m^2]</t>
  </si>
  <si>
    <t>∆Rfw[m]</t>
  </si>
  <si>
    <t>∆Rtf[m]</t>
  </si>
  <si>
    <t>R0[m]</t>
  </si>
  <si>
    <t>Bt(J)[T]</t>
  </si>
  <si>
    <t>Bt[T]</t>
  </si>
  <si>
    <t>Z/2</t>
  </si>
  <si>
    <t>Actual dZ (clamped)</t>
  </si>
  <si>
    <t>T fueling</t>
  </si>
  <si>
    <t>∑T consumption</t>
  </si>
  <si>
    <t>Res_horizon</t>
  </si>
  <si>
    <t>BEM</t>
  </si>
  <si>
    <t>Pnuc</t>
  </si>
  <si>
    <t>tH20inlet</t>
  </si>
  <si>
    <t>tH20max</t>
  </si>
  <si>
    <t>tH20avg</t>
  </si>
  <si>
    <t>FlowH20</t>
  </si>
  <si>
    <t>T</t>
  </si>
  <si>
    <t>Beta_N_beam</t>
  </si>
  <si>
    <t>HH98 (global)</t>
  </si>
  <si>
    <t>Net T consumption rate[kG/yr]</t>
  </si>
  <si>
    <t>Net T consumption rate[gm/day]</t>
  </si>
  <si>
    <t>Normalized port height (+/-Z)</t>
  </si>
  <si>
    <t>Area</t>
  </si>
  <si>
    <t>DensCu</t>
  </si>
  <si>
    <t>sMHD</t>
  </si>
  <si>
    <t>s</t>
  </si>
  <si>
    <t>qMHD</t>
  </si>
  <si>
    <t>Weighted Area lost to Add'l Radial Ports</t>
  </si>
  <si>
    <t>Weighted Divertor Area Lost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</si>
</sst>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E+00"/>
    <numFmt numFmtId="168" formatCode="m/d/yyyy"/>
    <numFmt numFmtId="169" formatCode="0.000000"/>
    <numFmt numFmtId="170" formatCode="0.0000"/>
    <numFmt numFmtId="171" formatCode="0.0E+00"/>
    <numFmt numFmtId="172" formatCode="&quot;$&quot;#,##0.00"/>
    <numFmt numFmtId="173" formatCode="0.00000"/>
    <numFmt numFmtId="174" formatCode="0.000%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8"/>
      <name val="Geneva"/>
      <family val="0"/>
    </font>
    <font>
      <sz val="12"/>
      <name val="Times"/>
      <family val="0"/>
    </font>
    <font>
      <sz val="9"/>
      <name val="Symbol"/>
      <family val="0"/>
    </font>
    <font>
      <sz val="4.5"/>
      <name val="Geneva"/>
      <family val="0"/>
    </font>
    <font>
      <sz val="5"/>
      <name val="Geneva"/>
      <family val="0"/>
    </font>
    <font>
      <sz val="18"/>
      <name val="Times"/>
      <family val="0"/>
    </font>
    <font>
      <sz val="12"/>
      <name val="Symbo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1" fontId="0" fillId="0" borderId="0" xfId="0" applyNumberFormat="1" applyFill="1" applyAlignment="1">
      <alignment/>
    </xf>
    <xf numFmtId="11" fontId="0" fillId="2" borderId="0" xfId="0" applyNumberFormat="1" applyFill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0" fontId="8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166" fontId="0" fillId="0" borderId="12" xfId="0" applyNumberForma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1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1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7" xfId="0" applyNumberFormat="1" applyBorder="1" applyAlignment="1">
      <alignment horizontal="centerContinuous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Continuous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7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33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22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2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11" fontId="0" fillId="0" borderId="1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centerContinuous"/>
    </xf>
    <xf numFmtId="166" fontId="0" fillId="0" borderId="1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36" xfId="0" applyNumberFormat="1" applyBorder="1" applyAlignment="1">
      <alignment/>
    </xf>
    <xf numFmtId="166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171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16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0" xfId="0" applyBorder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right"/>
    </xf>
    <xf numFmtId="167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0" fontId="0" fillId="3" borderId="0" xfId="0" applyNumberFormat="1" applyFill="1" applyAlignment="1">
      <alignment/>
    </xf>
    <xf numFmtId="166" fontId="0" fillId="0" borderId="35" xfId="0" applyNumberFormat="1" applyBorder="1" applyAlignment="1">
      <alignment/>
    </xf>
    <xf numFmtId="2" fontId="0" fillId="0" borderId="35" xfId="0" applyNumberFormat="1" applyBorder="1" applyAlignment="1">
      <alignment/>
    </xf>
    <xf numFmtId="165" fontId="0" fillId="0" borderId="35" xfId="0" applyNumberFormat="1" applyBorder="1" applyAlignment="1">
      <alignment/>
    </xf>
    <xf numFmtId="164" fontId="0" fillId="0" borderId="35" xfId="0" applyNumberFormat="1" applyBorder="1" applyAlignment="1">
      <alignment/>
    </xf>
    <xf numFmtId="171" fontId="0" fillId="0" borderId="35" xfId="0" applyNumberFormat="1" applyBorder="1" applyAlignment="1">
      <alignment/>
    </xf>
    <xf numFmtId="10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11" fontId="0" fillId="0" borderId="35" xfId="0" applyNumberFormat="1" applyBorder="1" applyAlignment="1">
      <alignment/>
    </xf>
    <xf numFmtId="2" fontId="0" fillId="2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167" fontId="0" fillId="0" borderId="0" xfId="0" applyNumberFormat="1" applyFont="1" applyAlignment="1">
      <alignment/>
    </xf>
    <xf numFmtId="0" fontId="0" fillId="2" borderId="0" xfId="0" applyFill="1" applyAlignment="1">
      <alignment horizontal="right"/>
    </xf>
    <xf numFmtId="167" fontId="0" fillId="0" borderId="0" xfId="0" applyNumberFormat="1" applyAlignment="1">
      <alignment horizontal="right"/>
    </xf>
    <xf numFmtId="166" fontId="0" fillId="2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1" fontId="0" fillId="0" borderId="0" xfId="0" applyNumberFormat="1" applyFill="1" applyAlignment="1">
      <alignment horizontal="right"/>
    </xf>
    <xf numFmtId="11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  <xf numFmtId="10" fontId="0" fillId="4" borderId="0" xfId="0" applyNumberFormat="1" applyFill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6" fontId="0" fillId="4" borderId="0" xfId="0" applyNumberForma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1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3" borderId="0" xfId="0" applyNumberFormat="1" applyFill="1" applyAlignment="1" quotePrefix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Alignment="1" quotePrefix="1">
      <alignment/>
    </xf>
    <xf numFmtId="2" fontId="0" fillId="5" borderId="0" xfId="0" applyNumberFormat="1" applyFill="1" applyAlignment="1">
      <alignment horizontal="right"/>
    </xf>
    <xf numFmtId="167" fontId="0" fillId="6" borderId="0" xfId="0" applyNumberFormat="1" applyFill="1" applyAlignment="1">
      <alignment horizontal="right"/>
    </xf>
    <xf numFmtId="166" fontId="0" fillId="6" borderId="0" xfId="0" applyNumberFormat="1" applyFill="1" applyAlignment="1">
      <alignment horizontal="right"/>
    </xf>
    <xf numFmtId="166" fontId="0" fillId="6" borderId="0" xfId="0" applyNumberFormat="1" applyFill="1" applyAlignment="1">
      <alignment/>
    </xf>
    <xf numFmtId="167" fontId="0" fillId="6" borderId="0" xfId="0" applyNumberFormat="1" applyFill="1" applyAlignment="1">
      <alignment/>
    </xf>
    <xf numFmtId="171" fontId="0" fillId="0" borderId="0" xfId="0" applyNumberFormat="1" applyAlignment="1">
      <alignment horizontal="right"/>
    </xf>
    <xf numFmtId="10" fontId="0" fillId="5" borderId="0" xfId="0" applyNumberFormat="1" applyFill="1" applyAlignment="1">
      <alignment horizontal="right"/>
    </xf>
    <xf numFmtId="174" fontId="0" fillId="5" borderId="0" xfId="0" applyNumberFormat="1" applyFill="1" applyAlignment="1">
      <alignment horizontal="right"/>
    </xf>
    <xf numFmtId="174" fontId="0" fillId="3" borderId="0" xfId="0" applyNumberFormat="1" applyFill="1" applyAlignment="1">
      <alignment/>
    </xf>
    <xf numFmtId="1" fontId="0" fillId="0" borderId="0" xfId="0" applyNumberFormat="1" applyAlignment="1" quotePrefix="1">
      <alignment/>
    </xf>
    <xf numFmtId="2" fontId="0" fillId="7" borderId="41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4" borderId="0" xfId="0" applyNumberFormat="1" applyFill="1" applyBorder="1" applyAlignment="1">
      <alignment/>
    </xf>
    <xf numFmtId="17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166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 horizontal="right"/>
    </xf>
    <xf numFmtId="11" fontId="0" fillId="4" borderId="0" xfId="0" applyNumberFormat="1" applyFill="1" applyBorder="1" applyAlignment="1">
      <alignment/>
    </xf>
    <xf numFmtId="167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TF_inductance!$A$18:$A$69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TF_inductance!$B$18:$B$69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25751663"/>
        <c:axId val="30438376"/>
      </c:scatterChart>
      <c:val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8376"/>
        <c:crosses val="autoZero"/>
        <c:crossBetween val="midCat"/>
        <c:dispUnits/>
      </c:valAx>
      <c:valAx>
        <c:axId val="30438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Base!$AH$138</c:f>
              <c:strCache>
                <c:ptCount val="1"/>
                <c:pt idx="0">
                  <c:v>$M_elec (R0=1.0)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Base!$AG$139:$AG$145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Base!$AH$139:$AH$145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Base!$AI$138</c:f>
              <c:strCache>
                <c:ptCount val="1"/>
                <c:pt idx="0">
                  <c:v>$M_elec (R0=1.1)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Base!$AG$139:$AG$145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Base!$AI$139:$AI$145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Base!$AJ$138</c:f>
              <c:strCache>
                <c:ptCount val="1"/>
                <c:pt idx="0">
                  <c:v>$M_elec (R0=1.2)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Base!$AG$139:$AG$145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Base!$AJ$139:$AJ$145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  <c:max val="2"/>
          <c:min val="1.5"/>
        </c:scaling>
        <c:axPos val="b"/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crossBetween val="midCat"/>
        <c:dispUnits/>
        <c:majorUnit val="0.1"/>
      </c:valAx>
      <c:valAx>
        <c:axId val="1142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Base!$CP$114</c:f>
              <c:strCache>
                <c:ptCount val="1"/>
                <c:pt idx="0">
                  <c:v>P_net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Base!$CO$115:$CO$120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Base!$CP$115:$CP$120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5689299"/>
        <c:axId val="52768236"/>
      </c:scatterChart>
      <c:valAx>
        <c:axId val="35689299"/>
        <c:scaling>
          <c:orientation val="minMax"/>
          <c:max val="2"/>
          <c:min val="1.5"/>
        </c:scaling>
        <c:axPos val="b"/>
        <c:delete val="0"/>
        <c:numFmt formatCode="General" sourceLinked="1"/>
        <c:majorTickMark val="out"/>
        <c:minorTickMark val="none"/>
        <c:tickLblPos val="nextTo"/>
        <c:crossAx val="52768236"/>
        <c:crosses val="autoZero"/>
        <c:crossBetween val="midCat"/>
        <c:dispUnits/>
        <c:majorUnit val="0.1"/>
      </c:valAx>
      <c:valAx>
        <c:axId val="52768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Base!$CP$130</c:f>
              <c:strCache>
                <c:ptCount val="1"/>
                <c:pt idx="0">
                  <c:v>T (gm/day)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Base!$CO$131:$CO$136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Base!$CP$131:$CP$136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52077"/>
        <c:axId val="46368694"/>
      </c:scatterChart>
      <c:valAx>
        <c:axId val="5152077"/>
        <c:scaling>
          <c:orientation val="minMax"/>
          <c:max val="2"/>
          <c:min val="1.5"/>
        </c:scaling>
        <c:axPos val="b"/>
        <c:delete val="0"/>
        <c:numFmt formatCode="General" sourceLinked="1"/>
        <c:majorTickMark val="out"/>
        <c:minorTickMark val="none"/>
        <c:tickLblPos val="nextTo"/>
        <c:crossAx val="46368694"/>
        <c:crosses val="autoZero"/>
        <c:crossBetween val="midCat"/>
        <c:dispUnits/>
        <c:majorUnit val="0.1"/>
      </c:valAx>
      <c:valAx>
        <c:axId val="46368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Blanket!$K$4</c:f>
              <c:strCache>
                <c:ptCount val="1"/>
                <c:pt idx="0">
                  <c:v>NWL p.u.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Blanket!$K$5:$K$19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Blanket!$L$4</c:f>
              <c:strCache>
                <c:ptCount val="1"/>
                <c:pt idx="0">
                  <c:v>NWL/Avg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Blanket!$L$5:$L$19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Blanket!$M$4</c:f>
              <c:strCache>
                <c:ptCount val="1"/>
                <c:pt idx="0">
                  <c:v>Integral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Blanket!$M$5:$M$19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Blanket!$N$4</c:f>
              <c:strCache>
                <c:ptCount val="1"/>
                <c:pt idx="0">
                  <c:v>Running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Blanket!$N$5:$N$19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Blanket!$O$4</c:f>
              <c:strCache>
                <c:ptCount val="1"/>
                <c:pt idx="0">
                  <c:v>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Blanket!$O$5:$O$19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Blanket!$P$4</c:f>
              <c:strCache>
                <c:ptCount val="1"/>
                <c:pt idx="0">
                  <c:v>Integral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Blanket!$P$5:$P$19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Blanket!$Q$4</c:f>
              <c:strCache>
                <c:ptCount val="1"/>
                <c:pt idx="0">
                  <c:v>Running Fit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Blanket!$Q$5:$Q$19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5509929"/>
        <c:axId val="49589362"/>
      </c:scatterChart>
      <c:val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9362"/>
        <c:crosses val="autoZero"/>
        <c:crossBetween val="midCat"/>
        <c:dispUnits/>
      </c:valAx>
      <c:valAx>
        <c:axId val="4958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Gamma_CD!$B$16</c:f>
              <c:strCache>
                <c:ptCount val="1"/>
                <c:pt idx="0">
                  <c:v>Eb=200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Gamma_CD!$C$16</c:f>
              <c:strCache>
                <c:ptCount val="1"/>
                <c:pt idx="0">
                  <c:v>Eb=200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Gamma_CD!$C$17:$C$21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Gamma_CD!$D$16</c:f>
              <c:strCache>
                <c:ptCount val="1"/>
                <c:pt idx="0">
                  <c:v>Eb=300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Gamma_CD!$D$17:$D$21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Gamma_CD!$E$16</c:f>
              <c:strCache>
                <c:ptCount val="1"/>
                <c:pt idx="0">
                  <c:v>Eb=300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Gamma_CD!$E$17:$E$21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Gamma_CD!$F$16</c:f>
              <c:strCache>
                <c:ptCount val="1"/>
                <c:pt idx="0">
                  <c:v>Eb=400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Gamma_CD!$F$17:$F$21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Gamma_CD!$G$16</c:f>
              <c:strCache>
                <c:ptCount val="1"/>
                <c:pt idx="0">
                  <c:v>Eb=400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Gamma_CD!$G$17:$G$21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Gamma_CD!$H$16</c:f>
              <c:strCache>
                <c:ptCount val="1"/>
                <c:pt idx="0">
                  <c:v>Eb=500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Gamma_CD!$H$17:$H$21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Gamma_CD!$I$16</c:f>
              <c:strCache>
                <c:ptCount val="1"/>
                <c:pt idx="0">
                  <c:v>Eb=500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Gamma_CD!$I$17:$I$21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Gamma_CD!$J$16</c:f>
              <c:strCache>
                <c:ptCount val="1"/>
                <c:pt idx="0">
                  <c:v>Prior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Gamma_CD!$A$17:$A$21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Gamma_CD!$J$17:$J$21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3651075"/>
        <c:axId val="57315356"/>
      </c:scatterChart>
      <c:valAx>
        <c:axId val="43651075"/>
        <c:scaling>
          <c:orientation val="minMax"/>
          <c:max val="16"/>
          <c:min val="8"/>
        </c:scaling>
        <c:axPos val="b"/>
        <c:delete val="0"/>
        <c:numFmt formatCode="General" sourceLinked="1"/>
        <c:majorTickMark val="out"/>
        <c:minorTickMark val="none"/>
        <c:tickLblPos val="nextTo"/>
        <c:crossAx val="57315356"/>
        <c:crosses val="autoZero"/>
        <c:crossBetween val="midCat"/>
        <c:dispUnits/>
      </c:valAx>
      <c:valAx>
        <c:axId val="57315356"/>
        <c:scaling>
          <c:orientation val="minMax"/>
          <c:max val="0.45"/>
          <c:min val="0.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51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Tritium!$I$17:$I$18</c:f>
              <c:strCache>
                <c:ptCount val="1"/>
                <c:pt idx="0">
                  <c:v>∑T (kG)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Tritium!$C$19:$C$53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Tritium!$I$19:$I$53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46076157"/>
        <c:axId val="12032230"/>
      </c:scatterChart>
      <c:valAx>
        <c:axId val="46076157"/>
        <c:scaling>
          <c:orientation val="minMax"/>
          <c:max val="2036"/>
          <c:min val="2002"/>
        </c:scaling>
        <c:axPos val="b"/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crossBetween val="midCat"/>
        <c:dispUnits/>
      </c:valAx>
      <c:valAx>
        <c:axId val="12032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strRef>
              <c:f>Tritium!$D$17:$D$18</c:f>
              <c:strCache>
                <c:ptCount val="1"/>
                <c:pt idx="0">
                  <c:v>T (CANDU)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Tritium!$C$19:$C$53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Tritium!$D$19:$D$53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Tritium!$E$17:$E$18</c:f>
              <c:strCache>
                <c:ptCount val="1"/>
                <c:pt idx="0">
                  <c:v>T (ITER)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Tritium!$C$19:$C$53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Tritium!$E$19:$E$53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Tritium!$F$17:$F$18</c:f>
              <c:strCache>
                <c:ptCount val="1"/>
                <c:pt idx="0">
                  <c:v>T (CTF)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Tritium!$C$19:$C$53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Tritium!$F$19:$F$53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Tritium!$G$17:$G$18</c:f>
              <c:strCache>
                <c:ptCount val="1"/>
                <c:pt idx="0">
                  <c:v>T (Other)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Tritium!$C$19:$C$53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Tritium!$G$19:$G$53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Tritium!$H$17:$H$18</c:f>
              <c:strCache>
                <c:ptCount val="1"/>
                <c:pt idx="0">
                  <c:v>T (Decay)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Tritium!$C$19:$C$53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Tritium!$H$19:$H$53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41181207"/>
        <c:axId val="35086544"/>
      </c:scatterChart>
      <c:valAx>
        <c:axId val="41181207"/>
        <c:scaling>
          <c:orientation val="minMax"/>
          <c:max val="2036"/>
          <c:min val="2002"/>
        </c:scaling>
        <c:axPos val="b"/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crossBetween val="midCat"/>
        <c:dispUnits/>
      </c:valAx>
      <c:valAx>
        <c:axId val="35086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Fraction of Neutrons Intercepted by Center Stack vs. A vs. kappa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k=3.0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Base!$J$249:$J$266</c:f>
              <c:numCache/>
            </c:numRef>
          </c:xVal>
          <c:yVal>
            <c:numRef>
              <c:f>Base!$K$249:$K$266</c:f>
              <c:numCache/>
            </c:numRef>
          </c:yVal>
          <c:smooth val="1"/>
        </c:ser>
        <c:ser>
          <c:idx val="1"/>
          <c:order val="1"/>
          <c:tx>
            <c:v>k=3.2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Base!$J$249:$J$266</c:f>
              <c:numCache/>
            </c:numRef>
          </c:xVal>
          <c:yVal>
            <c:numRef>
              <c:f>Base!$L$249:$L$266</c:f>
              <c:numCache/>
            </c:numRef>
          </c:yVal>
          <c:smooth val="1"/>
        </c:ser>
        <c:ser>
          <c:idx val="2"/>
          <c:order val="2"/>
          <c:tx>
            <c:v>k=3.4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Base!$J$249:$J$266</c:f>
              <c:numCache/>
            </c:numRef>
          </c:xVal>
          <c:yVal>
            <c:numRef>
              <c:f>Base!$M$249:$M$266</c:f>
              <c:numCache/>
            </c:numRef>
          </c:yVal>
          <c:smooth val="1"/>
        </c:ser>
        <c:ser>
          <c:idx val="3"/>
          <c:order val="3"/>
          <c:tx>
            <c:v>k=3.6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Base!$J$249:$J$266</c:f>
              <c:numCache/>
            </c:numRef>
          </c:xVal>
          <c:yVal>
            <c:numRef>
              <c:f>Base!$N$249:$N$266</c:f>
              <c:numCache/>
            </c:numRef>
          </c:yVal>
          <c:smooth val="1"/>
        </c:ser>
        <c:ser>
          <c:idx val="4"/>
          <c:order val="4"/>
          <c:tx>
            <c:v>k=3.8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Base!$J$249:$J$266</c:f>
              <c:numCache/>
            </c:numRef>
          </c:xVal>
          <c:yVal>
            <c:numRef>
              <c:f>Base!$O$249:$O$266</c:f>
              <c:numCache/>
            </c:numRef>
          </c:yVal>
          <c:smooth val="1"/>
        </c:ser>
        <c:ser>
          <c:idx val="5"/>
          <c:order val="5"/>
          <c:tx>
            <c:v>k=4.0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Base!$J$249:$J$266</c:f>
              <c:numCache/>
            </c:numRef>
          </c:xVal>
          <c:yVal>
            <c:numRef>
              <c:f>Base!$P$249:$P$266</c:f>
              <c:numCache/>
            </c:numRef>
          </c:yVal>
          <c:smooth val="1"/>
        </c:ser>
        <c:axId val="47343441"/>
        <c:axId val="23437786"/>
      </c:scatterChart>
      <c:valAx>
        <c:axId val="47343441"/>
        <c:scaling>
          <c:orientation val="minMax"/>
          <c:max val="2.5"/>
          <c:min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437786"/>
        <c:crosses val="autoZero"/>
        <c:crossBetween val="midCat"/>
        <c:dispUnits/>
        <c:majorUnit val="0.1"/>
        <c:minorUnit val="0.1"/>
      </c:valAx>
      <c:valAx>
        <c:axId val="23437786"/>
        <c:scaling>
          <c:orientation val="minMax"/>
          <c:max val="0.2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fN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343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Base!$AH$122</c:f>
              <c:strCache>
                <c:ptCount val="1"/>
                <c:pt idx="0">
                  <c:v>A_tm (R0=1.0)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Base!$AG$123:$AG$128</c:f>
            </c:numRef>
          </c:xVal>
          <c:yVal>
            <c:numRef>
              <c:f>Base!$AH$123:$AH$128</c:f>
            </c:numRef>
          </c:yVal>
          <c:smooth val="0"/>
        </c:ser>
        <c:ser>
          <c:idx val="1"/>
          <c:order val="1"/>
          <c:tx>
            <c:strRef>
              <c:f>Base!$AI$122</c:f>
              <c:strCache>
                <c:ptCount val="1"/>
                <c:pt idx="0">
                  <c:v>A_tm (R0=1.1)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Base!$AG$123:$AG$128</c:f>
            </c:numRef>
          </c:xVal>
          <c:yVal>
            <c:numRef>
              <c:f>Base!$AI$123:$AI$128</c:f>
            </c:numRef>
          </c:yVal>
          <c:smooth val="0"/>
        </c:ser>
        <c:ser>
          <c:idx val="2"/>
          <c:order val="2"/>
          <c:tx>
            <c:strRef>
              <c:f>Base!$AJ$122</c:f>
              <c:strCache>
                <c:ptCount val="1"/>
                <c:pt idx="0">
                  <c:v>A_tm (R0=1.2)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Base!$AG$123:$AG$128</c:f>
            </c:numRef>
          </c:xVal>
          <c:yVal>
            <c:numRef>
              <c:f>Base!$AJ$123:$AJ$128</c:f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crossBetween val="midCat"/>
        <c:dispUnits/>
      </c:valAx>
      <c:valAx>
        <c:axId val="1941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Base!$AH$114</c:f>
              <c:strCache>
                <c:ptCount val="1"/>
                <c:pt idx="0">
                  <c:v>Qn_tm (R0=1.0)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Base!$AG$115:$AG$120</c:f>
              <c:numCache>
                <c:ptCount val="3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</c:numCache>
            </c:numRef>
          </c:xVal>
          <c:yVal>
            <c:numRef>
              <c:f>Base!$AH$115:$AH$120</c:f>
              <c:numCache>
                <c:ptCount val="3"/>
                <c:pt idx="0">
                  <c:v>0</c:v>
                </c:pt>
                <c:pt idx="1">
                  <c:v>6.669566765615038</c:v>
                </c:pt>
                <c:pt idx="2">
                  <c:v>4.000000012391863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Base!$AI$114</c:f>
              <c:strCache>
                <c:ptCount val="1"/>
                <c:pt idx="0">
                  <c:v>Qn_tm (R0=1.1)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Base!$AG$115:$AG$120</c:f>
              <c:numCache>
                <c:ptCount val="3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</c:numCache>
            </c:numRef>
          </c:xVal>
          <c:yVal>
            <c:numRef>
              <c:f>Base!$AI$115:$AI$120</c:f>
              <c:numCache>
                <c:ptCount val="3"/>
                <c:pt idx="0">
                  <c:v>4.000000012391863</c:v>
                </c:pt>
                <c:pt idx="1">
                  <c:v>3.843864189373905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Base!$AJ$114</c:f>
              <c:strCache>
                <c:ptCount val="1"/>
                <c:pt idx="0">
                  <c:v>Qn_tm (R0=1.2)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Base!$AG$115:$AG$120</c:f>
              <c:numCache>
                <c:ptCount val="3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</c:numCache>
            </c:numRef>
          </c:xVal>
          <c:yVal>
            <c:numRef>
              <c:f>Base!$AJ$115:$AJ$120</c:f>
              <c:numCache>
                <c:ptCount val="3"/>
                <c:pt idx="0">
                  <c:v>3.9878928626852894</c:v>
                </c:pt>
                <c:pt idx="1">
                  <c:v>1.0000000000204028</c:v>
                </c:pt>
                <c:pt idx="2">
                  <c:v>0</c:v>
                </c:pt>
              </c:numCache>
            </c:numRef>
          </c:yVal>
          <c:smooth val="0"/>
        </c:ser>
        <c:axId val="40494629"/>
        <c:axId val="28907342"/>
      </c:scatterChart>
      <c:valAx>
        <c:axId val="40494629"/>
        <c:scaling>
          <c:orientation val="minMax"/>
          <c:max val="2"/>
          <c:min val="1.5"/>
        </c:scaling>
        <c:axPos val="b"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crossBetween val="midCat"/>
        <c:dispUnits/>
        <c:majorUnit val="0.1"/>
      </c:valAx>
      <c:valAx>
        <c:axId val="28907342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Base!$AH$130</c:f>
              <c:strCache>
                <c:ptCount val="1"/>
                <c:pt idx="0">
                  <c:v>T (R0=1.0)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Base!$AG$131:$AG$136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Base!$AH$131:$AH$136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Base!$AI$130</c:f>
              <c:strCache>
                <c:ptCount val="1"/>
                <c:pt idx="0">
                  <c:v>T (R0=1.1)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Base!$AG$131:$AG$136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Base!$AI$131:$AI$136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Base!$AJ$130</c:f>
              <c:strCache>
                <c:ptCount val="1"/>
                <c:pt idx="0">
                  <c:v>T (R0=1.2)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Base!$AG$131:$AG$136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Base!$AJ$131:$AJ$136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839487"/>
        <c:axId val="59793336"/>
      </c:scatterChart>
      <c:valAx>
        <c:axId val="58839487"/>
        <c:scaling>
          <c:orientation val="minMax"/>
          <c:max val="2"/>
          <c:min val="1.5"/>
        </c:scaling>
        <c:axPos val="b"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crossBetween val="midCat"/>
        <c:dispUnits/>
        <c:majorUnit val="0.1"/>
      </c:valAx>
      <c:valAx>
        <c:axId val="5979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18</xdr:row>
      <xdr:rowOff>123825</xdr:rowOff>
    </xdr:from>
    <xdr:to>
      <xdr:col>11</xdr:col>
      <xdr:colOff>104775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5581650" y="3028950"/>
        <a:ext cx="38957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19</xdr:row>
      <xdr:rowOff>133350</xdr:rowOff>
    </xdr:from>
    <xdr:to>
      <xdr:col>16</xdr:col>
      <xdr:colOff>619125</xdr:colOff>
      <xdr:row>43</xdr:row>
      <xdr:rowOff>76200</xdr:rowOff>
    </xdr:to>
    <xdr:graphicFrame>
      <xdr:nvGraphicFramePr>
        <xdr:cNvPr id="1" name="Chart 6"/>
        <xdr:cNvGraphicFramePr/>
      </xdr:nvGraphicFramePr>
      <xdr:xfrm>
        <a:off x="9782175" y="3362325"/>
        <a:ext cx="6229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4</xdr:row>
      <xdr:rowOff>95250</xdr:rowOff>
    </xdr:from>
    <xdr:to>
      <xdr:col>16</xdr:col>
      <xdr:colOff>180975</xdr:colOff>
      <xdr:row>37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742950"/>
          <a:ext cx="67056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38</xdr:row>
      <xdr:rowOff>95250</xdr:rowOff>
    </xdr:from>
    <xdr:to>
      <xdr:col>16</xdr:col>
      <xdr:colOff>352425</xdr:colOff>
      <xdr:row>71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924550"/>
          <a:ext cx="68008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15</xdr:col>
      <xdr:colOff>762000</xdr:colOff>
      <xdr:row>105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1163300"/>
          <a:ext cx="66294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22</xdr:row>
      <xdr:rowOff>142875</xdr:rowOff>
    </xdr:from>
    <xdr:to>
      <xdr:col>9</xdr:col>
      <xdr:colOff>361950</xdr:colOff>
      <xdr:row>45</xdr:row>
      <xdr:rowOff>85725</xdr:rowOff>
    </xdr:to>
    <xdr:graphicFrame>
      <xdr:nvGraphicFramePr>
        <xdr:cNvPr id="1" name="Chart 5"/>
        <xdr:cNvGraphicFramePr/>
      </xdr:nvGraphicFramePr>
      <xdr:xfrm>
        <a:off x="1781175" y="3686175"/>
        <a:ext cx="62103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0.49825</cdr:y>
    </cdr:from>
    <cdr:to>
      <cdr:x>0.50125</cdr:x>
      <cdr:y>0.49825</cdr:y>
    </cdr:to>
    <cdr:sp>
      <cdr:nvSpPr>
        <cdr:cNvPr id="1" name="Shape 1"/>
        <cdr:cNvSpPr txBox="1">
          <a:spLocks noChangeArrowheads="1"/>
        </cdr:cNvSpPr>
      </cdr:nvSpPr>
      <cdr:spPr>
        <a:xfrm>
          <a:off x="3162300" y="1714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5</xdr:row>
      <xdr:rowOff>133350</xdr:rowOff>
    </xdr:from>
    <xdr:to>
      <xdr:col>17</xdr:col>
      <xdr:colOff>333375</xdr:colOff>
      <xdr:row>29</xdr:row>
      <xdr:rowOff>76200</xdr:rowOff>
    </xdr:to>
    <xdr:graphicFrame>
      <xdr:nvGraphicFramePr>
        <xdr:cNvPr id="1" name="Shape 3"/>
        <xdr:cNvGraphicFramePr/>
      </xdr:nvGraphicFramePr>
      <xdr:xfrm>
        <a:off x="7258050" y="942975"/>
        <a:ext cx="6305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30</xdr:row>
      <xdr:rowOff>95250</xdr:rowOff>
    </xdr:from>
    <xdr:to>
      <xdr:col>17</xdr:col>
      <xdr:colOff>428625</xdr:colOff>
      <xdr:row>53</xdr:row>
      <xdr:rowOff>38100</xdr:rowOff>
    </xdr:to>
    <xdr:graphicFrame>
      <xdr:nvGraphicFramePr>
        <xdr:cNvPr id="2" name="Shape 4"/>
        <xdr:cNvGraphicFramePr/>
      </xdr:nvGraphicFramePr>
      <xdr:xfrm>
        <a:off x="7343775" y="4972050"/>
        <a:ext cx="63150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267</xdr:row>
      <xdr:rowOff>38100</xdr:rowOff>
    </xdr:from>
    <xdr:to>
      <xdr:col>14</xdr:col>
      <xdr:colOff>257175</xdr:colOff>
      <xdr:row>291</xdr:row>
      <xdr:rowOff>95250</xdr:rowOff>
    </xdr:to>
    <xdr:graphicFrame>
      <xdr:nvGraphicFramePr>
        <xdr:cNvPr id="1" name="Chart 16"/>
        <xdr:cNvGraphicFramePr/>
      </xdr:nvGraphicFramePr>
      <xdr:xfrm>
        <a:off x="5772150" y="38147625"/>
        <a:ext cx="6362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295275</xdr:colOff>
      <xdr:row>116</xdr:row>
      <xdr:rowOff>66675</xdr:rowOff>
    </xdr:from>
    <xdr:to>
      <xdr:col>33</xdr:col>
      <xdr:colOff>771525</xdr:colOff>
      <xdr:row>138</xdr:row>
      <xdr:rowOff>38100</xdr:rowOff>
    </xdr:to>
    <xdr:graphicFrame>
      <xdr:nvGraphicFramePr>
        <xdr:cNvPr id="2" name="Chart 161"/>
        <xdr:cNvGraphicFramePr/>
      </xdr:nvGraphicFramePr>
      <xdr:xfrm>
        <a:off x="21240750" y="18849975"/>
        <a:ext cx="52101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122</xdr:row>
      <xdr:rowOff>95250</xdr:rowOff>
    </xdr:from>
    <xdr:to>
      <xdr:col>29</xdr:col>
      <xdr:colOff>123825</xdr:colOff>
      <xdr:row>144</xdr:row>
      <xdr:rowOff>47625</xdr:rowOff>
    </xdr:to>
    <xdr:graphicFrame>
      <xdr:nvGraphicFramePr>
        <xdr:cNvPr id="3" name="Chart 164"/>
        <xdr:cNvGraphicFramePr/>
      </xdr:nvGraphicFramePr>
      <xdr:xfrm>
        <a:off x="17278350" y="18945225"/>
        <a:ext cx="46291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409575</xdr:colOff>
      <xdr:row>134</xdr:row>
      <xdr:rowOff>114300</xdr:rowOff>
    </xdr:from>
    <xdr:to>
      <xdr:col>47</xdr:col>
      <xdr:colOff>800100</xdr:colOff>
      <xdr:row>180</xdr:row>
      <xdr:rowOff>66675</xdr:rowOff>
    </xdr:to>
    <xdr:graphicFrame>
      <xdr:nvGraphicFramePr>
        <xdr:cNvPr id="4" name="Chart 167"/>
        <xdr:cNvGraphicFramePr/>
      </xdr:nvGraphicFramePr>
      <xdr:xfrm>
        <a:off x="31765875" y="20031075"/>
        <a:ext cx="4657725" cy="740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619125</xdr:colOff>
      <xdr:row>115</xdr:row>
      <xdr:rowOff>76200</xdr:rowOff>
    </xdr:from>
    <xdr:to>
      <xdr:col>28</xdr:col>
      <xdr:colOff>723900</xdr:colOff>
      <xdr:row>137</xdr:row>
      <xdr:rowOff>28575</xdr:rowOff>
    </xdr:to>
    <xdr:graphicFrame>
      <xdr:nvGraphicFramePr>
        <xdr:cNvPr id="5" name="Chart 168"/>
        <xdr:cNvGraphicFramePr/>
      </xdr:nvGraphicFramePr>
      <xdr:xfrm>
        <a:off x="17030700" y="18697575"/>
        <a:ext cx="4638675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95</xdr:col>
      <xdr:colOff>180975</xdr:colOff>
      <xdr:row>105</xdr:row>
      <xdr:rowOff>38100</xdr:rowOff>
    </xdr:from>
    <xdr:to>
      <xdr:col>100</xdr:col>
      <xdr:colOff>247650</xdr:colOff>
      <xdr:row>128</xdr:row>
      <xdr:rowOff>9525</xdr:rowOff>
    </xdr:to>
    <xdr:graphicFrame>
      <xdr:nvGraphicFramePr>
        <xdr:cNvPr id="6" name="Chart 169"/>
        <xdr:cNvGraphicFramePr/>
      </xdr:nvGraphicFramePr>
      <xdr:xfrm>
        <a:off x="76371450" y="17040225"/>
        <a:ext cx="425767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95</xdr:col>
      <xdr:colOff>9525</xdr:colOff>
      <xdr:row>125</xdr:row>
      <xdr:rowOff>152400</xdr:rowOff>
    </xdr:from>
    <xdr:to>
      <xdr:col>100</xdr:col>
      <xdr:colOff>76200</xdr:colOff>
      <xdr:row>170</xdr:row>
      <xdr:rowOff>123825</xdr:rowOff>
    </xdr:to>
    <xdr:graphicFrame>
      <xdr:nvGraphicFramePr>
        <xdr:cNvPr id="7" name="Chart 170"/>
        <xdr:cNvGraphicFramePr/>
      </xdr:nvGraphicFramePr>
      <xdr:xfrm>
        <a:off x="76200000" y="18945225"/>
        <a:ext cx="4257675" cy="692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workbookViewId="0" topLeftCell="A1">
      <selection activeCell="D25" sqref="D25"/>
    </sheetView>
  </sheetViews>
  <sheetFormatPr defaultColWidth="11.00390625" defaultRowHeight="12"/>
  <sheetData>
    <row r="1" spans="1:4" ht="12.75">
      <c r="A1">
        <v>0</v>
      </c>
      <c r="B1">
        <f>(1-A1^2)^alpha_N</f>
        <v>1</v>
      </c>
      <c r="C1">
        <f>(1-A1^2)^alpha_T</f>
        <v>1</v>
      </c>
      <c r="D1">
        <v>0</v>
      </c>
    </row>
    <row r="2" spans="1:4" ht="12.75">
      <c r="A2">
        <f>A1+0.1</f>
        <v>0.1</v>
      </c>
      <c r="B2">
        <f>(1-A2^2)^alpha_N</f>
        <v>0.99899547129175</v>
      </c>
      <c r="C2">
        <f>(1-A2^2)^alpha_T</f>
        <v>0.9929894542366358</v>
      </c>
      <c r="D2">
        <f>D1+B1*C1*0.1</f>
        <v>0.1</v>
      </c>
    </row>
    <row r="3" spans="1:4" ht="12.75">
      <c r="A3">
        <f aca="true" t="shared" si="0" ref="A3:A10">A2+0.1</f>
        <v>0.2</v>
      </c>
      <c r="B3">
        <f aca="true" t="shared" si="1" ref="B3:B11">(1-A3^2)^alpha_N</f>
        <v>0.9959261213978506</v>
      </c>
      <c r="C3">
        <f aca="true" t="shared" si="2" ref="C3:C10">(1-A3^2)^alpha_T</f>
        <v>0.971829019203561</v>
      </c>
      <c r="D3">
        <f aca="true" t="shared" si="3" ref="D3:D11">D2+B2*C2*0.1</f>
        <v>0.19919919678228656</v>
      </c>
    </row>
    <row r="4" spans="1:4" ht="12.75">
      <c r="A4">
        <f t="shared" si="0"/>
        <v>0.30000000000000004</v>
      </c>
      <c r="B4">
        <f t="shared" si="1"/>
        <v>0.9906132650954108</v>
      </c>
      <c r="C4">
        <f t="shared" si="2"/>
        <v>0.9361145049580708</v>
      </c>
      <c r="D4">
        <f t="shared" si="3"/>
        <v>0.2959861873580145</v>
      </c>
    </row>
    <row r="5" spans="1:4" ht="12.75">
      <c r="A5">
        <f t="shared" si="0"/>
        <v>0.4</v>
      </c>
      <c r="B5">
        <f t="shared" si="1"/>
        <v>0.9827157772761715</v>
      </c>
      <c r="C5">
        <f t="shared" si="2"/>
        <v>0.8851064391311987</v>
      </c>
      <c r="D5">
        <f t="shared" si="3"/>
        <v>0.3887189319839834</v>
      </c>
    </row>
    <row r="6" spans="1:4" ht="12.75">
      <c r="A6">
        <f t="shared" si="0"/>
        <v>0.5</v>
      </c>
      <c r="B6">
        <f t="shared" si="1"/>
        <v>0.9716416578630735</v>
      </c>
      <c r="C6">
        <f t="shared" si="2"/>
        <v>0.8176037681770133</v>
      </c>
      <c r="D6">
        <f t="shared" si="3"/>
        <v>0.4756997382142794</v>
      </c>
    </row>
    <row r="7" spans="1:4" ht="12.75">
      <c r="A7">
        <f t="shared" si="0"/>
        <v>0.6</v>
      </c>
      <c r="B7">
        <f t="shared" si="1"/>
        <v>0.956352499790037</v>
      </c>
      <c r="C7">
        <f t="shared" si="2"/>
        <v>0.7316880830837221</v>
      </c>
      <c r="D7">
        <f t="shared" si="3"/>
        <v>0.5551415262929403</v>
      </c>
    </row>
    <row r="8" spans="1:4" ht="12.75">
      <c r="A8">
        <f t="shared" si="0"/>
        <v>0.7</v>
      </c>
      <c r="B8">
        <f t="shared" si="1"/>
        <v>0.9348824726202953</v>
      </c>
      <c r="C8">
        <f t="shared" si="2"/>
        <v>0.6241645850582236</v>
      </c>
      <c r="D8">
        <f t="shared" si="3"/>
        <v>0.6251166990253101</v>
      </c>
    </row>
    <row r="9" spans="1:4" ht="12.75">
      <c r="A9">
        <f t="shared" si="0"/>
        <v>0.7999999999999999</v>
      </c>
      <c r="B9">
        <f t="shared" si="1"/>
        <v>0.9028804514474343</v>
      </c>
      <c r="C9">
        <f t="shared" si="2"/>
        <v>0.4891158657635538</v>
      </c>
      <c r="D9">
        <f t="shared" si="3"/>
        <v>0.6834687520854353</v>
      </c>
    </row>
    <row r="10" spans="1:4" ht="12.75">
      <c r="A10">
        <f t="shared" si="0"/>
        <v>0.8999999999999999</v>
      </c>
      <c r="B10">
        <f t="shared" si="1"/>
        <v>0.8469842998552984</v>
      </c>
      <c r="C10">
        <f t="shared" si="2"/>
        <v>0.31269974037880216</v>
      </c>
      <c r="D10">
        <f t="shared" si="3"/>
        <v>0.7276300674545053</v>
      </c>
    </row>
    <row r="11" spans="1:4" ht="12.75">
      <c r="A11">
        <f>A10+0.1</f>
        <v>0.9999999999999999</v>
      </c>
      <c r="B11">
        <f t="shared" si="1"/>
        <v>0.02720470510300388</v>
      </c>
      <c r="C11">
        <f>(1-A11^2)^alpha_T</f>
        <v>1.1028289493045333E-11</v>
      </c>
      <c r="D11">
        <f t="shared" si="3"/>
        <v>0.7541152445214726</v>
      </c>
    </row>
    <row r="13" spans="1:2" ht="12.75">
      <c r="A13" t="s">
        <v>364</v>
      </c>
      <c r="B13">
        <f>1/D11</f>
        <v>1.3260572667968737</v>
      </c>
    </row>
    <row r="14" spans="1:2" ht="12.75">
      <c r="A14" t="s">
        <v>453</v>
      </c>
      <c r="B14" s="15">
        <f>(3.09+3.35/A+3.87/A^0.5)*(kappa/3)^0.5/B13^0.5/100</f>
        <v>0.07609609185720252</v>
      </c>
    </row>
    <row r="16" spans="1:2" ht="12.75">
      <c r="A16" t="s">
        <v>661</v>
      </c>
      <c r="B16">
        <v>-0.7748</v>
      </c>
    </row>
    <row r="17" spans="1:2" ht="12.75">
      <c r="A17" t="s">
        <v>662</v>
      </c>
      <c r="B17">
        <v>1.2869</v>
      </c>
    </row>
    <row r="18" spans="1:2" ht="12.75">
      <c r="A18" t="s">
        <v>663</v>
      </c>
      <c r="B18">
        <v>-0.2921</v>
      </c>
    </row>
    <row r="19" spans="1:2" ht="12.75">
      <c r="A19" t="s">
        <v>664</v>
      </c>
      <c r="B19">
        <v>0.0197</v>
      </c>
    </row>
    <row r="20" spans="1:2" ht="12.75">
      <c r="A20" t="s">
        <v>665</v>
      </c>
      <c r="B20">
        <v>1.8524</v>
      </c>
    </row>
    <row r="21" spans="1:2" ht="12.75">
      <c r="A21" t="s">
        <v>666</v>
      </c>
      <c r="B21">
        <v>0.2319</v>
      </c>
    </row>
    <row r="22" spans="1:2" ht="12.75">
      <c r="A22" t="s">
        <v>667</v>
      </c>
      <c r="B22">
        <v>0.6163</v>
      </c>
    </row>
    <row r="23" spans="1:2" ht="12.75">
      <c r="A23" t="s">
        <v>668</v>
      </c>
      <c r="B23">
        <v>0.5523</v>
      </c>
    </row>
    <row r="24" spans="1:2" ht="12.75">
      <c r="A24" t="s">
        <v>453</v>
      </c>
      <c r="B24" s="15">
        <f>(xb0+xb1*kappa+xb2*kappa^2+xb3*kappa^3)*1/(TANH((xd0+xd1*kappa)/A^xm))/A^xn/10</f>
        <v>0.08260636499921901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55"/>
  <sheetViews>
    <sheetView workbookViewId="0" topLeftCell="A1">
      <selection activeCell="D4" sqref="D4"/>
    </sheetView>
  </sheetViews>
  <sheetFormatPr defaultColWidth="11.00390625" defaultRowHeight="12"/>
  <cols>
    <col min="1" max="1" width="14.875" style="0" bestFit="1" customWidth="1"/>
    <col min="2" max="2" width="16.00390625" style="0" customWidth="1"/>
    <col min="3" max="3" width="10.375" style="0" customWidth="1"/>
    <col min="4" max="4" width="10.375" style="0" bestFit="1" customWidth="1"/>
    <col min="5" max="5" width="7.375" style="0" customWidth="1"/>
    <col min="6" max="6" width="6.875" style="0" customWidth="1"/>
    <col min="7" max="8" width="8.125" style="0" customWidth="1"/>
    <col min="9" max="9" width="8.50390625" style="0" customWidth="1"/>
    <col min="10" max="10" width="5.625" style="0" customWidth="1"/>
    <col min="16" max="16" width="11.375" style="0" customWidth="1"/>
  </cols>
  <sheetData>
    <row r="1" spans="1:4" ht="12.75">
      <c r="A1" t="s">
        <v>428</v>
      </c>
      <c r="C1" s="5">
        <v>12.3</v>
      </c>
      <c r="D1" t="s">
        <v>429</v>
      </c>
    </row>
    <row r="2" spans="1:4" ht="12.75">
      <c r="A2" t="s">
        <v>430</v>
      </c>
      <c r="C2" s="5">
        <f>-C1/LN(1/2)</f>
        <v>17.74514900293425</v>
      </c>
      <c r="D2" t="s">
        <v>429</v>
      </c>
    </row>
    <row r="3" ht="12.75">
      <c r="C3" s="5"/>
    </row>
    <row r="4" spans="1:7" ht="12.75">
      <c r="A4" s="16"/>
      <c r="B4" s="16" t="s">
        <v>435</v>
      </c>
      <c r="C4" s="21" t="s">
        <v>436</v>
      </c>
      <c r="D4" s="21" t="s">
        <v>622</v>
      </c>
      <c r="E4" s="16" t="s">
        <v>39</v>
      </c>
      <c r="F4" s="16" t="s">
        <v>415</v>
      </c>
      <c r="G4" s="16"/>
    </row>
    <row r="5" spans="1:7" ht="12.75">
      <c r="A5" s="16" t="s">
        <v>601</v>
      </c>
      <c r="B5" s="21">
        <f>Summary!L42</f>
        <v>112.43862790743978</v>
      </c>
      <c r="C5" s="21">
        <f>B5</f>
        <v>112.43862790743978</v>
      </c>
      <c r="D5" s="21">
        <f>Summary!M42</f>
        <v>562.193139537213</v>
      </c>
      <c r="E5" s="16" t="s">
        <v>466</v>
      </c>
      <c r="F5" s="16"/>
      <c r="G5" s="16"/>
    </row>
    <row r="6" spans="1:7" ht="12.75">
      <c r="A6" s="16" t="s">
        <v>620</v>
      </c>
      <c r="B6" s="21">
        <v>1</v>
      </c>
      <c r="C6" s="21">
        <v>1</v>
      </c>
      <c r="D6" s="21">
        <v>5</v>
      </c>
      <c r="E6" s="16" t="s">
        <v>624</v>
      </c>
      <c r="F6" s="16"/>
      <c r="G6" s="16"/>
    </row>
    <row r="7" spans="1:7" ht="12.75">
      <c r="A7" s="16" t="s">
        <v>738</v>
      </c>
      <c r="B7" s="21">
        <f>B5/6.54</f>
        <v>17.192450750373055</v>
      </c>
      <c r="C7" s="21">
        <f>C5/6.54</f>
        <v>17.192450750373055</v>
      </c>
      <c r="D7" s="21">
        <f>D5/6.54</f>
        <v>85.96225375186744</v>
      </c>
      <c r="E7" s="16" t="s">
        <v>654</v>
      </c>
      <c r="F7" s="16"/>
      <c r="G7" s="16"/>
    </row>
    <row r="8" spans="1:7" ht="12.75">
      <c r="A8" s="16" t="s">
        <v>437</v>
      </c>
      <c r="B8" s="21">
        <f>0</f>
        <v>0</v>
      </c>
      <c r="C8" s="21">
        <v>0.9759673208182926</v>
      </c>
      <c r="D8" s="21">
        <f>MAX(Summary!M63,C8)</f>
        <v>0.9759673208182926</v>
      </c>
      <c r="E8" s="16"/>
      <c r="F8" s="16"/>
      <c r="G8" s="16"/>
    </row>
    <row r="9" spans="1:7" ht="12.75">
      <c r="A9" s="16" t="s">
        <v>170</v>
      </c>
      <c r="B9" s="21">
        <f>B7*(1-B8)</f>
        <v>17.192450750373055</v>
      </c>
      <c r="C9" s="21">
        <f>C7*(1-C8)</f>
        <v>0.4131806532310198</v>
      </c>
      <c r="D9" s="21">
        <f>D7*(1-D8)</f>
        <v>2.065903266155151</v>
      </c>
      <c r="E9" s="16" t="s">
        <v>654</v>
      </c>
      <c r="F9" s="16"/>
      <c r="G9" s="16"/>
    </row>
    <row r="10" spans="1:7" ht="12.75">
      <c r="A10" s="16" t="s">
        <v>199</v>
      </c>
      <c r="B10" s="21">
        <v>0.3</v>
      </c>
      <c r="C10" s="21">
        <v>0.3</v>
      </c>
      <c r="D10" s="21">
        <v>0.3</v>
      </c>
      <c r="E10" s="16"/>
      <c r="F10" s="16"/>
      <c r="G10" s="16"/>
    </row>
    <row r="11" spans="1:7" ht="12.75">
      <c r="A11" s="16" t="s">
        <v>619</v>
      </c>
      <c r="B11" s="21">
        <v>0.3</v>
      </c>
      <c r="C11" s="21">
        <v>2</v>
      </c>
      <c r="D11" s="21">
        <v>5</v>
      </c>
      <c r="E11" s="16" t="s">
        <v>461</v>
      </c>
      <c r="F11" s="16"/>
      <c r="G11" s="16"/>
    </row>
    <row r="12" spans="1:7" ht="12.75">
      <c r="A12" s="16" t="s">
        <v>506</v>
      </c>
      <c r="B12" s="21">
        <f>B11/B6*365</f>
        <v>109.5</v>
      </c>
      <c r="C12" s="21">
        <f>C11/C6*365</f>
        <v>730</v>
      </c>
      <c r="D12" s="21">
        <f>D11/D6*365</f>
        <v>365</v>
      </c>
      <c r="E12" s="16" t="s">
        <v>623</v>
      </c>
      <c r="F12" s="16"/>
      <c r="G12" s="16"/>
    </row>
    <row r="13" spans="1:7" ht="12.75">
      <c r="A13" s="16" t="s">
        <v>441</v>
      </c>
      <c r="B13" s="21">
        <f>B12/B10/365</f>
        <v>1</v>
      </c>
      <c r="C13" s="21">
        <f>C12/C10/365</f>
        <v>6.666666666666667</v>
      </c>
      <c r="D13" s="21">
        <f>D12/D10/365</f>
        <v>3.3333333333333335</v>
      </c>
      <c r="E13" s="16" t="s">
        <v>621</v>
      </c>
      <c r="F13" s="21">
        <f>SUM(B13:D13)</f>
        <v>11</v>
      </c>
      <c r="G13" s="16" t="s">
        <v>621</v>
      </c>
    </row>
    <row r="14" spans="1:7" ht="12.75">
      <c r="A14" s="16" t="s">
        <v>170</v>
      </c>
      <c r="B14" s="21">
        <f>B9*B12/B13/1000</f>
        <v>1.8825733571658496</v>
      </c>
      <c r="C14" s="21">
        <f>C9*C12/C13/1000</f>
        <v>0.04524328152879667</v>
      </c>
      <c r="D14" s="21">
        <f>D9*D12/D13/1000</f>
        <v>0.22621640764398898</v>
      </c>
      <c r="E14" s="16" t="s">
        <v>442</v>
      </c>
      <c r="F14" s="16"/>
      <c r="G14" s="16"/>
    </row>
    <row r="15" spans="1:7" ht="12.75">
      <c r="A15" s="16" t="s">
        <v>739</v>
      </c>
      <c r="B15" s="38">
        <f>B13*B14</f>
        <v>1.8825733571658496</v>
      </c>
      <c r="C15" s="38">
        <f>C13*C14</f>
        <v>0.3016218768586445</v>
      </c>
      <c r="D15" s="38">
        <f>D13*D14</f>
        <v>0.75405469214663</v>
      </c>
      <c r="E15" s="16" t="s">
        <v>444</v>
      </c>
      <c r="F15" s="21">
        <f>SUM(B15:D15)</f>
        <v>2.9382499261711237</v>
      </c>
      <c r="G15" s="16" t="s">
        <v>444</v>
      </c>
    </row>
    <row r="16" ht="12.75">
      <c r="C16" s="5"/>
    </row>
    <row r="17" spans="1:9" ht="12.75">
      <c r="A17" s="16"/>
      <c r="B17" s="16" t="s">
        <v>324</v>
      </c>
      <c r="C17" s="16" t="s">
        <v>323</v>
      </c>
      <c r="D17" s="16" t="s">
        <v>183</v>
      </c>
      <c r="E17" s="16" t="s">
        <v>184</v>
      </c>
      <c r="F17" s="16" t="s">
        <v>182</v>
      </c>
      <c r="G17" s="16" t="s">
        <v>427</v>
      </c>
      <c r="H17" s="16" t="s">
        <v>431</v>
      </c>
      <c r="I17" s="16" t="s">
        <v>185</v>
      </c>
    </row>
    <row r="18" spans="1:9" ht="12.75">
      <c r="A18" s="16"/>
      <c r="B18" s="16"/>
      <c r="C18" s="16"/>
      <c r="D18" s="16" t="s">
        <v>445</v>
      </c>
      <c r="E18" s="16" t="s">
        <v>445</v>
      </c>
      <c r="F18" s="16" t="s">
        <v>445</v>
      </c>
      <c r="G18" s="16" t="s">
        <v>445</v>
      </c>
      <c r="H18" s="16" t="s">
        <v>445</v>
      </c>
      <c r="I18" s="16" t="s">
        <v>446</v>
      </c>
    </row>
    <row r="19" spans="1:9" ht="13.5" thickBot="1">
      <c r="A19" s="16"/>
      <c r="B19" s="16">
        <v>1</v>
      </c>
      <c r="C19" s="16">
        <v>2002</v>
      </c>
      <c r="D19" s="21">
        <v>2.1</v>
      </c>
      <c r="E19" s="21">
        <v>0</v>
      </c>
      <c r="F19" s="21">
        <v>0</v>
      </c>
      <c r="G19" s="21">
        <v>0.1</v>
      </c>
      <c r="H19" s="21">
        <f>MAX(15*(1-EXP(-1/Tau)),0)</f>
        <v>0.8219247946473041</v>
      </c>
      <c r="I19" s="152">
        <v>15</v>
      </c>
    </row>
    <row r="20" spans="1:9" ht="13.5" thickBot="1">
      <c r="A20" s="16"/>
      <c r="B20" s="16">
        <f>B19+1</f>
        <v>2</v>
      </c>
      <c r="C20" s="16">
        <f>C19+1</f>
        <v>2003</v>
      </c>
      <c r="D20" s="21">
        <f>D19-0.1</f>
        <v>2</v>
      </c>
      <c r="E20" s="21">
        <v>0</v>
      </c>
      <c r="F20" s="21">
        <v>0</v>
      </c>
      <c r="G20" s="21">
        <v>0.1</v>
      </c>
      <c r="H20" s="63">
        <f>MAX(I19*(1-EXP(-1/Tau)),0)</f>
        <v>0.8219247946473041</v>
      </c>
      <c r="I20" s="154">
        <v>18.5</v>
      </c>
    </row>
    <row r="21" spans="1:9" ht="12.75">
      <c r="A21" s="16"/>
      <c r="B21" s="16">
        <f aca="true" t="shared" si="0" ref="B21:B53">B20+1</f>
        <v>3</v>
      </c>
      <c r="C21" s="16">
        <f aca="true" t="shared" si="1" ref="C21:C53">C20+1</f>
        <v>2004</v>
      </c>
      <c r="D21" s="21">
        <v>1.5</v>
      </c>
      <c r="E21" s="21">
        <v>0</v>
      </c>
      <c r="F21" s="21">
        <v>0</v>
      </c>
      <c r="G21" s="21">
        <v>0.1</v>
      </c>
      <c r="H21" s="21">
        <f aca="true" t="shared" si="2" ref="H21:H53">MAX(I20*(1-EXP(-1/Tau)),0)</f>
        <v>1.013707246731675</v>
      </c>
      <c r="I21" s="153">
        <f aca="true" t="shared" si="3" ref="I21:I53">I20+D21-E20-F20-G20-H21</f>
        <v>18.886292753268325</v>
      </c>
    </row>
    <row r="22" spans="1:9" ht="12.75">
      <c r="A22" s="16"/>
      <c r="B22" s="16">
        <f t="shared" si="0"/>
        <v>4</v>
      </c>
      <c r="C22" s="16">
        <f t="shared" si="1"/>
        <v>2005</v>
      </c>
      <c r="D22" s="21">
        <v>1.5</v>
      </c>
      <c r="E22" s="21">
        <v>0</v>
      </c>
      <c r="F22" s="21">
        <v>0</v>
      </c>
      <c r="G22" s="21">
        <v>0.1</v>
      </c>
      <c r="H22" s="21">
        <f t="shared" si="2"/>
        <v>1.0348741528585956</v>
      </c>
      <c r="I22" s="21">
        <f t="shared" si="3"/>
        <v>19.25141860040973</v>
      </c>
    </row>
    <row r="23" spans="1:9" ht="12.75">
      <c r="A23" s="16"/>
      <c r="B23" s="16">
        <f t="shared" si="0"/>
        <v>5</v>
      </c>
      <c r="C23" s="16">
        <f t="shared" si="1"/>
        <v>2006</v>
      </c>
      <c r="D23" s="21">
        <v>1.5</v>
      </c>
      <c r="E23" s="21">
        <v>0</v>
      </c>
      <c r="F23" s="21">
        <v>0</v>
      </c>
      <c r="G23" s="21">
        <v>0.1</v>
      </c>
      <c r="H23" s="21">
        <f t="shared" si="2"/>
        <v>1.0548812186540704</v>
      </c>
      <c r="I23" s="21">
        <f t="shared" si="3"/>
        <v>19.596537381755656</v>
      </c>
    </row>
    <row r="24" spans="1:9" ht="12.75">
      <c r="A24" s="16"/>
      <c r="B24" s="16">
        <f t="shared" si="0"/>
        <v>6</v>
      </c>
      <c r="C24" s="16">
        <f t="shared" si="1"/>
        <v>2007</v>
      </c>
      <c r="D24" s="21">
        <v>1.5</v>
      </c>
      <c r="E24" s="21">
        <v>0</v>
      </c>
      <c r="F24" s="21">
        <v>0</v>
      </c>
      <c r="G24" s="21">
        <v>0.1</v>
      </c>
      <c r="H24" s="21">
        <f t="shared" si="2"/>
        <v>1.0737919975531824</v>
      </c>
      <c r="I24" s="21">
        <f t="shared" si="3"/>
        <v>19.92274538420247</v>
      </c>
    </row>
    <row r="25" spans="1:9" ht="12.75">
      <c r="A25" s="16"/>
      <c r="B25" s="16">
        <f t="shared" si="0"/>
        <v>7</v>
      </c>
      <c r="C25" s="16">
        <f t="shared" si="1"/>
        <v>2008</v>
      </c>
      <c r="D25" s="21">
        <v>1.5</v>
      </c>
      <c r="E25" s="21">
        <v>0</v>
      </c>
      <c r="F25" s="21">
        <v>0</v>
      </c>
      <c r="G25" s="21">
        <v>0.1</v>
      </c>
      <c r="H25" s="21">
        <f t="shared" si="2"/>
        <v>1.0916665605814093</v>
      </c>
      <c r="I25" s="21">
        <f t="shared" si="3"/>
        <v>20.23107882362106</v>
      </c>
    </row>
    <row r="26" spans="1:9" ht="12.75">
      <c r="A26" s="16"/>
      <c r="B26" s="16">
        <f t="shared" si="0"/>
        <v>8</v>
      </c>
      <c r="C26" s="16">
        <f t="shared" si="1"/>
        <v>2009</v>
      </c>
      <c r="D26" s="21">
        <v>1.5</v>
      </c>
      <c r="E26" s="21">
        <v>0</v>
      </c>
      <c r="F26" s="21">
        <v>0</v>
      </c>
      <c r="G26" s="21">
        <v>0.1</v>
      </c>
      <c r="H26" s="21">
        <f t="shared" si="2"/>
        <v>1.108561687173211</v>
      </c>
      <c r="I26" s="21">
        <f t="shared" si="3"/>
        <v>20.52251713644785</v>
      </c>
    </row>
    <row r="27" spans="1:9" ht="12.75">
      <c r="A27" s="16"/>
      <c r="B27" s="16">
        <f t="shared" si="0"/>
        <v>9</v>
      </c>
      <c r="C27" s="16">
        <f t="shared" si="1"/>
        <v>2010</v>
      </c>
      <c r="D27" s="21">
        <v>1.5</v>
      </c>
      <c r="E27" s="21">
        <v>0</v>
      </c>
      <c r="F27" s="21">
        <v>0</v>
      </c>
      <c r="G27" s="21">
        <v>0.1</v>
      </c>
      <c r="H27" s="21">
        <f t="shared" si="2"/>
        <v>1.1245310455347117</v>
      </c>
      <c r="I27" s="21">
        <f t="shared" si="3"/>
        <v>20.797986090913135</v>
      </c>
    </row>
    <row r="28" spans="1:9" ht="12.75">
      <c r="A28" s="16"/>
      <c r="B28" s="16">
        <f t="shared" si="0"/>
        <v>10</v>
      </c>
      <c r="C28" s="16">
        <f t="shared" si="1"/>
        <v>2011</v>
      </c>
      <c r="D28" s="21">
        <v>1.5</v>
      </c>
      <c r="E28" s="21">
        <v>0</v>
      </c>
      <c r="F28" s="21">
        <v>0</v>
      </c>
      <c r="G28" s="21">
        <v>0.1</v>
      </c>
      <c r="H28" s="21">
        <f t="shared" si="2"/>
        <v>1.1396253631234177</v>
      </c>
      <c r="I28" s="21">
        <f t="shared" si="3"/>
        <v>21.058360727789715</v>
      </c>
    </row>
    <row r="29" spans="1:9" ht="12.75">
      <c r="A29" s="16"/>
      <c r="B29" s="16">
        <f t="shared" si="0"/>
        <v>11</v>
      </c>
      <c r="C29" s="16">
        <f t="shared" si="1"/>
        <v>2012</v>
      </c>
      <c r="D29" s="21">
        <v>1.5</v>
      </c>
      <c r="E29" s="21">
        <v>0</v>
      </c>
      <c r="F29" s="21">
        <v>0</v>
      </c>
      <c r="G29" s="21">
        <v>0.1</v>
      </c>
      <c r="H29" s="21">
        <f t="shared" si="2"/>
        <v>1.1538925877864943</v>
      </c>
      <c r="I29" s="21">
        <f t="shared" si="3"/>
        <v>21.30446814000322</v>
      </c>
    </row>
    <row r="30" spans="1:9" ht="12.75">
      <c r="A30" s="16" t="s">
        <v>432</v>
      </c>
      <c r="B30" s="16">
        <f t="shared" si="0"/>
        <v>12</v>
      </c>
      <c r="C30" s="16">
        <f t="shared" si="1"/>
        <v>2013</v>
      </c>
      <c r="D30" s="21">
        <v>1.5</v>
      </c>
      <c r="E30" s="21">
        <v>0</v>
      </c>
      <c r="F30" s="21">
        <v>0</v>
      </c>
      <c r="G30" s="21">
        <v>0.1</v>
      </c>
      <c r="H30" s="21">
        <f t="shared" si="2"/>
        <v>1.1673780400694787</v>
      </c>
      <c r="I30" s="21">
        <f t="shared" si="3"/>
        <v>21.53709009993374</v>
      </c>
    </row>
    <row r="31" spans="1:9" ht="12">
      <c r="A31" s="16"/>
      <c r="B31" s="16">
        <f t="shared" si="0"/>
        <v>13</v>
      </c>
      <c r="C31" s="16">
        <f t="shared" si="1"/>
        <v>2014</v>
      </c>
      <c r="D31" s="21">
        <v>1.5</v>
      </c>
      <c r="E31" s="21">
        <v>0</v>
      </c>
      <c r="F31" s="21">
        <v>0</v>
      </c>
      <c r="G31" s="21">
        <v>0.1</v>
      </c>
      <c r="H31" s="21">
        <f t="shared" si="2"/>
        <v>1.180124557179235</v>
      </c>
      <c r="I31" s="21">
        <f t="shared" si="3"/>
        <v>21.756965542754504</v>
      </c>
    </row>
    <row r="32" spans="1:9" ht="12">
      <c r="A32" s="16"/>
      <c r="B32" s="16">
        <f t="shared" si="0"/>
        <v>14</v>
      </c>
      <c r="C32" s="16">
        <f t="shared" si="1"/>
        <v>2015</v>
      </c>
      <c r="D32" s="21">
        <v>1.5</v>
      </c>
      <c r="E32" s="21">
        <v>0</v>
      </c>
      <c r="F32" s="21">
        <v>0</v>
      </c>
      <c r="G32" s="21">
        <v>0.1</v>
      </c>
      <c r="H32" s="21">
        <f t="shared" si="2"/>
        <v>1.1921726290584644</v>
      </c>
      <c r="I32" s="21">
        <f t="shared" si="3"/>
        <v>21.964792913696037</v>
      </c>
    </row>
    <row r="33" spans="1:9" ht="12">
      <c r="A33" s="16"/>
      <c r="B33" s="16">
        <f t="shared" si="0"/>
        <v>15</v>
      </c>
      <c r="C33" s="16">
        <f t="shared" si="1"/>
        <v>2016</v>
      </c>
      <c r="D33" s="21">
        <v>1.5</v>
      </c>
      <c r="E33" s="21">
        <v>0</v>
      </c>
      <c r="F33" s="21">
        <v>0</v>
      </c>
      <c r="G33" s="21">
        <v>0.1</v>
      </c>
      <c r="H33" s="21">
        <f t="shared" si="2"/>
        <v>1.2035605270040117</v>
      </c>
      <c r="I33" s="21">
        <f t="shared" si="3"/>
        <v>22.161232386692024</v>
      </c>
    </row>
    <row r="34" spans="1:9" ht="12">
      <c r="A34" s="16"/>
      <c r="B34" s="16">
        <f t="shared" si="0"/>
        <v>16</v>
      </c>
      <c r="C34" s="16">
        <f t="shared" si="1"/>
        <v>2017</v>
      </c>
      <c r="D34" s="21">
        <v>1.5</v>
      </c>
      <c r="E34" s="21">
        <v>0</v>
      </c>
      <c r="F34" s="21">
        <v>0</v>
      </c>
      <c r="G34" s="21">
        <v>0.1</v>
      </c>
      <c r="H34" s="21">
        <f t="shared" si="2"/>
        <v>1.2143244252375351</v>
      </c>
      <c r="I34" s="21">
        <f t="shared" si="3"/>
        <v>22.346907961454487</v>
      </c>
    </row>
    <row r="35" spans="1:9" ht="12">
      <c r="A35" s="16" t="s">
        <v>8</v>
      </c>
      <c r="B35" s="16">
        <f t="shared" si="0"/>
        <v>17</v>
      </c>
      <c r="C35" s="16">
        <f t="shared" si="1"/>
        <v>2018</v>
      </c>
      <c r="D35" s="21">
        <v>1.5</v>
      </c>
      <c r="E35" s="21">
        <v>1</v>
      </c>
      <c r="F35" s="21">
        <v>0</v>
      </c>
      <c r="G35" s="21">
        <v>0.1</v>
      </c>
      <c r="H35" s="21">
        <f t="shared" si="2"/>
        <v>1.2244985158147121</v>
      </c>
      <c r="I35" s="21">
        <f t="shared" si="3"/>
        <v>22.522409445639774</v>
      </c>
    </row>
    <row r="36" spans="1:9" ht="12">
      <c r="A36" s="16"/>
      <c r="B36" s="16">
        <f t="shared" si="0"/>
        <v>18</v>
      </c>
      <c r="C36" s="16">
        <f t="shared" si="1"/>
        <v>2019</v>
      </c>
      <c r="D36" s="21">
        <v>1.5</v>
      </c>
      <c r="E36" s="21">
        <v>1</v>
      </c>
      <c r="F36" s="21">
        <v>0</v>
      </c>
      <c r="G36" s="21">
        <v>0.1</v>
      </c>
      <c r="H36" s="21">
        <f t="shared" si="2"/>
        <v>1.234115117237998</v>
      </c>
      <c r="I36" s="21">
        <f t="shared" si="3"/>
        <v>21.688294328401774</v>
      </c>
    </row>
    <row r="37" spans="1:9" ht="12">
      <c r="A37" s="16"/>
      <c r="B37" s="16">
        <f t="shared" si="0"/>
        <v>19</v>
      </c>
      <c r="C37" s="16">
        <f t="shared" si="1"/>
        <v>2020</v>
      </c>
      <c r="D37" s="21">
        <v>1.5</v>
      </c>
      <c r="E37" s="21">
        <v>1</v>
      </c>
      <c r="F37" s="21">
        <v>0</v>
      </c>
      <c r="G37" s="21">
        <v>0.1</v>
      </c>
      <c r="H37" s="21">
        <f t="shared" si="2"/>
        <v>1.188409790808128</v>
      </c>
      <c r="I37" s="21">
        <f t="shared" si="3"/>
        <v>20.899884537593646</v>
      </c>
    </row>
    <row r="38" spans="1:9" ht="12">
      <c r="A38" s="16"/>
      <c r="B38" s="16">
        <f t="shared" si="0"/>
        <v>20</v>
      </c>
      <c r="C38" s="16">
        <f t="shared" si="1"/>
        <v>2021</v>
      </c>
      <c r="D38" s="21">
        <v>1.5</v>
      </c>
      <c r="E38" s="21">
        <v>1</v>
      </c>
      <c r="F38" s="21">
        <v>0</v>
      </c>
      <c r="G38" s="21">
        <v>0.1</v>
      </c>
      <c r="H38" s="21">
        <f t="shared" si="2"/>
        <v>1.1452088871142683</v>
      </c>
      <c r="I38" s="21">
        <f t="shared" si="3"/>
        <v>20.154675650479376</v>
      </c>
    </row>
    <row r="39" spans="1:9" ht="12">
      <c r="A39" s="16" t="s">
        <v>433</v>
      </c>
      <c r="B39" s="16">
        <f t="shared" si="0"/>
        <v>21</v>
      </c>
      <c r="C39" s="16">
        <f t="shared" si="1"/>
        <v>2022</v>
      </c>
      <c r="D39" s="21">
        <v>1.5</v>
      </c>
      <c r="E39" s="21">
        <v>1</v>
      </c>
      <c r="F39" s="21">
        <v>0</v>
      </c>
      <c r="G39" s="21">
        <v>0.1</v>
      </c>
      <c r="H39" s="21">
        <f t="shared" si="2"/>
        <v>1.1043751763468854</v>
      </c>
      <c r="I39" s="21">
        <f t="shared" si="3"/>
        <v>19.45030047413249</v>
      </c>
    </row>
    <row r="40" spans="1:9" ht="12">
      <c r="A40" s="16" t="s">
        <v>435</v>
      </c>
      <c r="B40" s="16">
        <f t="shared" si="0"/>
        <v>22</v>
      </c>
      <c r="C40" s="16">
        <f t="shared" si="1"/>
        <v>2023</v>
      </c>
      <c r="D40" s="21">
        <v>1.5</v>
      </c>
      <c r="E40" s="21">
        <v>1</v>
      </c>
      <c r="F40" s="21">
        <f>B14</f>
        <v>1.8825733571658496</v>
      </c>
      <c r="G40" s="21">
        <v>0.1</v>
      </c>
      <c r="H40" s="21">
        <f t="shared" si="2"/>
        <v>1.0657789482019806</v>
      </c>
      <c r="I40" s="21">
        <f t="shared" si="3"/>
        <v>18.784521525930508</v>
      </c>
    </row>
    <row r="41" spans="1:9" ht="12">
      <c r="A41" s="16" t="s">
        <v>436</v>
      </c>
      <c r="B41" s="16">
        <f t="shared" si="0"/>
        <v>23</v>
      </c>
      <c r="C41" s="16">
        <f t="shared" si="1"/>
        <v>2024</v>
      </c>
      <c r="D41" s="21">
        <v>1.5</v>
      </c>
      <c r="E41" s="21">
        <v>1.6</v>
      </c>
      <c r="F41" s="21">
        <f>C14</f>
        <v>0.04524328152879667</v>
      </c>
      <c r="G41" s="21">
        <v>0.1</v>
      </c>
      <c r="H41" s="21">
        <f t="shared" si="2"/>
        <v>1.0292975998498863</v>
      </c>
      <c r="I41" s="21">
        <f t="shared" si="3"/>
        <v>16.27265056891477</v>
      </c>
    </row>
    <row r="42" spans="1:9" ht="12">
      <c r="A42" s="16" t="s">
        <v>724</v>
      </c>
      <c r="B42" s="16">
        <f t="shared" si="0"/>
        <v>24</v>
      </c>
      <c r="C42" s="16">
        <f t="shared" si="1"/>
        <v>2025</v>
      </c>
      <c r="D42" s="21">
        <v>1.5</v>
      </c>
      <c r="E42" s="21">
        <v>1.6</v>
      </c>
      <c r="F42" s="21">
        <f aca="true" t="shared" si="4" ref="F42:F47">F41</f>
        <v>0.04524328152879667</v>
      </c>
      <c r="G42" s="21">
        <v>0.1</v>
      </c>
      <c r="H42" s="21">
        <f t="shared" si="2"/>
        <v>0.8916596651481739</v>
      </c>
      <c r="I42" s="21">
        <f t="shared" si="3"/>
        <v>15.135747622237796</v>
      </c>
    </row>
    <row r="43" spans="1:9" ht="12">
      <c r="A43" s="16"/>
      <c r="B43" s="16">
        <f t="shared" si="0"/>
        <v>25</v>
      </c>
      <c r="C43" s="16">
        <f t="shared" si="1"/>
        <v>2026</v>
      </c>
      <c r="D43" s="21">
        <f>MAX(D42-0.17,0)</f>
        <v>1.33</v>
      </c>
      <c r="E43" s="21">
        <v>1.6</v>
      </c>
      <c r="F43" s="21">
        <f t="shared" si="4"/>
        <v>0.04524328152879667</v>
      </c>
      <c r="G43" s="21">
        <v>0.1</v>
      </c>
      <c r="H43" s="21">
        <f t="shared" si="2"/>
        <v>0.8293630837494147</v>
      </c>
      <c r="I43" s="21">
        <f t="shared" si="3"/>
        <v>13.891141256959585</v>
      </c>
    </row>
    <row r="44" spans="1:9" ht="12">
      <c r="A44" s="16"/>
      <c r="B44" s="16">
        <f t="shared" si="0"/>
        <v>26</v>
      </c>
      <c r="C44" s="16">
        <f t="shared" si="1"/>
        <v>2027</v>
      </c>
      <c r="D44" s="21">
        <f aca="true" t="shared" si="5" ref="D44:D53">MAX(D43-0.17,0)</f>
        <v>1.1600000000000001</v>
      </c>
      <c r="E44" s="21">
        <v>1.6</v>
      </c>
      <c r="F44" s="21">
        <f t="shared" si="4"/>
        <v>0.04524328152879667</v>
      </c>
      <c r="G44" s="21">
        <v>0.1</v>
      </c>
      <c r="H44" s="21">
        <f t="shared" si="2"/>
        <v>0.76116489500288</v>
      </c>
      <c r="I44" s="21">
        <f t="shared" si="3"/>
        <v>12.54473308042791</v>
      </c>
    </row>
    <row r="45" spans="1:9" ht="12">
      <c r="A45" s="16"/>
      <c r="B45" s="16">
        <f t="shared" si="0"/>
        <v>27</v>
      </c>
      <c r="C45" s="16">
        <f t="shared" si="1"/>
        <v>2028</v>
      </c>
      <c r="D45" s="21">
        <f t="shared" si="5"/>
        <v>0.9900000000000001</v>
      </c>
      <c r="E45" s="21">
        <v>1.6</v>
      </c>
      <c r="F45" s="21">
        <f t="shared" si="4"/>
        <v>0.04524328152879667</v>
      </c>
      <c r="G45" s="21">
        <v>0.1</v>
      </c>
      <c r="H45" s="21">
        <f t="shared" si="2"/>
        <v>0.6873884774023968</v>
      </c>
      <c r="I45" s="21">
        <f t="shared" si="3"/>
        <v>11.102101321496718</v>
      </c>
    </row>
    <row r="46" spans="1:9" ht="12">
      <c r="A46" s="16"/>
      <c r="B46" s="16">
        <f t="shared" si="0"/>
        <v>28</v>
      </c>
      <c r="C46" s="16">
        <f t="shared" si="1"/>
        <v>2029</v>
      </c>
      <c r="D46" s="21">
        <f t="shared" si="5"/>
        <v>0.8200000000000001</v>
      </c>
      <c r="E46" s="21">
        <v>1.6</v>
      </c>
      <c r="F46" s="21">
        <f t="shared" si="4"/>
        <v>0.04524328152879667</v>
      </c>
      <c r="G46" s="21">
        <v>0.1</v>
      </c>
      <c r="H46" s="21">
        <f t="shared" si="2"/>
        <v>0.6083394899216502</v>
      </c>
      <c r="I46" s="21">
        <f t="shared" si="3"/>
        <v>9.568518550046273</v>
      </c>
    </row>
    <row r="47" spans="1:9" ht="12">
      <c r="A47" s="16"/>
      <c r="B47" s="16">
        <f t="shared" si="0"/>
        <v>29</v>
      </c>
      <c r="C47" s="16">
        <f t="shared" si="1"/>
        <v>2030</v>
      </c>
      <c r="D47" s="21">
        <f t="shared" si="5"/>
        <v>0.65</v>
      </c>
      <c r="E47" s="21">
        <v>1.6</v>
      </c>
      <c r="F47" s="21">
        <f t="shared" si="4"/>
        <v>0.04524328152879667</v>
      </c>
      <c r="G47" s="21">
        <v>0.1</v>
      </c>
      <c r="H47" s="21">
        <f t="shared" si="2"/>
        <v>0.5243068429550468</v>
      </c>
      <c r="I47" s="21">
        <f t="shared" si="3"/>
        <v>7.94896842556243</v>
      </c>
    </row>
    <row r="48" spans="1:9" ht="12">
      <c r="A48" s="16" t="s">
        <v>622</v>
      </c>
      <c r="B48" s="16">
        <f t="shared" si="0"/>
        <v>30</v>
      </c>
      <c r="C48" s="16">
        <f t="shared" si="1"/>
        <v>2031</v>
      </c>
      <c r="D48" s="21">
        <f t="shared" si="5"/>
        <v>0.48</v>
      </c>
      <c r="E48" s="21">
        <v>1.6</v>
      </c>
      <c r="F48" s="21">
        <f>D14</f>
        <v>0.22621640764398898</v>
      </c>
      <c r="G48" s="21">
        <v>0.1</v>
      </c>
      <c r="H48" s="21">
        <f t="shared" si="2"/>
        <v>0.43556361605588695</v>
      </c>
      <c r="I48" s="21">
        <f t="shared" si="3"/>
        <v>6.248161527977747</v>
      </c>
    </row>
    <row r="49" spans="1:9" ht="12">
      <c r="A49" s="16"/>
      <c r="B49" s="16">
        <f t="shared" si="0"/>
        <v>31</v>
      </c>
      <c r="C49" s="16">
        <f t="shared" si="1"/>
        <v>2032</v>
      </c>
      <c r="D49" s="21">
        <f t="shared" si="5"/>
        <v>0.30999999999999994</v>
      </c>
      <c r="E49" s="21">
        <v>1.6</v>
      </c>
      <c r="F49" s="21">
        <f>F48</f>
        <v>0.22621640764398898</v>
      </c>
      <c r="G49" s="21">
        <v>0.1</v>
      </c>
      <c r="H49" s="21">
        <f t="shared" si="2"/>
        <v>0.3423679253870864</v>
      </c>
      <c r="I49" s="21">
        <f t="shared" si="3"/>
        <v>4.2895771949466726</v>
      </c>
    </row>
    <row r="50" spans="1:9" ht="12">
      <c r="A50" s="16"/>
      <c r="B50" s="16">
        <f t="shared" si="0"/>
        <v>32</v>
      </c>
      <c r="C50" s="16">
        <f t="shared" si="1"/>
        <v>2033</v>
      </c>
      <c r="D50" s="21">
        <f t="shared" si="5"/>
        <v>0.13999999999999993</v>
      </c>
      <c r="E50" s="21">
        <v>1.6</v>
      </c>
      <c r="F50" s="21">
        <f>F49</f>
        <v>0.22621640764398898</v>
      </c>
      <c r="G50" s="21">
        <v>0.1</v>
      </c>
      <c r="H50" s="21">
        <f t="shared" si="2"/>
        <v>0.23504732367202016</v>
      </c>
      <c r="I50" s="21">
        <f t="shared" si="3"/>
        <v>2.2683134636306628</v>
      </c>
    </row>
    <row r="51" spans="1:9" ht="12">
      <c r="A51" s="16" t="s">
        <v>443</v>
      </c>
      <c r="B51" s="16">
        <f t="shared" si="0"/>
        <v>33</v>
      </c>
      <c r="C51" s="16">
        <f t="shared" si="1"/>
        <v>2034</v>
      </c>
      <c r="D51" s="21">
        <f t="shared" si="5"/>
        <v>0</v>
      </c>
      <c r="E51" s="21">
        <v>0</v>
      </c>
      <c r="F51" s="21">
        <v>0</v>
      </c>
      <c r="G51" s="21">
        <v>0.1</v>
      </c>
      <c r="H51" s="21">
        <f t="shared" si="2"/>
        <v>0.12429220518602317</v>
      </c>
      <c r="I51" s="21">
        <f t="shared" si="3"/>
        <v>0.21780485080065054</v>
      </c>
    </row>
    <row r="52" spans="1:9" ht="12">
      <c r="A52" s="16"/>
      <c r="B52" s="16">
        <f t="shared" si="0"/>
        <v>34</v>
      </c>
      <c r="C52" s="16">
        <f t="shared" si="1"/>
        <v>2035</v>
      </c>
      <c r="D52" s="21">
        <f t="shared" si="5"/>
        <v>0</v>
      </c>
      <c r="E52" s="21">
        <v>0</v>
      </c>
      <c r="F52" s="21">
        <v>0</v>
      </c>
      <c r="G52" s="21">
        <v>0.1</v>
      </c>
      <c r="H52" s="21">
        <f t="shared" si="2"/>
        <v>0.011934613817834092</v>
      </c>
      <c r="I52" s="21">
        <f t="shared" si="3"/>
        <v>0.10587023698281645</v>
      </c>
    </row>
    <row r="53" spans="1:9" ht="12">
      <c r="A53" s="16" t="s">
        <v>434</v>
      </c>
      <c r="B53" s="16">
        <f t="shared" si="0"/>
        <v>35</v>
      </c>
      <c r="C53" s="16">
        <f t="shared" si="1"/>
        <v>2036</v>
      </c>
      <c r="D53" s="21">
        <f t="shared" si="5"/>
        <v>0</v>
      </c>
      <c r="E53" s="21">
        <v>0</v>
      </c>
      <c r="F53" s="21">
        <v>0</v>
      </c>
      <c r="G53" s="21">
        <v>0.1</v>
      </c>
      <c r="H53" s="21">
        <f t="shared" si="2"/>
        <v>0.005801158186090855</v>
      </c>
      <c r="I53" s="21">
        <f t="shared" si="3"/>
        <v>6.9078796725585E-05</v>
      </c>
    </row>
    <row r="55" spans="3:9" ht="12.75">
      <c r="C55" t="s">
        <v>415</v>
      </c>
      <c r="D55" s="5">
        <f>SUM(D19:D53)</f>
        <v>42.980000000000004</v>
      </c>
      <c r="E55" s="5">
        <f>SUM(E19:E53)</f>
        <v>22.000000000000004</v>
      </c>
      <c r="F55" s="5">
        <f>SUM(F19:F53)</f>
        <v>2.877925550799394</v>
      </c>
      <c r="G55" s="5">
        <f>SUM(G19:G53)</f>
        <v>3.5000000000000018</v>
      </c>
      <c r="H55" s="5">
        <f>SUM(H19:H53)</f>
        <v>30.84585495969847</v>
      </c>
      <c r="I55" s="5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31"/>
  <sheetViews>
    <sheetView workbookViewId="0" topLeftCell="A1">
      <selection activeCell="B31" sqref="B31"/>
    </sheetView>
  </sheetViews>
  <sheetFormatPr defaultColWidth="11.00390625" defaultRowHeight="12"/>
  <cols>
    <col min="2" max="2" width="12.00390625" style="0" bestFit="1" customWidth="1"/>
  </cols>
  <sheetData>
    <row r="1" spans="1:3" ht="12.75">
      <c r="A1" t="s">
        <v>548</v>
      </c>
      <c r="B1" s="5">
        <f>P_sol</f>
        <v>77.5225619258617</v>
      </c>
      <c r="C1" t="s">
        <v>466</v>
      </c>
    </row>
    <row r="2" spans="1:3" ht="12.75">
      <c r="A2" t="s">
        <v>753</v>
      </c>
      <c r="B2" s="5">
        <f>2*2*PI()*R0*2*R0/A</f>
        <v>24.127431579569613</v>
      </c>
      <c r="C2" t="s">
        <v>119</v>
      </c>
    </row>
    <row r="3" spans="1:3" ht="12.75">
      <c r="A3" t="s">
        <v>641</v>
      </c>
      <c r="B3" s="5">
        <f>B1/B2</f>
        <v>3.2130465967834505</v>
      </c>
      <c r="C3" t="s">
        <v>624</v>
      </c>
    </row>
    <row r="4" spans="1:2" ht="12.75">
      <c r="A4" t="s">
        <v>743</v>
      </c>
      <c r="B4" s="5">
        <v>35</v>
      </c>
    </row>
    <row r="5" spans="1:2" ht="12.75">
      <c r="A5" t="s">
        <v>744</v>
      </c>
      <c r="B5" s="5">
        <v>100</v>
      </c>
    </row>
    <row r="6" spans="1:2" ht="12.75">
      <c r="A6" t="s">
        <v>745</v>
      </c>
      <c r="B6" s="5">
        <f>B4+(B5-B4)/2</f>
        <v>67.5</v>
      </c>
    </row>
    <row r="7" spans="1:2" ht="12.75">
      <c r="A7" t="s">
        <v>613</v>
      </c>
      <c r="B7" s="5">
        <v>10</v>
      </c>
    </row>
    <row r="8" spans="1:2" ht="12.75">
      <c r="A8" t="s">
        <v>369</v>
      </c>
      <c r="B8" s="5">
        <v>32</v>
      </c>
    </row>
    <row r="9" spans="1:2" ht="12.75">
      <c r="A9" t="s">
        <v>371</v>
      </c>
      <c r="B9" s="5">
        <f>B1/B8</f>
        <v>2.422580060183178</v>
      </c>
    </row>
    <row r="10" spans="1:2" ht="12.75">
      <c r="A10" t="s">
        <v>370</v>
      </c>
      <c r="B10" s="5">
        <v>48</v>
      </c>
    </row>
    <row r="11" spans="1:2" ht="12.75">
      <c r="A11" t="s">
        <v>18</v>
      </c>
      <c r="B11" s="5">
        <f>B8*B10</f>
        <v>1536</v>
      </c>
    </row>
    <row r="12" spans="1:2" ht="12.75">
      <c r="A12" t="s">
        <v>17</v>
      </c>
      <c r="B12" s="5">
        <v>0.01</v>
      </c>
    </row>
    <row r="13" spans="1:3" ht="12.75">
      <c r="A13" t="s">
        <v>642</v>
      </c>
      <c r="B13" s="5">
        <v>1</v>
      </c>
      <c r="C13" t="s">
        <v>706</v>
      </c>
    </row>
    <row r="14" spans="1:2" ht="12.75">
      <c r="A14" t="s">
        <v>423</v>
      </c>
      <c r="B14" s="5">
        <f>PI()*B12</f>
        <v>0.031415926535897934</v>
      </c>
    </row>
    <row r="15" spans="1:2" ht="12.75">
      <c r="A15" t="s">
        <v>19</v>
      </c>
      <c r="B15" s="5">
        <f>B14*B11</f>
        <v>48.25486315913923</v>
      </c>
    </row>
    <row r="16" spans="1:2" ht="12.75">
      <c r="A16" t="s">
        <v>746</v>
      </c>
      <c r="B16" s="5">
        <f>B7*B11*PI()*B12^2/4</f>
        <v>1.2063715789784806</v>
      </c>
    </row>
    <row r="17" spans="1:2" ht="12.75">
      <c r="A17" t="s">
        <v>426</v>
      </c>
      <c r="B17" s="5">
        <f>4229.2-3.857*B6+0.06786*B6^2-0.0003745*B6^3+0.000000819*B6^4</f>
        <v>4179.865280429687</v>
      </c>
    </row>
    <row r="18" spans="1:2" ht="12.75">
      <c r="A18" t="s">
        <v>390</v>
      </c>
      <c r="B18" s="12">
        <v>0.000524</v>
      </c>
    </row>
    <row r="19" spans="1:2" ht="12.75">
      <c r="A19" t="s">
        <v>131</v>
      </c>
      <c r="B19" s="5">
        <f>1005.4-0.539*B6+0.0026713*B6^2</f>
        <v>981.1886106249999</v>
      </c>
    </row>
    <row r="20" spans="1:2" ht="12.75">
      <c r="A20" t="s">
        <v>132</v>
      </c>
      <c r="B20" s="5">
        <f>0.55183+0.0025297*B6-0.0000172*B6^2+0.0000000531*B6^3-0.0000000000813*B6^4</f>
        <v>0.6588602486992188</v>
      </c>
    </row>
    <row r="21" spans="1:2" ht="12.75">
      <c r="A21" t="s">
        <v>133</v>
      </c>
      <c r="B21" s="5">
        <f>13.527-0.43243*B6+0.00704*B6^2-0.0000618*B6^3+0.000000294*B6^4-0.000000000711*B6^5+0.000000000000682*B6^6</f>
        <v>2.579056704760255</v>
      </c>
    </row>
    <row r="22" spans="1:2" ht="12.75">
      <c r="A22" t="s">
        <v>616</v>
      </c>
      <c r="B22" s="5">
        <f>B19*B7*B12/B18</f>
        <v>187249.7348520992</v>
      </c>
    </row>
    <row r="23" spans="1:2" ht="12.75">
      <c r="A23" t="s">
        <v>584</v>
      </c>
      <c r="B23" s="5">
        <f>B16*B19</f>
        <v>1183.6780534753827</v>
      </c>
    </row>
    <row r="24" spans="1:13" ht="12.75">
      <c r="A24" t="s">
        <v>425</v>
      </c>
      <c r="B24">
        <f>1/B23/B17</f>
        <v>2.0211759416205966E-07</v>
      </c>
      <c r="M24" t="s">
        <v>39</v>
      </c>
    </row>
    <row r="25" spans="1:2" ht="12.75">
      <c r="A25" t="s">
        <v>347</v>
      </c>
      <c r="B25">
        <f>1/(0.023*B22^0.8*B21^0.4*B20*PI()*B13)/B11</f>
        <v>5.667825153394327E-07</v>
      </c>
    </row>
    <row r="26" spans="1:2" ht="12.75">
      <c r="A26" t="s">
        <v>643</v>
      </c>
      <c r="B26" s="5">
        <f>B1*1000000*(B24+B25)</f>
        <v>59.60710635363128</v>
      </c>
    </row>
    <row r="27" spans="1:2" ht="12.75">
      <c r="A27" t="s">
        <v>372</v>
      </c>
      <c r="B27">
        <v>0.1</v>
      </c>
    </row>
    <row r="28" spans="1:2" ht="12.75">
      <c r="A28" t="s">
        <v>603</v>
      </c>
      <c r="B28">
        <f>B27*B2</f>
        <v>2.4127431579569616</v>
      </c>
    </row>
    <row r="29" spans="1:2" ht="12.75">
      <c r="A29" t="s">
        <v>604</v>
      </c>
      <c r="B29">
        <f>B11*PI()*B12^2/4*B13</f>
        <v>0.12063715789784805</v>
      </c>
    </row>
    <row r="30" spans="1:2" ht="12.75">
      <c r="A30" t="s">
        <v>50</v>
      </c>
      <c r="B30">
        <f>B29/B28</f>
        <v>0.04999999999999999</v>
      </c>
    </row>
    <row r="31" spans="1:2" ht="12.75">
      <c r="A31" t="s">
        <v>605</v>
      </c>
      <c r="B31">
        <f>(B4+B26)/2</f>
        <v>47.30355317681564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X76"/>
  <sheetViews>
    <sheetView workbookViewId="0" topLeftCell="Q58">
      <selection activeCell="AD80" sqref="Z1:AD80"/>
    </sheetView>
  </sheetViews>
  <sheetFormatPr defaultColWidth="11.00390625" defaultRowHeight="12"/>
  <cols>
    <col min="1" max="1" width="21.875" style="0" customWidth="1"/>
    <col min="2" max="2" width="13.00390625" style="0" bestFit="1" customWidth="1"/>
    <col min="3" max="21" width="8.875" style="0" customWidth="1"/>
    <col min="22" max="22" width="8.875" style="61" customWidth="1"/>
    <col min="23" max="23" width="8.875" style="0" customWidth="1"/>
  </cols>
  <sheetData>
    <row r="1" spans="1:24" ht="12.75">
      <c r="A1" s="42"/>
      <c r="B1" s="42"/>
      <c r="C1" s="40" t="s">
        <v>563</v>
      </c>
      <c r="D1" s="41"/>
      <c r="E1" s="40" t="s">
        <v>564</v>
      </c>
      <c r="F1" s="41"/>
      <c r="G1" s="40" t="s">
        <v>565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1"/>
      <c r="V1" s="41"/>
      <c r="W1" s="150" t="s">
        <v>413</v>
      </c>
      <c r="X1" s="97" t="s">
        <v>419</v>
      </c>
    </row>
    <row r="2" spans="1:24" ht="12.75">
      <c r="A2" s="42"/>
      <c r="B2" s="42"/>
      <c r="C2" s="56" t="s">
        <v>414</v>
      </c>
      <c r="D2" s="57" t="s">
        <v>562</v>
      </c>
      <c r="E2" s="56" t="s">
        <v>414</v>
      </c>
      <c r="F2" s="57" t="s">
        <v>562</v>
      </c>
      <c r="G2" s="50" t="s">
        <v>566</v>
      </c>
      <c r="H2" s="86"/>
      <c r="I2" s="86"/>
      <c r="J2" s="43"/>
      <c r="K2" s="43"/>
      <c r="L2" s="43"/>
      <c r="M2" s="43"/>
      <c r="N2" s="137"/>
      <c r="O2" s="132" t="s">
        <v>567</v>
      </c>
      <c r="P2" s="43"/>
      <c r="Q2" s="44"/>
      <c r="R2" s="44"/>
      <c r="S2" s="45" t="s">
        <v>629</v>
      </c>
      <c r="T2" s="43"/>
      <c r="U2" s="51"/>
      <c r="V2" s="51"/>
      <c r="W2" s="149" t="s">
        <v>565</v>
      </c>
      <c r="X2" s="47"/>
    </row>
    <row r="3" spans="1:24" ht="12.75">
      <c r="A3" s="42"/>
      <c r="B3" s="42"/>
      <c r="C3" s="52"/>
      <c r="D3" s="53"/>
      <c r="E3" s="52"/>
      <c r="F3" s="53"/>
      <c r="G3" s="133" t="s">
        <v>630</v>
      </c>
      <c r="H3" s="134" t="s">
        <v>630</v>
      </c>
      <c r="I3" s="135" t="s">
        <v>630</v>
      </c>
      <c r="J3" s="136" t="s">
        <v>631</v>
      </c>
      <c r="K3" s="136" t="s">
        <v>630</v>
      </c>
      <c r="L3" s="136" t="s">
        <v>630</v>
      </c>
      <c r="M3" s="136" t="s">
        <v>632</v>
      </c>
      <c r="N3" s="136" t="s">
        <v>708</v>
      </c>
      <c r="O3" s="87" t="s">
        <v>630</v>
      </c>
      <c r="P3" s="58" t="s">
        <v>632</v>
      </c>
      <c r="Q3" s="87" t="s">
        <v>630</v>
      </c>
      <c r="R3" s="58" t="s">
        <v>632</v>
      </c>
      <c r="S3" s="87" t="s">
        <v>630</v>
      </c>
      <c r="T3" s="58" t="s">
        <v>632</v>
      </c>
      <c r="U3" s="87" t="s">
        <v>630</v>
      </c>
      <c r="V3" s="104" t="s">
        <v>632</v>
      </c>
      <c r="W3" s="149"/>
      <c r="X3" s="47"/>
    </row>
    <row r="4" spans="1:24" ht="13.5" thickBot="1">
      <c r="A4" s="42"/>
      <c r="B4" s="42"/>
      <c r="C4" s="54"/>
      <c r="D4" s="55"/>
      <c r="E4" s="54"/>
      <c r="F4" s="55"/>
      <c r="G4" s="59" t="s">
        <v>46</v>
      </c>
      <c r="H4" s="131" t="s">
        <v>166</v>
      </c>
      <c r="I4" s="107" t="s">
        <v>633</v>
      </c>
      <c r="J4" s="60" t="s">
        <v>167</v>
      </c>
      <c r="K4" s="60" t="s">
        <v>46</v>
      </c>
      <c r="L4" s="60"/>
      <c r="M4" s="60"/>
      <c r="N4" s="60" t="s">
        <v>709</v>
      </c>
      <c r="O4" s="107" t="s">
        <v>633</v>
      </c>
      <c r="P4" s="60" t="s">
        <v>167</v>
      </c>
      <c r="Q4" s="107" t="s">
        <v>634</v>
      </c>
      <c r="R4" s="60" t="s">
        <v>168</v>
      </c>
      <c r="S4" s="107" t="s">
        <v>633</v>
      </c>
      <c r="T4" s="60" t="s">
        <v>167</v>
      </c>
      <c r="U4" s="107" t="s">
        <v>166</v>
      </c>
      <c r="V4" s="108" t="s">
        <v>633</v>
      </c>
      <c r="W4" s="151"/>
      <c r="X4" s="48"/>
    </row>
    <row r="5" spans="1:24" ht="12.75">
      <c r="A5" s="16" t="s">
        <v>2</v>
      </c>
      <c r="B5" s="46" t="s">
        <v>706</v>
      </c>
      <c r="C5" s="109">
        <v>0.854</v>
      </c>
      <c r="D5" s="110">
        <v>0.854</v>
      </c>
      <c r="E5" s="109">
        <v>1.5125</v>
      </c>
      <c r="F5" s="110">
        <v>1.5125</v>
      </c>
      <c r="G5" s="138">
        <v>1.2</v>
      </c>
      <c r="H5" s="111">
        <v>1.2</v>
      </c>
      <c r="I5" s="111">
        <v>1.2</v>
      </c>
      <c r="J5" s="111">
        <v>1.2</v>
      </c>
      <c r="K5" s="17">
        <v>1.5</v>
      </c>
      <c r="L5" s="111">
        <v>1.5</v>
      </c>
      <c r="M5" s="111">
        <v>1.5</v>
      </c>
      <c r="N5" s="111">
        <v>1.5</v>
      </c>
      <c r="O5" s="111">
        <v>1.6</v>
      </c>
      <c r="P5" s="111">
        <v>1.6</v>
      </c>
      <c r="Q5" s="111">
        <v>1.6</v>
      </c>
      <c r="R5" s="111">
        <v>1.6</v>
      </c>
      <c r="S5" s="111">
        <v>2</v>
      </c>
      <c r="T5" s="111">
        <v>2</v>
      </c>
      <c r="U5" s="111">
        <v>2.2</v>
      </c>
      <c r="V5" s="112">
        <v>2.2</v>
      </c>
      <c r="W5" s="106">
        <v>0.7</v>
      </c>
      <c r="X5" s="106">
        <v>3.2</v>
      </c>
    </row>
    <row r="6" spans="1:24" ht="12.75">
      <c r="A6" s="16" t="s">
        <v>335</v>
      </c>
      <c r="B6" s="46"/>
      <c r="C6" s="70">
        <v>1.3</v>
      </c>
      <c r="D6" s="71">
        <v>1.3</v>
      </c>
      <c r="E6" s="70">
        <v>1.6</v>
      </c>
      <c r="F6" s="71">
        <v>1.6</v>
      </c>
      <c r="G6" s="139">
        <v>1.5</v>
      </c>
      <c r="H6" s="113">
        <v>1.5</v>
      </c>
      <c r="I6" s="113">
        <v>1.5</v>
      </c>
      <c r="J6" s="113">
        <v>1.5</v>
      </c>
      <c r="K6" s="17">
        <v>1.5</v>
      </c>
      <c r="L6" s="113">
        <v>1.5</v>
      </c>
      <c r="M6" s="113">
        <v>1.5</v>
      </c>
      <c r="N6" s="113">
        <v>1.5</v>
      </c>
      <c r="O6" s="113">
        <v>2</v>
      </c>
      <c r="P6" s="113">
        <v>2</v>
      </c>
      <c r="Q6" s="113">
        <v>2</v>
      </c>
      <c r="R6" s="113">
        <v>2</v>
      </c>
      <c r="S6" s="113">
        <v>2.5</v>
      </c>
      <c r="T6" s="113">
        <v>2.5</v>
      </c>
      <c r="U6" s="113">
        <v>2.5</v>
      </c>
      <c r="V6" s="114">
        <v>2.5</v>
      </c>
      <c r="W6" s="88">
        <v>1.6</v>
      </c>
      <c r="X6" s="88">
        <v>1.6</v>
      </c>
    </row>
    <row r="7" spans="1:24" ht="12.75">
      <c r="A7" s="17" t="s">
        <v>717</v>
      </c>
      <c r="B7" s="32" t="s">
        <v>706</v>
      </c>
      <c r="C7" s="70">
        <f>C5+C5/C6</f>
        <v>1.5109230769230768</v>
      </c>
      <c r="D7" s="71">
        <f>D5+D5/D6</f>
        <v>1.5109230769230768</v>
      </c>
      <c r="E7" s="70">
        <f>E5+E5/E6</f>
        <v>2.4578124999999997</v>
      </c>
      <c r="F7" s="71">
        <f>F5+F5/F6</f>
        <v>2.4578124999999997</v>
      </c>
      <c r="G7" s="140">
        <v>2</v>
      </c>
      <c r="H7" s="115">
        <v>2</v>
      </c>
      <c r="I7" s="115">
        <v>2</v>
      </c>
      <c r="J7" s="115">
        <v>2</v>
      </c>
      <c r="K7" s="21">
        <v>2.5</v>
      </c>
      <c r="L7" s="113">
        <v>2.5</v>
      </c>
      <c r="M7" s="113">
        <v>2.5</v>
      </c>
      <c r="N7" s="113">
        <v>2.5</v>
      </c>
      <c r="O7" s="113">
        <v>2.4</v>
      </c>
      <c r="P7" s="113">
        <v>2.4</v>
      </c>
      <c r="Q7" s="113">
        <v>2.4</v>
      </c>
      <c r="R7" s="113">
        <v>2.4</v>
      </c>
      <c r="S7" s="113">
        <v>2.8</v>
      </c>
      <c r="T7" s="113">
        <v>2.8</v>
      </c>
      <c r="U7" s="113">
        <v>3.08</v>
      </c>
      <c r="V7" s="114">
        <v>3.08</v>
      </c>
      <c r="W7" s="88">
        <v>1.1375</v>
      </c>
      <c r="X7" s="88">
        <f>X5+X5/X6</f>
        <v>5.2</v>
      </c>
    </row>
    <row r="8" spans="1:24" ht="12.75">
      <c r="A8" s="16" t="s">
        <v>336</v>
      </c>
      <c r="B8" s="46"/>
      <c r="C8" s="70">
        <v>2</v>
      </c>
      <c r="D8" s="71">
        <v>2</v>
      </c>
      <c r="E8" s="70">
        <v>2.5</v>
      </c>
      <c r="F8" s="71">
        <v>2.5</v>
      </c>
      <c r="G8" s="139">
        <v>3</v>
      </c>
      <c r="H8" s="113">
        <v>3</v>
      </c>
      <c r="I8" s="113">
        <v>3</v>
      </c>
      <c r="J8" s="113">
        <v>3</v>
      </c>
      <c r="K8" s="17">
        <v>3</v>
      </c>
      <c r="L8" s="113">
        <v>3</v>
      </c>
      <c r="M8" s="113">
        <v>3</v>
      </c>
      <c r="N8" s="113">
        <v>3</v>
      </c>
      <c r="O8" s="113">
        <v>2.75</v>
      </c>
      <c r="P8" s="113">
        <v>2.75</v>
      </c>
      <c r="Q8" s="113">
        <v>2.75</v>
      </c>
      <c r="R8" s="113">
        <v>2.75</v>
      </c>
      <c r="S8" s="113">
        <v>2.5</v>
      </c>
      <c r="T8" s="113">
        <v>2.5</v>
      </c>
      <c r="U8" s="113">
        <v>2.5</v>
      </c>
      <c r="V8" s="114">
        <v>2.5</v>
      </c>
      <c r="W8" s="88">
        <v>2.5</v>
      </c>
      <c r="X8" s="88">
        <v>3.4</v>
      </c>
    </row>
    <row r="9" spans="1:24" ht="12.75">
      <c r="A9" s="16" t="s">
        <v>337</v>
      </c>
      <c r="B9" s="46"/>
      <c r="C9" s="70">
        <v>0.8</v>
      </c>
      <c r="D9" s="71">
        <v>0.5</v>
      </c>
      <c r="E9" s="70">
        <v>0.3</v>
      </c>
      <c r="F9" s="71">
        <v>0.3</v>
      </c>
      <c r="G9" s="139">
        <v>0.4</v>
      </c>
      <c r="H9" s="113">
        <v>0.4</v>
      </c>
      <c r="I9" s="113">
        <v>0.4</v>
      </c>
      <c r="J9" s="113">
        <v>0.4</v>
      </c>
      <c r="K9" s="17">
        <v>0.4</v>
      </c>
      <c r="L9" s="113">
        <v>0.4</v>
      </c>
      <c r="M9" s="113">
        <v>0.4</v>
      </c>
      <c r="N9" s="113">
        <v>0.4</v>
      </c>
      <c r="O9" s="113">
        <v>0.4</v>
      </c>
      <c r="P9" s="113">
        <v>0.4</v>
      </c>
      <c r="Q9" s="113">
        <v>0.4</v>
      </c>
      <c r="R9" s="113">
        <v>0.4</v>
      </c>
      <c r="S9" s="113">
        <v>0.4</v>
      </c>
      <c r="T9" s="113">
        <v>0.4</v>
      </c>
      <c r="U9" s="113">
        <v>0.4</v>
      </c>
      <c r="V9" s="114">
        <v>0.4</v>
      </c>
      <c r="W9" s="88">
        <v>0.4</v>
      </c>
      <c r="X9" s="88">
        <v>0.643</v>
      </c>
    </row>
    <row r="10" spans="1:24" ht="12.75">
      <c r="A10" s="16" t="s">
        <v>757</v>
      </c>
      <c r="B10" s="46"/>
      <c r="C10" s="70"/>
      <c r="D10" s="71"/>
      <c r="E10" s="70">
        <v>8.2</v>
      </c>
      <c r="F10" s="71">
        <v>6.1</v>
      </c>
      <c r="G10" s="139">
        <v>7.481837333093759</v>
      </c>
      <c r="H10" s="113">
        <v>7.481837333093759</v>
      </c>
      <c r="I10" s="113">
        <v>7.481837333093759</v>
      </c>
      <c r="J10" s="113">
        <v>7.481837333093759</v>
      </c>
      <c r="K10" s="17">
        <v>7.481837333093759</v>
      </c>
      <c r="L10" s="113">
        <v>7.898373213386398</v>
      </c>
      <c r="M10" s="113">
        <v>8.7525557005042</v>
      </c>
      <c r="N10" s="113">
        <v>7.481837333093759</v>
      </c>
      <c r="O10" s="113">
        <v>5.736625121251111</v>
      </c>
      <c r="P10" s="113">
        <v>6.077485752900596</v>
      </c>
      <c r="Q10" s="113">
        <v>5.17859251649335</v>
      </c>
      <c r="R10" s="113">
        <v>6.159845061059585</v>
      </c>
      <c r="S10" s="113">
        <v>4.847343890691921</v>
      </c>
      <c r="T10" s="113">
        <v>4.9482412145775845</v>
      </c>
      <c r="U10" s="113">
        <v>4.554900749178982</v>
      </c>
      <c r="V10" s="114">
        <v>5.013337261686316</v>
      </c>
      <c r="W10" s="88">
        <v>6</v>
      </c>
      <c r="X10" s="88">
        <v>10.9</v>
      </c>
    </row>
    <row r="11" spans="1:24" ht="12.75">
      <c r="A11" s="21" t="s">
        <v>527</v>
      </c>
      <c r="B11" s="63"/>
      <c r="C11" s="72"/>
      <c r="D11" s="73"/>
      <c r="E11" s="72"/>
      <c r="F11" s="73"/>
      <c r="G11" s="140">
        <v>2.571765</v>
      </c>
      <c r="H11" s="115">
        <v>2.571765</v>
      </c>
      <c r="I11" s="115">
        <v>2.571765</v>
      </c>
      <c r="J11" s="115">
        <v>2.571765</v>
      </c>
      <c r="K11" s="21">
        <v>2.571765</v>
      </c>
      <c r="L11" s="115">
        <v>2.7149427183182677</v>
      </c>
      <c r="M11" s="115">
        <v>3.008554638249458</v>
      </c>
      <c r="N11" s="115">
        <v>2.571765</v>
      </c>
      <c r="O11" s="115">
        <v>3.1435367998734463</v>
      </c>
      <c r="P11" s="115">
        <v>3.33032047783227</v>
      </c>
      <c r="Q11" s="115">
        <v>2.837747944665373</v>
      </c>
      <c r="R11" s="115">
        <v>3.3754514582498003</v>
      </c>
      <c r="S11" s="115">
        <v>3.1071300020328527</v>
      </c>
      <c r="T11" s="115">
        <v>3.1718048237990515</v>
      </c>
      <c r="U11" s="115">
        <v>2.919675</v>
      </c>
      <c r="V11" s="116">
        <v>3.213531155898921</v>
      </c>
      <c r="W11" s="89"/>
      <c r="X11" s="89">
        <v>2.875</v>
      </c>
    </row>
    <row r="12" spans="1:24" ht="12.75">
      <c r="A12" s="18" t="s">
        <v>406</v>
      </c>
      <c r="B12" s="64"/>
      <c r="C12" s="74"/>
      <c r="D12" s="75"/>
      <c r="E12" s="74"/>
      <c r="F12" s="75"/>
      <c r="G12" s="141">
        <v>1</v>
      </c>
      <c r="H12" s="117">
        <v>1</v>
      </c>
      <c r="I12" s="117">
        <v>1</v>
      </c>
      <c r="J12" s="117">
        <v>1</v>
      </c>
      <c r="K12" s="18">
        <v>1</v>
      </c>
      <c r="L12" s="117">
        <v>1.055672939914132</v>
      </c>
      <c r="M12" s="117">
        <v>1.1698404163092109</v>
      </c>
      <c r="N12" s="117">
        <v>1</v>
      </c>
      <c r="O12" s="117">
        <v>1.1448861500347618</v>
      </c>
      <c r="P12" s="117">
        <v>1.2129133625541826</v>
      </c>
      <c r="Q12" s="117">
        <v>1.033516871591194</v>
      </c>
      <c r="R12" s="117">
        <v>1.229350209872019</v>
      </c>
      <c r="S12" s="117">
        <v>1.064204064504732</v>
      </c>
      <c r="T12" s="117">
        <v>1.0863554415471077</v>
      </c>
      <c r="U12" s="117">
        <v>1</v>
      </c>
      <c r="V12" s="118">
        <v>1.1006468719631195</v>
      </c>
      <c r="W12" s="90"/>
      <c r="X12" s="90"/>
    </row>
    <row r="13" spans="1:24" ht="12.75">
      <c r="A13" s="16" t="s">
        <v>452</v>
      </c>
      <c r="B13" s="46" t="s">
        <v>747</v>
      </c>
      <c r="C13" s="70">
        <v>0.3</v>
      </c>
      <c r="D13" s="71">
        <v>0.45</v>
      </c>
      <c r="E13" s="70">
        <v>2.6</v>
      </c>
      <c r="F13" s="71">
        <v>1.15</v>
      </c>
      <c r="G13" s="139">
        <v>1.683904750253343</v>
      </c>
      <c r="H13" s="113">
        <v>2.425183788257545</v>
      </c>
      <c r="I13" s="113">
        <v>2.425183788200895</v>
      </c>
      <c r="J13" s="113">
        <v>2.208152980387556</v>
      </c>
      <c r="K13" s="17">
        <v>1.637793331759991</v>
      </c>
      <c r="L13" s="113">
        <v>2.6653811000600514</v>
      </c>
      <c r="M13" s="113">
        <v>2.665381106211456</v>
      </c>
      <c r="N13" s="113">
        <v>2.534406172297896</v>
      </c>
      <c r="O13" s="113">
        <v>4.372890877378172</v>
      </c>
      <c r="P13" s="113">
        <v>4.372890875574568</v>
      </c>
      <c r="Q13" s="113">
        <v>4.37289087737817</v>
      </c>
      <c r="R13" s="113">
        <v>4.372890873555146</v>
      </c>
      <c r="S13" s="113">
        <v>5.497348531561128</v>
      </c>
      <c r="T13" s="113">
        <v>5.497348531561128</v>
      </c>
      <c r="U13" s="113">
        <v>5.542781164063732</v>
      </c>
      <c r="V13" s="114">
        <v>5.542781164053371</v>
      </c>
      <c r="W13" s="88">
        <v>3.43</v>
      </c>
      <c r="X13" s="88">
        <v>2.08</v>
      </c>
    </row>
    <row r="14" spans="1:24" ht="12.75">
      <c r="A14" s="18" t="s">
        <v>50</v>
      </c>
      <c r="B14" s="64"/>
      <c r="C14" s="74"/>
      <c r="D14" s="75"/>
      <c r="E14" s="74"/>
      <c r="F14" s="75"/>
      <c r="G14" s="141">
        <v>0.25</v>
      </c>
      <c r="H14" s="117">
        <v>0.25</v>
      </c>
      <c r="I14" s="117">
        <v>0.25</v>
      </c>
      <c r="J14" s="117">
        <v>0.25</v>
      </c>
      <c r="K14" s="18">
        <v>0.25</v>
      </c>
      <c r="L14" s="117">
        <v>0.25</v>
      </c>
      <c r="M14" s="117">
        <v>0.25</v>
      </c>
      <c r="N14" s="117">
        <v>0.25</v>
      </c>
      <c r="O14" s="117">
        <v>0.06</v>
      </c>
      <c r="P14" s="117">
        <v>0.06</v>
      </c>
      <c r="Q14" s="117">
        <v>0.06</v>
      </c>
      <c r="R14" s="117">
        <v>0.06</v>
      </c>
      <c r="S14" s="117">
        <v>0.14934688405066485</v>
      </c>
      <c r="T14" s="117">
        <v>0.14934688405066485</v>
      </c>
      <c r="U14" s="117">
        <v>0.05</v>
      </c>
      <c r="V14" s="118">
        <v>0.05</v>
      </c>
      <c r="W14" s="90"/>
      <c r="X14" s="90"/>
    </row>
    <row r="15" spans="1:24" ht="12.75">
      <c r="A15" s="19" t="s">
        <v>524</v>
      </c>
      <c r="B15" s="65" t="s">
        <v>710</v>
      </c>
      <c r="C15" s="76"/>
      <c r="D15" s="77"/>
      <c r="E15" s="76"/>
      <c r="F15" s="77"/>
      <c r="G15" s="142">
        <v>61.63268522726303</v>
      </c>
      <c r="H15" s="101">
        <v>87.6438435103386</v>
      </c>
      <c r="I15" s="101">
        <v>87.64384351335828</v>
      </c>
      <c r="J15" s="101">
        <v>87.48986216597554</v>
      </c>
      <c r="K15" s="19">
        <v>51.23175897859722</v>
      </c>
      <c r="L15" s="101">
        <v>72.60117018367907</v>
      </c>
      <c r="M15" s="101">
        <v>89.1173904296523</v>
      </c>
      <c r="N15" s="101">
        <v>94.00404288870618</v>
      </c>
      <c r="O15" s="101">
        <v>79.38798598685759</v>
      </c>
      <c r="P15" s="101">
        <v>115.26770980861585</v>
      </c>
      <c r="Q15" s="101">
        <v>79.38798606787891</v>
      </c>
      <c r="R15" s="101">
        <v>115.2677097173851</v>
      </c>
      <c r="S15" s="101">
        <v>43.60404928838449</v>
      </c>
      <c r="T15" s="101">
        <v>51.178585589364076</v>
      </c>
      <c r="U15" s="101">
        <v>56.96775583511782</v>
      </c>
      <c r="V15" s="119">
        <v>82.38528059685228</v>
      </c>
      <c r="W15" s="91"/>
      <c r="X15" s="91"/>
    </row>
    <row r="16" spans="1:24" ht="12.75">
      <c r="A16" s="19" t="s">
        <v>525</v>
      </c>
      <c r="B16" s="65" t="s">
        <v>710</v>
      </c>
      <c r="C16" s="76"/>
      <c r="D16" s="77"/>
      <c r="E16" s="76"/>
      <c r="F16" s="77"/>
      <c r="G16" s="142">
        <v>92.77986684824171</v>
      </c>
      <c r="H16" s="101">
        <v>150.0000000371406</v>
      </c>
      <c r="I16" s="101">
        <v>150.0000000440535</v>
      </c>
      <c r="J16" s="101">
        <v>149.99999999770006</v>
      </c>
      <c r="K16" s="19">
        <v>66.4216040249446</v>
      </c>
      <c r="L16" s="101">
        <v>108.50377589120849</v>
      </c>
      <c r="M16" s="101">
        <v>140.44783216877747</v>
      </c>
      <c r="N16" s="101">
        <v>150.00000000001555</v>
      </c>
      <c r="O16" s="101">
        <v>89.79055230450727</v>
      </c>
      <c r="P16" s="101">
        <v>147.83060716118894</v>
      </c>
      <c r="Q16" s="101">
        <v>89.79055241105458</v>
      </c>
      <c r="R16" s="101">
        <v>147.8306070309497</v>
      </c>
      <c r="S16" s="101">
        <v>48.59313752163457</v>
      </c>
      <c r="T16" s="101">
        <v>65.20130914118702</v>
      </c>
      <c r="U16" s="101">
        <v>60.88184816342749</v>
      </c>
      <c r="V16" s="119">
        <v>99.84706164040291</v>
      </c>
      <c r="W16" s="91"/>
      <c r="X16" s="91"/>
    </row>
    <row r="17" spans="1:24" ht="12.75">
      <c r="A17" s="19" t="s">
        <v>526</v>
      </c>
      <c r="B17" s="65" t="s">
        <v>226</v>
      </c>
      <c r="C17" s="76"/>
      <c r="D17" s="77"/>
      <c r="E17" s="76"/>
      <c r="F17" s="77"/>
      <c r="G17" s="142">
        <v>45.41233800214312</v>
      </c>
      <c r="H17" s="101">
        <v>94.19506070156316</v>
      </c>
      <c r="I17" s="101">
        <v>94.19506069716256</v>
      </c>
      <c r="J17" s="101">
        <v>78.09030756655343</v>
      </c>
      <c r="K17" s="19">
        <v>37.75718148271325</v>
      </c>
      <c r="L17" s="101">
        <v>99.99999953842209</v>
      </c>
      <c r="M17" s="101">
        <v>100</v>
      </c>
      <c r="N17" s="101">
        <v>90.41360906957894</v>
      </c>
      <c r="O17" s="101">
        <v>100</v>
      </c>
      <c r="P17" s="101">
        <v>99.99999991750984</v>
      </c>
      <c r="Q17" s="101">
        <v>100</v>
      </c>
      <c r="R17" s="101">
        <v>99.99999982514883</v>
      </c>
      <c r="S17" s="101">
        <v>100</v>
      </c>
      <c r="T17" s="101">
        <v>100</v>
      </c>
      <c r="U17" s="101">
        <v>100.00000000037393</v>
      </c>
      <c r="V17" s="119">
        <v>100</v>
      </c>
      <c r="W17" s="91"/>
      <c r="X17" s="91"/>
    </row>
    <row r="18" spans="1:24" ht="12.75">
      <c r="A18" s="20" t="s">
        <v>314</v>
      </c>
      <c r="B18" s="66" t="s">
        <v>118</v>
      </c>
      <c r="C18" s="78"/>
      <c r="D18" s="79"/>
      <c r="E18" s="78"/>
      <c r="F18" s="79"/>
      <c r="G18" s="143">
        <v>35733568.62649906</v>
      </c>
      <c r="H18" s="120">
        <v>51463998.37433554</v>
      </c>
      <c r="I18" s="120">
        <v>51463998.37313339</v>
      </c>
      <c r="J18" s="120">
        <v>46858461.590904064</v>
      </c>
      <c r="K18" s="100">
        <v>24437147.29805128</v>
      </c>
      <c r="L18" s="120">
        <v>39769554.12171289</v>
      </c>
      <c r="M18" s="120">
        <v>39769554.21349662</v>
      </c>
      <c r="N18" s="120">
        <v>37815306.57410812</v>
      </c>
      <c r="O18" s="120">
        <v>22725459.55056951</v>
      </c>
      <c r="P18" s="120">
        <v>22725459.54119636</v>
      </c>
      <c r="Q18" s="120">
        <v>22725459.550569497</v>
      </c>
      <c r="R18" s="120">
        <v>22725459.53070164</v>
      </c>
      <c r="S18" s="120">
        <v>14461656.07763514</v>
      </c>
      <c r="T18" s="120">
        <v>14461656.07763514</v>
      </c>
      <c r="U18" s="120">
        <v>13039198.10281016</v>
      </c>
      <c r="V18" s="121">
        <v>13039198.102785785</v>
      </c>
      <c r="W18" s="92"/>
      <c r="X18" s="92">
        <v>640000</v>
      </c>
    </row>
    <row r="19" spans="1:24" ht="12.75">
      <c r="A19" s="19" t="s">
        <v>357</v>
      </c>
      <c r="B19" s="65" t="s">
        <v>711</v>
      </c>
      <c r="C19" s="76">
        <f>C13/mu0*2*PI()*C5/1000000</f>
        <v>1.281</v>
      </c>
      <c r="D19" s="77">
        <f>D13/mu0*2*PI()*D5/1000000</f>
        <v>1.9215</v>
      </c>
      <c r="E19" s="76">
        <f>E13/mu0*2*PI()*E5/1000000</f>
        <v>19.6625</v>
      </c>
      <c r="F19" s="77">
        <f>F13/mu0*2*PI()*F5/1000000</f>
        <v>8.696875</v>
      </c>
      <c r="G19" s="142">
        <v>10.103428501520058</v>
      </c>
      <c r="H19" s="101">
        <v>14.551102729545269</v>
      </c>
      <c r="I19" s="101">
        <v>14.551102729205368</v>
      </c>
      <c r="J19" s="101">
        <v>13.248917882325339</v>
      </c>
      <c r="K19" s="19">
        <v>12.283449988199932</v>
      </c>
      <c r="L19" s="101">
        <v>19.990358250450385</v>
      </c>
      <c r="M19" s="101">
        <v>19.99035829658592</v>
      </c>
      <c r="N19" s="101">
        <v>19.00804629223422</v>
      </c>
      <c r="O19" s="101">
        <v>34.983127019025375</v>
      </c>
      <c r="P19" s="101">
        <v>34.98312700459655</v>
      </c>
      <c r="Q19" s="101">
        <v>34.98312701902536</v>
      </c>
      <c r="R19" s="101">
        <v>34.98312698844117</v>
      </c>
      <c r="S19" s="101">
        <v>54.97348531561128</v>
      </c>
      <c r="T19" s="101">
        <v>54.97348531561128</v>
      </c>
      <c r="U19" s="101">
        <v>60.97059280470106</v>
      </c>
      <c r="V19" s="119">
        <v>60.97059280458708</v>
      </c>
      <c r="W19" s="91">
        <v>12</v>
      </c>
      <c r="X19" s="91">
        <f>X13/mu0*2*PI()*X5/1000000</f>
        <v>33.28</v>
      </c>
    </row>
    <row r="20" spans="1:24" ht="12.75">
      <c r="A20" s="16" t="s">
        <v>528</v>
      </c>
      <c r="B20" s="46" t="s">
        <v>711</v>
      </c>
      <c r="C20" s="70">
        <v>1.2</v>
      </c>
      <c r="D20" s="71">
        <v>0.8</v>
      </c>
      <c r="E20" s="70">
        <v>10.1</v>
      </c>
      <c r="F20" s="71">
        <v>6.2</v>
      </c>
      <c r="G20" s="139">
        <v>8.730215761047855</v>
      </c>
      <c r="H20" s="113">
        <v>12.573382032741689</v>
      </c>
      <c r="I20" s="113">
        <v>12.573382032447986</v>
      </c>
      <c r="J20" s="113">
        <v>11.448184316413338</v>
      </c>
      <c r="K20" s="17">
        <v>10.613938493343356</v>
      </c>
      <c r="L20" s="113">
        <v>16.36241458598853</v>
      </c>
      <c r="M20" s="113">
        <v>14.765568114363829</v>
      </c>
      <c r="N20" s="113">
        <v>16.424557792656636</v>
      </c>
      <c r="O20" s="113">
        <v>11.91106722181779</v>
      </c>
      <c r="P20" s="113">
        <v>11.243025520018145</v>
      </c>
      <c r="Q20" s="113">
        <v>13.194575017819576</v>
      </c>
      <c r="R20" s="113">
        <v>11.092702285290864</v>
      </c>
      <c r="S20" s="113">
        <v>10.261759714654326</v>
      </c>
      <c r="T20" s="113">
        <v>10.052516864787574</v>
      </c>
      <c r="U20" s="113">
        <v>12.111945277034815</v>
      </c>
      <c r="V20" s="114">
        <v>11.004388042650994</v>
      </c>
      <c r="W20" s="88">
        <v>8</v>
      </c>
      <c r="X20" s="88">
        <v>28.4</v>
      </c>
    </row>
    <row r="21" spans="1:24" ht="12.75">
      <c r="A21" s="22" t="s">
        <v>557</v>
      </c>
      <c r="B21" s="67"/>
      <c r="C21" s="80"/>
      <c r="D21" s="81"/>
      <c r="E21" s="147"/>
      <c r="F21" s="148"/>
      <c r="G21" s="144">
        <v>0.049303309039737044</v>
      </c>
      <c r="H21" s="122">
        <v>0.02008941800995681</v>
      </c>
      <c r="I21" s="122">
        <v>0.024425750780967377</v>
      </c>
      <c r="J21" s="122">
        <v>0.06020746924737713</v>
      </c>
      <c r="K21" s="22">
        <v>0.04947776113339545</v>
      </c>
      <c r="L21" s="122">
        <v>0.022033267534443915</v>
      </c>
      <c r="M21" s="122">
        <v>0.0621578558343294</v>
      </c>
      <c r="N21" s="122">
        <v>0.0845969421035931</v>
      </c>
      <c r="O21" s="122">
        <v>0.017764884030930753</v>
      </c>
      <c r="P21" s="122">
        <v>0.04862935768052344</v>
      </c>
      <c r="Q21" s="122">
        <v>0.015289673491517329</v>
      </c>
      <c r="R21" s="122">
        <v>0.04731918232565248</v>
      </c>
      <c r="S21" s="122">
        <v>0.01791736625273454</v>
      </c>
      <c r="T21" s="122">
        <v>0.04566916780745635</v>
      </c>
      <c r="U21" s="122">
        <v>0.014062954789579486</v>
      </c>
      <c r="V21" s="123">
        <v>0.042010314543652706</v>
      </c>
      <c r="W21" s="93"/>
      <c r="X21" s="93">
        <f>(1-0.01-0.096)*X22</f>
        <v>0.0659772</v>
      </c>
    </row>
    <row r="22" spans="1:24" ht="12.75">
      <c r="A22" s="22" t="s">
        <v>273</v>
      </c>
      <c r="B22" s="67"/>
      <c r="C22" s="80">
        <v>0.065</v>
      </c>
      <c r="D22" s="81">
        <v>0.055</v>
      </c>
      <c r="E22" s="80">
        <v>0.032</v>
      </c>
      <c r="F22" s="81">
        <v>0.0464</v>
      </c>
      <c r="G22" s="144">
        <v>0.06028621185619541</v>
      </c>
      <c r="H22" s="122">
        <v>0.035814967045568524</v>
      </c>
      <c r="I22" s="122">
        <v>0.041339407359298724</v>
      </c>
      <c r="J22" s="122">
        <v>0.06962617266238838</v>
      </c>
      <c r="K22" s="22">
        <v>0.05930210134102749</v>
      </c>
      <c r="L22" s="122">
        <v>0.036506361943404154</v>
      </c>
      <c r="M22" s="122">
        <v>0.06778680043622626</v>
      </c>
      <c r="N22" s="122">
        <v>0.08888177414709621</v>
      </c>
      <c r="O22" s="122">
        <v>0.029420759279592642</v>
      </c>
      <c r="P22" s="122">
        <v>0.05385850975521277</v>
      </c>
      <c r="Q22" s="122">
        <v>0.027290919674109317</v>
      </c>
      <c r="R22" s="122">
        <v>0.05107693437030716</v>
      </c>
      <c r="S22" s="122">
        <v>0.028193406681179152</v>
      </c>
      <c r="T22" s="122">
        <v>0.051530050285153235</v>
      </c>
      <c r="U22" s="122">
        <v>0.02316087574504025</v>
      </c>
      <c r="V22" s="123">
        <v>0.046484010755452096</v>
      </c>
      <c r="W22" s="93">
        <v>0.0288</v>
      </c>
      <c r="X22" s="93">
        <v>0.0738</v>
      </c>
    </row>
    <row r="23" spans="1:24" ht="12.75">
      <c r="A23" s="18" t="s">
        <v>355</v>
      </c>
      <c r="B23" s="64"/>
      <c r="C23" s="74"/>
      <c r="D23" s="102"/>
      <c r="E23" s="74"/>
      <c r="F23" s="75"/>
      <c r="G23" s="141">
        <v>0.8658556036878855</v>
      </c>
      <c r="H23" s="117">
        <v>0.5143894259980046</v>
      </c>
      <c r="I23" s="117">
        <v>0.5937337313640911</v>
      </c>
      <c r="J23" s="117">
        <v>0.9999999984552659</v>
      </c>
      <c r="K23" s="18">
        <v>0.8517213998961648</v>
      </c>
      <c r="L23" s="117">
        <v>0.5243195265669405</v>
      </c>
      <c r="M23" s="117">
        <v>0.9735821708914884</v>
      </c>
      <c r="N23" s="117">
        <v>1.1411993732796002</v>
      </c>
      <c r="O23" s="117">
        <v>0.49909792430438665</v>
      </c>
      <c r="P23" s="117">
        <v>0.913663382018822</v>
      </c>
      <c r="Q23" s="117">
        <v>0.46296702380327903</v>
      </c>
      <c r="R23" s="117">
        <v>0.8664763435161981</v>
      </c>
      <c r="S23" s="117">
        <v>0.5471255415878145</v>
      </c>
      <c r="T23" s="117">
        <v>0.9999999996145419</v>
      </c>
      <c r="U23" s="117">
        <v>0.4494634802012949</v>
      </c>
      <c r="V23" s="118">
        <v>0.9020757884051078</v>
      </c>
      <c r="W23" s="90"/>
      <c r="X23" s="90"/>
    </row>
    <row r="24" spans="1:24" ht="12.75">
      <c r="A24" s="16" t="s">
        <v>101</v>
      </c>
      <c r="B24" s="46"/>
      <c r="C24" s="103"/>
      <c r="D24" s="102"/>
      <c r="E24" s="103"/>
      <c r="F24" s="102"/>
      <c r="G24" s="141">
        <v>0.013776645665484734</v>
      </c>
      <c r="H24" s="117">
        <v>0.02278988606605034</v>
      </c>
      <c r="I24" s="117">
        <v>0.038445350504991226</v>
      </c>
      <c r="J24" s="117">
        <v>0.0315572028284182</v>
      </c>
      <c r="K24" s="18">
        <v>0.016006562620711092</v>
      </c>
      <c r="L24" s="117">
        <v>0.0412785913230687</v>
      </c>
      <c r="M24" s="117">
        <v>0.024636891489793214</v>
      </c>
      <c r="N24" s="117">
        <v>0.02713324603996384</v>
      </c>
      <c r="O24" s="117">
        <v>0.018448021933665015</v>
      </c>
      <c r="P24" s="117">
        <v>0.013669795256094788</v>
      </c>
      <c r="Q24" s="117">
        <v>0.019377164214615602</v>
      </c>
      <c r="R24" s="117">
        <v>0.008409194034393042</v>
      </c>
      <c r="S24" s="117">
        <v>0.011898866410964496</v>
      </c>
      <c r="T24" s="117">
        <v>0.01147591318618421</v>
      </c>
      <c r="U24" s="117">
        <v>0.008875084519945791</v>
      </c>
      <c r="V24" s="118">
        <v>0.007275826300989834</v>
      </c>
      <c r="W24" s="95"/>
      <c r="X24" s="105"/>
    </row>
    <row r="25" spans="1:24" ht="12.75">
      <c r="A25" s="16" t="s">
        <v>102</v>
      </c>
      <c r="B25" s="46"/>
      <c r="C25" s="103"/>
      <c r="D25" s="102"/>
      <c r="E25" s="103"/>
      <c r="F25" s="102"/>
      <c r="G25" s="141">
        <v>0.05739952333685648</v>
      </c>
      <c r="H25" s="117">
        <v>0.07912163537034132</v>
      </c>
      <c r="I25" s="117">
        <v>0.07116586059148239</v>
      </c>
      <c r="J25" s="117">
        <v>0.0294819629780173</v>
      </c>
      <c r="K25" s="18">
        <v>0.04766138661280517</v>
      </c>
      <c r="L25" s="117">
        <v>0.04756978051247282</v>
      </c>
      <c r="M25" s="117">
        <v>0.0065461032187671695</v>
      </c>
      <c r="N25" s="117">
        <v>0.0006351804654588121</v>
      </c>
      <c r="O25" s="117">
        <v>0.021237942542989652</v>
      </c>
      <c r="P25" s="117">
        <v>0.0031358751506882407</v>
      </c>
      <c r="Q25" s="117">
        <v>0.02588789827605665</v>
      </c>
      <c r="R25" s="117">
        <v>0.0035061572454025427</v>
      </c>
      <c r="S25" s="117">
        <v>0.012078660457071497</v>
      </c>
      <c r="T25" s="117">
        <v>0.0019206860132608729</v>
      </c>
      <c r="U25" s="117">
        <v>0.013716446019271944</v>
      </c>
      <c r="V25" s="118">
        <v>0.002817213399592359</v>
      </c>
      <c r="W25" s="95"/>
      <c r="X25" s="105"/>
    </row>
    <row r="26" spans="1:24" ht="12.75">
      <c r="A26" s="20" t="s">
        <v>100</v>
      </c>
      <c r="B26" s="46"/>
      <c r="C26" s="103"/>
      <c r="D26" s="102"/>
      <c r="E26" s="103"/>
      <c r="F26" s="102"/>
      <c r="G26" s="141">
        <v>0.31951668108437226</v>
      </c>
      <c r="H26" s="117">
        <v>0.1301921573313581</v>
      </c>
      <c r="I26" s="117">
        <v>0.15829434118181726</v>
      </c>
      <c r="J26" s="117">
        <v>0.3901825480903655</v>
      </c>
      <c r="K26" s="18">
        <v>0.32064724118387844</v>
      </c>
      <c r="L26" s="117">
        <v>0.13525925357332585</v>
      </c>
      <c r="M26" s="117">
        <v>0.3443395212886248</v>
      </c>
      <c r="N26" s="117">
        <v>0.5482417853341518</v>
      </c>
      <c r="O26" s="117">
        <v>0.060485938768463095</v>
      </c>
      <c r="P26" s="117">
        <v>0.15628708930233062</v>
      </c>
      <c r="Q26" s="117">
        <v>0.05766801343175447</v>
      </c>
      <c r="R26" s="117">
        <v>0.15004307707978548</v>
      </c>
      <c r="S26" s="117">
        <v>0.041807360891670836</v>
      </c>
      <c r="T26" s="117">
        <v>0.10438897882987623</v>
      </c>
      <c r="U26" s="117">
        <v>0.03492046964968748</v>
      </c>
      <c r="V26" s="118">
        <v>0.09477884783609122</v>
      </c>
      <c r="W26" s="95"/>
      <c r="X26" s="105"/>
    </row>
    <row r="27" spans="1:24" ht="12.75">
      <c r="A27" s="16" t="s">
        <v>103</v>
      </c>
      <c r="B27" s="46"/>
      <c r="C27" s="74">
        <v>0.35</v>
      </c>
      <c r="D27" s="75">
        <v>0.17</v>
      </c>
      <c r="E27" s="74">
        <v>0.133</v>
      </c>
      <c r="F27" s="75">
        <v>0.263</v>
      </c>
      <c r="G27" s="141">
        <v>0.3906928500867135</v>
      </c>
      <c r="H27" s="117">
        <v>0.2321036787677498</v>
      </c>
      <c r="I27" s="117">
        <v>0.2679055522782909</v>
      </c>
      <c r="J27" s="117">
        <v>0.451221713896801</v>
      </c>
      <c r="K27" s="18">
        <v>0.3843151904173947</v>
      </c>
      <c r="L27" s="117">
        <v>0.22410762540886736</v>
      </c>
      <c r="M27" s="117">
        <v>0.37552251599718517</v>
      </c>
      <c r="N27" s="117">
        <v>0.5760102118395745</v>
      </c>
      <c r="O27" s="117">
        <v>0.10017190324511777</v>
      </c>
      <c r="P27" s="117">
        <v>0.17309275970911364</v>
      </c>
      <c r="Q27" s="117">
        <v>0.10293307592242672</v>
      </c>
      <c r="R27" s="117">
        <v>0.16195842835958107</v>
      </c>
      <c r="S27" s="117">
        <v>0.06578488775970683</v>
      </c>
      <c r="T27" s="117">
        <v>0.11778557802932131</v>
      </c>
      <c r="U27" s="117">
        <v>0.05751200018890522</v>
      </c>
      <c r="V27" s="118">
        <v>0.10487188753667341</v>
      </c>
      <c r="W27" s="90">
        <v>0.153</v>
      </c>
      <c r="X27" s="90">
        <v>0.5038</v>
      </c>
    </row>
    <row r="28" spans="1:24" ht="12.75">
      <c r="A28" s="16" t="s">
        <v>454</v>
      </c>
      <c r="B28" s="46"/>
      <c r="C28" s="74">
        <v>0.7</v>
      </c>
      <c r="D28" s="75">
        <v>1.3</v>
      </c>
      <c r="E28" s="74">
        <v>0.682</v>
      </c>
      <c r="F28" s="75">
        <v>0.742</v>
      </c>
      <c r="G28" s="141">
        <v>0.950973934294345</v>
      </c>
      <c r="H28" s="117">
        <v>0.3874894658128244</v>
      </c>
      <c r="I28" s="117">
        <v>0.4711296821791092</v>
      </c>
      <c r="J28" s="117">
        <v>1.1612959661173565</v>
      </c>
      <c r="K28" s="18">
        <v>0.9543388077092002</v>
      </c>
      <c r="L28" s="117">
        <v>0.4486429444004759</v>
      </c>
      <c r="M28" s="117">
        <v>1.4025397910550965</v>
      </c>
      <c r="N28" s="117">
        <v>1.631725911067853</v>
      </c>
      <c r="O28" s="117">
        <v>0.5584456669671494</v>
      </c>
      <c r="P28" s="117">
        <v>1.6195134570727718</v>
      </c>
      <c r="Q28" s="117">
        <v>0.4338823952515792</v>
      </c>
      <c r="R28" s="117">
        <v>1.597236029843118</v>
      </c>
      <c r="S28" s="117">
        <v>0.6958948280160304</v>
      </c>
      <c r="T28" s="117">
        <v>1.8106710843822298</v>
      </c>
      <c r="U28" s="117">
        <v>0.5132407190658186</v>
      </c>
      <c r="V28" s="118">
        <v>1.6875181831892696</v>
      </c>
      <c r="W28" s="90"/>
      <c r="X28" s="90">
        <v>1.73</v>
      </c>
    </row>
    <row r="29" spans="1:24" ht="12.75">
      <c r="A29" s="16" t="s">
        <v>456</v>
      </c>
      <c r="B29" s="66" t="s">
        <v>497</v>
      </c>
      <c r="C29" s="78"/>
      <c r="D29" s="79"/>
      <c r="E29" s="78">
        <v>2.1E+20</v>
      </c>
      <c r="F29" s="79">
        <v>1E+20</v>
      </c>
      <c r="G29" s="143">
        <v>1.8774263545641533E+20</v>
      </c>
      <c r="H29" s="120">
        <v>1.0374638097414686E+20</v>
      </c>
      <c r="I29" s="120">
        <v>9.489633535137037E+19</v>
      </c>
      <c r="J29" s="120">
        <v>2.636148349772272E+20</v>
      </c>
      <c r="K29" s="100">
        <v>1.6040674328805222E+20</v>
      </c>
      <c r="L29" s="120">
        <v>7.99627790558072E+19</v>
      </c>
      <c r="M29" s="120">
        <v>3.296913558394519E+20</v>
      </c>
      <c r="N29" s="120">
        <v>4.109608614392518E+20</v>
      </c>
      <c r="O29" s="120">
        <v>9.624947424738094E+19</v>
      </c>
      <c r="P29" s="120">
        <v>3.6764383001385284E+20</v>
      </c>
      <c r="Q29" s="120">
        <v>9.163428185614639E+19</v>
      </c>
      <c r="R29" s="120">
        <v>4.340360353994078E+20</v>
      </c>
      <c r="S29" s="120">
        <v>1.0527291093425842E+20</v>
      </c>
      <c r="T29" s="120">
        <v>3.4435063829335756E+20</v>
      </c>
      <c r="U29" s="120">
        <v>1.0285467128834561E+20</v>
      </c>
      <c r="V29" s="121">
        <v>3.882125528996444E+20</v>
      </c>
      <c r="W29" s="92">
        <v>2.23E+21</v>
      </c>
      <c r="X29" s="92">
        <v>1.58E+20</v>
      </c>
    </row>
    <row r="30" spans="1:24" ht="12.75">
      <c r="A30" s="16" t="s">
        <v>455</v>
      </c>
      <c r="B30" s="46"/>
      <c r="C30" s="74">
        <v>0.5</v>
      </c>
      <c r="D30" s="75">
        <v>0.5</v>
      </c>
      <c r="E30" s="74">
        <v>0.633</v>
      </c>
      <c r="F30" s="75">
        <v>0.507</v>
      </c>
      <c r="G30" s="141">
        <v>0.4864299443799327</v>
      </c>
      <c r="H30" s="117">
        <v>0.18663935015133143</v>
      </c>
      <c r="I30" s="117">
        <v>0.17071815128230744</v>
      </c>
      <c r="J30" s="117">
        <v>0.5208535190887521</v>
      </c>
      <c r="K30" s="18">
        <v>0.5341318186864021</v>
      </c>
      <c r="L30" s="117">
        <v>0.17272010048544262</v>
      </c>
      <c r="M30" s="117">
        <v>0.789150424226426</v>
      </c>
      <c r="N30" s="117">
        <v>0.8725285148342742</v>
      </c>
      <c r="O30" s="117">
        <v>0.18278058348170395</v>
      </c>
      <c r="P30" s="117">
        <v>0.7396503285400663</v>
      </c>
      <c r="Q30" s="117">
        <v>0.15708869906106995</v>
      </c>
      <c r="R30" s="117">
        <v>0.8850561002153053</v>
      </c>
      <c r="S30" s="117">
        <v>0.23204764214208465</v>
      </c>
      <c r="T30" s="117">
        <v>0.7748336103804633</v>
      </c>
      <c r="U30" s="117">
        <v>0.23242233504338755</v>
      </c>
      <c r="V30" s="118">
        <v>0.9655425502981904</v>
      </c>
      <c r="W30" s="90"/>
      <c r="X30" s="90">
        <f>X29/142200000000000000000</f>
        <v>1.1111111111111112</v>
      </c>
    </row>
    <row r="31" spans="1:24" ht="12.75">
      <c r="A31" s="16" t="s">
        <v>34</v>
      </c>
      <c r="B31" s="46"/>
      <c r="C31" s="70"/>
      <c r="D31" s="71"/>
      <c r="E31" s="70">
        <v>0.2</v>
      </c>
      <c r="F31" s="71">
        <v>0.2</v>
      </c>
      <c r="G31" s="139">
        <v>0.25</v>
      </c>
      <c r="H31" s="113">
        <v>0.25</v>
      </c>
      <c r="I31" s="113">
        <v>0.25</v>
      </c>
      <c r="J31" s="113">
        <v>0.25</v>
      </c>
      <c r="K31" s="17">
        <v>0.25</v>
      </c>
      <c r="L31" s="113">
        <v>0.25</v>
      </c>
      <c r="M31" s="113">
        <v>0.25</v>
      </c>
      <c r="N31" s="113">
        <v>0.22</v>
      </c>
      <c r="O31" s="113">
        <v>0.25</v>
      </c>
      <c r="P31" s="113">
        <v>0.25</v>
      </c>
      <c r="Q31" s="113">
        <v>0.25</v>
      </c>
      <c r="R31" s="113">
        <v>0.25</v>
      </c>
      <c r="S31" s="113">
        <v>0.25</v>
      </c>
      <c r="T31" s="113">
        <v>0.25</v>
      </c>
      <c r="U31" s="113">
        <v>0.25</v>
      </c>
      <c r="V31" s="114">
        <v>0.25</v>
      </c>
      <c r="W31" s="88"/>
      <c r="X31" s="88"/>
    </row>
    <row r="32" spans="1:24" ht="12.75">
      <c r="A32" s="16" t="s">
        <v>35</v>
      </c>
      <c r="B32" s="46"/>
      <c r="C32" s="70"/>
      <c r="D32" s="71"/>
      <c r="E32" s="70">
        <v>1</v>
      </c>
      <c r="F32" s="71">
        <v>1</v>
      </c>
      <c r="G32" s="139">
        <v>1</v>
      </c>
      <c r="H32" s="113">
        <v>1</v>
      </c>
      <c r="I32" s="113">
        <v>1</v>
      </c>
      <c r="J32" s="113">
        <v>1</v>
      </c>
      <c r="K32" s="17">
        <v>1</v>
      </c>
      <c r="L32" s="113">
        <v>1</v>
      </c>
      <c r="M32" s="113">
        <v>1</v>
      </c>
      <c r="N32" s="113">
        <v>0.22</v>
      </c>
      <c r="O32" s="113">
        <v>1</v>
      </c>
      <c r="P32" s="113">
        <v>1</v>
      </c>
      <c r="Q32" s="113">
        <v>1</v>
      </c>
      <c r="R32" s="113">
        <v>1</v>
      </c>
      <c r="S32" s="113">
        <v>1</v>
      </c>
      <c r="T32" s="113">
        <v>1</v>
      </c>
      <c r="U32" s="113">
        <v>1</v>
      </c>
      <c r="V32" s="114">
        <v>1</v>
      </c>
      <c r="W32" s="88"/>
      <c r="X32" s="88"/>
    </row>
    <row r="33" spans="1:24" ht="12.75">
      <c r="A33" s="17" t="s">
        <v>247</v>
      </c>
      <c r="B33" s="46"/>
      <c r="C33" s="74">
        <v>0.1</v>
      </c>
      <c r="D33" s="75">
        <v>0.5</v>
      </c>
      <c r="E33" s="74" t="s">
        <v>414</v>
      </c>
      <c r="F33" s="75">
        <v>0.367</v>
      </c>
      <c r="G33" s="141">
        <v>0.6102333397764178</v>
      </c>
      <c r="H33" s="117">
        <v>0.24864928714013657</v>
      </c>
      <c r="I33" s="117">
        <v>0.3023206305200092</v>
      </c>
      <c r="J33" s="117">
        <v>0.7451955204203649</v>
      </c>
      <c r="K33" s="18">
        <v>0.6123925555738474</v>
      </c>
      <c r="L33" s="117">
        <v>0.2878910477517767</v>
      </c>
      <c r="M33" s="117">
        <v>0.8999999999999584</v>
      </c>
      <c r="N33" s="117">
        <v>0.9899999999999992</v>
      </c>
      <c r="O33" s="117">
        <v>0.31034080001163206</v>
      </c>
      <c r="P33" s="117">
        <v>0.9000000029136827</v>
      </c>
      <c r="Q33" s="117">
        <v>0.24111819218620442</v>
      </c>
      <c r="R33" s="117">
        <v>0.8876199362436367</v>
      </c>
      <c r="S33" s="117">
        <v>0.34589680622626456</v>
      </c>
      <c r="T33" s="117">
        <v>0.8999999999994728</v>
      </c>
      <c r="U33" s="117">
        <v>0.2551079824177809</v>
      </c>
      <c r="V33" s="118">
        <v>0.8387864466216017</v>
      </c>
      <c r="W33" s="90">
        <v>0.2875</v>
      </c>
      <c r="X33" s="90">
        <f>27.2/X20</f>
        <v>0.9577464788732395</v>
      </c>
    </row>
    <row r="34" spans="1:24" ht="12.75">
      <c r="A34" s="16" t="s">
        <v>409</v>
      </c>
      <c r="B34" s="46" t="s">
        <v>177</v>
      </c>
      <c r="C34" s="70">
        <v>1</v>
      </c>
      <c r="D34" s="71">
        <v>1</v>
      </c>
      <c r="E34" s="70">
        <v>5.5</v>
      </c>
      <c r="F34" s="71">
        <v>4.5</v>
      </c>
      <c r="G34" s="139">
        <v>6.61782771729271</v>
      </c>
      <c r="H34" s="113">
        <v>10.138120379100716</v>
      </c>
      <c r="I34" s="113">
        <v>13.53763751187483</v>
      </c>
      <c r="J34" s="113">
        <v>9.995030541471694</v>
      </c>
      <c r="K34" s="17">
        <v>7.364112845579063</v>
      </c>
      <c r="L34" s="113">
        <v>16.666666831288325</v>
      </c>
      <c r="M34" s="113">
        <v>10.38937051883735</v>
      </c>
      <c r="N34" s="113">
        <v>12.152715135297141</v>
      </c>
      <c r="O34" s="113">
        <v>16.666666142071307</v>
      </c>
      <c r="P34" s="113">
        <v>11.405022483779781</v>
      </c>
      <c r="Q34" s="113">
        <v>16.666666862921254</v>
      </c>
      <c r="R34" s="113">
        <v>9.21488794949833</v>
      </c>
      <c r="S34" s="113">
        <v>16.666666664262756</v>
      </c>
      <c r="T34" s="113">
        <v>12.906137391829233</v>
      </c>
      <c r="U34" s="113">
        <v>14.416951875699011</v>
      </c>
      <c r="V34" s="114">
        <v>10.469606639720627</v>
      </c>
      <c r="W34" s="88">
        <v>10.2</v>
      </c>
      <c r="X34" s="88">
        <v>16</v>
      </c>
    </row>
    <row r="35" spans="1:24" ht="12.75">
      <c r="A35" s="16" t="s">
        <v>169</v>
      </c>
      <c r="B35" s="46"/>
      <c r="C35" s="70">
        <v>1</v>
      </c>
      <c r="D35" s="71">
        <v>1.5</v>
      </c>
      <c r="E35" s="70">
        <v>1.4</v>
      </c>
      <c r="F35" s="71">
        <v>1.4</v>
      </c>
      <c r="G35" s="142">
        <v>1.3999999969478627</v>
      </c>
      <c r="H35" s="101">
        <v>1.0000000081796363</v>
      </c>
      <c r="I35" s="101">
        <v>1.4000000194859885</v>
      </c>
      <c r="J35" s="101">
        <v>1.7999999972675795</v>
      </c>
      <c r="K35" s="19">
        <v>1.4000000000298105</v>
      </c>
      <c r="L35" s="101">
        <v>1.400000011944041</v>
      </c>
      <c r="M35" s="101">
        <v>1.7999999998576646</v>
      </c>
      <c r="N35" s="101">
        <v>2.1252804212487266</v>
      </c>
      <c r="O35" s="101">
        <v>1.3999999740115183</v>
      </c>
      <c r="P35" s="101">
        <v>1.8000000065297506</v>
      </c>
      <c r="Q35" s="101">
        <v>1.2000000081669617</v>
      </c>
      <c r="R35" s="101">
        <v>1.600000032224165</v>
      </c>
      <c r="S35" s="101">
        <v>1.399999999507727</v>
      </c>
      <c r="T35" s="101">
        <v>1.7999999987154276</v>
      </c>
      <c r="U35" s="101">
        <v>1.0000000030023206</v>
      </c>
      <c r="V35" s="119">
        <v>1.4000000220155597</v>
      </c>
      <c r="W35" s="88">
        <v>1.3</v>
      </c>
      <c r="X35" s="88">
        <v>1.436</v>
      </c>
    </row>
    <row r="36" spans="1:24" ht="12.75">
      <c r="A36" s="19" t="s">
        <v>498</v>
      </c>
      <c r="B36" s="32"/>
      <c r="C36" s="70"/>
      <c r="D36" s="71"/>
      <c r="E36" s="70">
        <v>1</v>
      </c>
      <c r="F36" s="71">
        <v>0.5</v>
      </c>
      <c r="G36" s="142">
        <v>2.8898879815165466</v>
      </c>
      <c r="H36" s="101">
        <v>1.7179263774046196</v>
      </c>
      <c r="I36" s="101">
        <v>2.4942284311001908</v>
      </c>
      <c r="J36" s="101">
        <v>4.014500231028131</v>
      </c>
      <c r="K36" s="19">
        <v>2.9880000149616985</v>
      </c>
      <c r="L36" s="101">
        <v>2.554043743698159</v>
      </c>
      <c r="M36" s="101">
        <v>4.475773776036058</v>
      </c>
      <c r="N36" s="101">
        <v>5.6137505105330225</v>
      </c>
      <c r="O36" s="101">
        <v>2.433364902385771</v>
      </c>
      <c r="P36" s="101">
        <v>4.168302765139022</v>
      </c>
      <c r="Q36" s="101">
        <v>2.0316013662000527</v>
      </c>
      <c r="R36" s="101">
        <v>3.8457084965373594</v>
      </c>
      <c r="S36" s="101">
        <v>2.4110098457677216</v>
      </c>
      <c r="T36" s="101">
        <v>3.960420238065409</v>
      </c>
      <c r="U36" s="101">
        <v>1.6774242069693799</v>
      </c>
      <c r="V36" s="119">
        <v>3.0993160621016704</v>
      </c>
      <c r="W36" s="91"/>
      <c r="X36" s="88"/>
    </row>
    <row r="37" spans="1:24" ht="12.75">
      <c r="A37" s="16" t="s">
        <v>246</v>
      </c>
      <c r="B37" s="46"/>
      <c r="C37" s="70"/>
      <c r="D37" s="71"/>
      <c r="E37" s="70">
        <v>2</v>
      </c>
      <c r="F37" s="77">
        <f>F42/F40</f>
        <v>0.25</v>
      </c>
      <c r="G37" s="139">
        <v>0.44196165865403464</v>
      </c>
      <c r="H37" s="113">
        <v>0.35307348849981546</v>
      </c>
      <c r="I37" s="113">
        <v>0.6013166013706742</v>
      </c>
      <c r="J37" s="113">
        <v>0.768004559369276</v>
      </c>
      <c r="K37" s="17">
        <v>0.664848844833039</v>
      </c>
      <c r="L37" s="113">
        <v>0.959316739393008</v>
      </c>
      <c r="M37" s="113">
        <v>1.2901801974174016</v>
      </c>
      <c r="N37" s="113">
        <v>1.730615534667832</v>
      </c>
      <c r="O37" s="113">
        <v>0.7980119388562231</v>
      </c>
      <c r="P37" s="113">
        <v>1.0740779813871177</v>
      </c>
      <c r="Q37" s="113">
        <v>0.6875104471482659</v>
      </c>
      <c r="R37" s="113">
        <v>0.9621857925727891</v>
      </c>
      <c r="S37" s="113">
        <v>0.8487851849264285</v>
      </c>
      <c r="T37" s="113">
        <v>1.1225543289145083</v>
      </c>
      <c r="U37" s="113">
        <v>0.6404823311358063</v>
      </c>
      <c r="V37" s="114">
        <v>0.8926664875814398</v>
      </c>
      <c r="W37" s="95"/>
      <c r="X37" s="88">
        <v>2.129</v>
      </c>
    </row>
    <row r="38" spans="1:24" ht="12.75">
      <c r="A38" s="16" t="s">
        <v>512</v>
      </c>
      <c r="B38" s="46"/>
      <c r="C38" s="76"/>
      <c r="D38" s="77"/>
      <c r="E38" s="76">
        <v>6.7</v>
      </c>
      <c r="F38" s="77">
        <v>1.4</v>
      </c>
      <c r="G38" s="139">
        <v>1.5530203871767823</v>
      </c>
      <c r="H38" s="113">
        <v>1.550757682320158</v>
      </c>
      <c r="I38" s="113">
        <v>2.4380337395844554</v>
      </c>
      <c r="J38" s="113">
        <v>5.806402003497591</v>
      </c>
      <c r="K38" s="17">
        <v>2.091189665947616</v>
      </c>
      <c r="L38" s="113">
        <v>3.3522107861580137</v>
      </c>
      <c r="M38" s="113">
        <v>19.997044094464364</v>
      </c>
      <c r="N38" s="113">
        <v>237.27617414388556</v>
      </c>
      <c r="O38" s="113">
        <v>3.355637027058807</v>
      </c>
      <c r="P38" s="113">
        <v>21.961676339705633</v>
      </c>
      <c r="Q38" s="113">
        <v>2.8915521165512934</v>
      </c>
      <c r="R38" s="113">
        <v>13.555559346407827</v>
      </c>
      <c r="S38" s="113">
        <v>3.8056112113774843</v>
      </c>
      <c r="T38" s="113">
        <v>27.850026767031686</v>
      </c>
      <c r="U38" s="113">
        <v>2.79302071442714</v>
      </c>
      <c r="V38" s="114">
        <v>13.664550252753799</v>
      </c>
      <c r="W38" s="95">
        <f>W41/W42</f>
        <v>1.7241379310344827</v>
      </c>
      <c r="X38" s="88">
        <v>107.9</v>
      </c>
    </row>
    <row r="39" spans="1:24" ht="12.75">
      <c r="A39" s="19" t="s">
        <v>89</v>
      </c>
      <c r="B39" s="46" t="s">
        <v>466</v>
      </c>
      <c r="C39" s="76"/>
      <c r="D39" s="77"/>
      <c r="E39" s="76"/>
      <c r="F39" s="102"/>
      <c r="G39" s="142">
        <v>5.085500986036264</v>
      </c>
      <c r="H39" s="101">
        <v>1.9286322351191059</v>
      </c>
      <c r="I39" s="101">
        <v>1.8823117304761907</v>
      </c>
      <c r="J39" s="101">
        <v>12.574758287624897</v>
      </c>
      <c r="K39" s="19">
        <v>7.672512527194555</v>
      </c>
      <c r="L39" s="101">
        <v>2.926581587610146</v>
      </c>
      <c r="M39" s="101">
        <v>40.033295533101985</v>
      </c>
      <c r="N39" s="101">
        <v>53.6035759665809</v>
      </c>
      <c r="O39" s="101">
        <v>2.653448028202316</v>
      </c>
      <c r="P39" s="101">
        <v>32.767402058084215</v>
      </c>
      <c r="Q39" s="101">
        <v>2.3981254780833243</v>
      </c>
      <c r="R39" s="101">
        <v>40.5334862835499</v>
      </c>
      <c r="S39" s="101">
        <v>3.6163922510583424</v>
      </c>
      <c r="T39" s="101">
        <v>35.02664376425067</v>
      </c>
      <c r="U39" s="101">
        <v>4.232869101489954</v>
      </c>
      <c r="V39" s="119">
        <v>52.4143858603681</v>
      </c>
      <c r="W39" s="91"/>
      <c r="X39" s="91">
        <v>58.8</v>
      </c>
    </row>
    <row r="40" spans="1:24" ht="12.75">
      <c r="A40" s="18" t="s">
        <v>645</v>
      </c>
      <c r="B40" s="65" t="s">
        <v>466</v>
      </c>
      <c r="C40" s="76"/>
      <c r="D40" s="77"/>
      <c r="E40" s="76">
        <v>30</v>
      </c>
      <c r="F40" s="77">
        <v>30</v>
      </c>
      <c r="G40" s="142">
        <v>11.128524724642652</v>
      </c>
      <c r="H40" s="101">
        <v>11.773420156236153</v>
      </c>
      <c r="I40" s="101">
        <v>8.405143344427154</v>
      </c>
      <c r="J40" s="101">
        <v>13.447946381892116</v>
      </c>
      <c r="K40" s="19">
        <v>13.716598802878998</v>
      </c>
      <c r="L40" s="101">
        <v>10.6205556662557</v>
      </c>
      <c r="M40" s="101">
        <v>20.103828890455294</v>
      </c>
      <c r="N40" s="101">
        <v>21.574841822371834</v>
      </c>
      <c r="O40" s="101">
        <v>9.616700617113592</v>
      </c>
      <c r="P40" s="101">
        <v>18.461558257047752</v>
      </c>
      <c r="Q40" s="101">
        <v>10.642330897182003</v>
      </c>
      <c r="R40" s="101">
        <v>19.785092547983822</v>
      </c>
      <c r="S40" s="101">
        <v>11.223353167911123</v>
      </c>
      <c r="T40" s="101">
        <v>21.189218471652197</v>
      </c>
      <c r="U40" s="101">
        <v>16.809994017854333</v>
      </c>
      <c r="V40" s="119">
        <v>32.735337495160046</v>
      </c>
      <c r="W40" s="90"/>
      <c r="X40" s="91">
        <v>128.4</v>
      </c>
    </row>
    <row r="41" spans="1:24" ht="12.75">
      <c r="A41" s="21" t="s">
        <v>38</v>
      </c>
      <c r="B41" s="46" t="s">
        <v>466</v>
      </c>
      <c r="C41" s="76"/>
      <c r="D41" s="77">
        <v>7</v>
      </c>
      <c r="E41" s="103"/>
      <c r="F41" s="102"/>
      <c r="G41" s="142">
        <v>46.33598016797193</v>
      </c>
      <c r="H41" s="101">
        <v>46.40358882704339</v>
      </c>
      <c r="I41" s="101">
        <v>29.515884334327854</v>
      </c>
      <c r="J41" s="101">
        <v>36.92926199140749</v>
      </c>
      <c r="K41" s="19">
        <v>53.767780961413266</v>
      </c>
      <c r="L41" s="101">
        <v>33.5416341871229</v>
      </c>
      <c r="M41" s="101">
        <v>28.113812065496262</v>
      </c>
      <c r="N41" s="101">
        <v>3.3325147561288957</v>
      </c>
      <c r="O41" s="101">
        <v>30.360911085819207</v>
      </c>
      <c r="P41" s="101">
        <v>23.194995645806035</v>
      </c>
      <c r="Q41" s="101">
        <v>35.23374067223303</v>
      </c>
      <c r="R41" s="101">
        <v>37.57875083251824</v>
      </c>
      <c r="S41" s="101">
        <v>33.91766763309652</v>
      </c>
      <c r="T41" s="101">
        <v>21.45701996023544</v>
      </c>
      <c r="U41" s="101">
        <v>56.642246058226206</v>
      </c>
      <c r="V41" s="119">
        <v>57.888098629673564</v>
      </c>
      <c r="W41" s="91">
        <v>45</v>
      </c>
      <c r="X41" s="91">
        <v>27.6</v>
      </c>
    </row>
    <row r="42" spans="1:24" ht="12.75">
      <c r="A42" s="16" t="s">
        <v>601</v>
      </c>
      <c r="B42" s="46" t="s">
        <v>466</v>
      </c>
      <c r="C42" s="76"/>
      <c r="D42" s="77"/>
      <c r="E42" s="76">
        <v>60</v>
      </c>
      <c r="F42" s="77">
        <v>7.5</v>
      </c>
      <c r="G42" s="142">
        <v>71.96072186067947</v>
      </c>
      <c r="H42" s="101">
        <v>71.9607218607634</v>
      </c>
      <c r="I42" s="101">
        <v>71.96072186076358</v>
      </c>
      <c r="J42" s="101">
        <v>214.4261408145959</v>
      </c>
      <c r="K42" s="19">
        <v>112.4386279074424</v>
      </c>
      <c r="L42" s="101">
        <v>112.43862790743978</v>
      </c>
      <c r="M42" s="101">
        <v>562.193139537213</v>
      </c>
      <c r="N42" s="101">
        <v>790.7263516123081</v>
      </c>
      <c r="O42" s="101">
        <v>101.88019741481514</v>
      </c>
      <c r="P42" s="101">
        <v>509.4009870740736</v>
      </c>
      <c r="Q42" s="101">
        <v>101.88019741481482</v>
      </c>
      <c r="R42" s="101">
        <v>509.40098707407356</v>
      </c>
      <c r="S42" s="101">
        <v>129.07745620828734</v>
      </c>
      <c r="T42" s="101">
        <v>597.5785802332902</v>
      </c>
      <c r="U42" s="101">
        <v>158.20296655230482</v>
      </c>
      <c r="V42" s="119">
        <v>791.0148327615427</v>
      </c>
      <c r="W42" s="91">
        <v>26.1</v>
      </c>
      <c r="X42" s="91">
        <v>2978.6</v>
      </c>
    </row>
    <row r="43" spans="1:24" ht="12.75">
      <c r="A43" s="17" t="s">
        <v>71</v>
      </c>
      <c r="B43" s="65" t="s">
        <v>466</v>
      </c>
      <c r="C43" s="74"/>
      <c r="D43" s="75"/>
      <c r="E43" s="76">
        <v>12</v>
      </c>
      <c r="F43" s="77">
        <f>F42/5</f>
        <v>1.5</v>
      </c>
      <c r="G43" s="142">
        <v>14.392144441277594</v>
      </c>
      <c r="H43" s="101">
        <v>14.39214418925647</v>
      </c>
      <c r="I43" s="101">
        <v>14.392144118284103</v>
      </c>
      <c r="J43" s="101">
        <v>42.88522820567798</v>
      </c>
      <c r="K43" s="19">
        <v>22.487725580176274</v>
      </c>
      <c r="L43" s="101">
        <v>22.487725731765742</v>
      </c>
      <c r="M43" s="101">
        <v>112.43862791988218</v>
      </c>
      <c r="N43" s="101">
        <v>158.14527032231118</v>
      </c>
      <c r="O43" s="101">
        <v>20.376040027951067</v>
      </c>
      <c r="P43" s="101">
        <v>101.88019769751688</v>
      </c>
      <c r="Q43" s="101">
        <v>20.376039291760296</v>
      </c>
      <c r="R43" s="101">
        <v>101.8801981909508</v>
      </c>
      <c r="S43" s="101">
        <v>25.815490457517438</v>
      </c>
      <c r="T43" s="101">
        <v>119.51571616227622</v>
      </c>
      <c r="U43" s="101">
        <v>31.64059313253542</v>
      </c>
      <c r="V43" s="119">
        <v>158.20297470649479</v>
      </c>
      <c r="W43" s="95">
        <f>W42/5</f>
        <v>5.220000000000001</v>
      </c>
      <c r="X43" s="91">
        <v>594.6</v>
      </c>
    </row>
    <row r="44" spans="1:24" ht="12.75">
      <c r="A44" s="17" t="s">
        <v>174</v>
      </c>
      <c r="B44" s="64"/>
      <c r="C44" s="72"/>
      <c r="D44" s="73"/>
      <c r="E44" s="72"/>
      <c r="F44" s="73"/>
      <c r="G44" s="141">
        <v>0.45183143887771476</v>
      </c>
      <c r="H44" s="117">
        <v>0.5614901148497631</v>
      </c>
      <c r="I44" s="117">
        <v>0.41342104283773085</v>
      </c>
      <c r="J44" s="117">
        <v>0.14888647591647045</v>
      </c>
      <c r="K44" s="18">
        <v>0.35419391849549914</v>
      </c>
      <c r="L44" s="117">
        <v>0.3340378898379259</v>
      </c>
      <c r="M44" s="117">
        <v>0.04408592248005349</v>
      </c>
      <c r="N44" s="117">
        <v>0.003856156186754583</v>
      </c>
      <c r="O44" s="117">
        <v>0.3336968099866682</v>
      </c>
      <c r="P44" s="117">
        <v>0.04208203621885801</v>
      </c>
      <c r="Q44" s="117">
        <v>0.38725410825436996</v>
      </c>
      <c r="R44" s="117">
        <v>0.06120488803444987</v>
      </c>
      <c r="S44" s="117">
        <v>0.2942406333494791</v>
      </c>
      <c r="T44" s="117">
        <v>0.035327173112450684</v>
      </c>
      <c r="U44" s="117">
        <v>0.37255242527868754</v>
      </c>
      <c r="V44" s="118">
        <v>0.0647680742214481</v>
      </c>
      <c r="W44" s="91"/>
      <c r="X44" s="90"/>
    </row>
    <row r="45" spans="1:24" ht="12.75">
      <c r="A45" s="17" t="s">
        <v>249</v>
      </c>
      <c r="B45" s="63" t="s">
        <v>493</v>
      </c>
      <c r="C45" s="76"/>
      <c r="D45" s="77"/>
      <c r="E45" s="76"/>
      <c r="F45" s="77"/>
      <c r="G45" s="140">
        <v>0.16544569333954556</v>
      </c>
      <c r="H45" s="115">
        <v>0.25345300596627174</v>
      </c>
      <c r="I45" s="115">
        <v>0.33844093029004907</v>
      </c>
      <c r="J45" s="115">
        <v>0.24987576448580048</v>
      </c>
      <c r="K45" s="21">
        <v>0.1841028211364337</v>
      </c>
      <c r="L45" s="115">
        <v>0.41666666666666013</v>
      </c>
      <c r="M45" s="115">
        <v>0.259734263003466</v>
      </c>
      <c r="N45" s="115">
        <v>0.30381787838218977</v>
      </c>
      <c r="O45" s="115">
        <v>0.4166666666666666</v>
      </c>
      <c r="P45" s="115">
        <v>0.2851255611033727</v>
      </c>
      <c r="Q45" s="115">
        <v>0.41666666666666513</v>
      </c>
      <c r="R45" s="115">
        <v>0.23037219610489926</v>
      </c>
      <c r="S45" s="115">
        <v>0.4166666666667272</v>
      </c>
      <c r="T45" s="115">
        <v>0.3226534351254442</v>
      </c>
      <c r="U45" s="115">
        <v>0.36042379519472123</v>
      </c>
      <c r="V45" s="116">
        <v>0.2617401920920423</v>
      </c>
      <c r="W45" s="91"/>
      <c r="X45" s="89"/>
    </row>
    <row r="46" spans="1:24" ht="12.75">
      <c r="A46" s="19" t="s">
        <v>248</v>
      </c>
      <c r="B46" s="46" t="s">
        <v>466</v>
      </c>
      <c r="C46" s="76"/>
      <c r="D46" s="77"/>
      <c r="E46" s="76"/>
      <c r="F46" s="77"/>
      <c r="G46" s="142">
        <v>46.33598016797193</v>
      </c>
      <c r="H46" s="101">
        <v>46.40358882704339</v>
      </c>
      <c r="I46" s="101">
        <v>29.515884334327854</v>
      </c>
      <c r="J46" s="101">
        <v>36.92926199140749</v>
      </c>
      <c r="K46" s="19">
        <v>53.767780961413266</v>
      </c>
      <c r="L46" s="101">
        <v>33.5416341871229</v>
      </c>
      <c r="M46" s="101">
        <v>28.113812065496262</v>
      </c>
      <c r="N46" s="101">
        <v>3.3325147561288957</v>
      </c>
      <c r="O46" s="101">
        <v>30.360911085819207</v>
      </c>
      <c r="P46" s="101">
        <v>23.194995645806035</v>
      </c>
      <c r="Q46" s="101">
        <v>35.23374067223303</v>
      </c>
      <c r="R46" s="101">
        <v>37.57875083251824</v>
      </c>
      <c r="S46" s="101">
        <v>33.91766763309652</v>
      </c>
      <c r="T46" s="101">
        <v>21.45701996023544</v>
      </c>
      <c r="U46" s="101">
        <v>56.642246058226206</v>
      </c>
      <c r="V46" s="119">
        <v>57.888098629673564</v>
      </c>
      <c r="W46" s="91"/>
      <c r="X46" s="91">
        <v>27.6</v>
      </c>
    </row>
    <row r="47" spans="1:24" ht="12.75">
      <c r="A47" s="17" t="s">
        <v>685</v>
      </c>
      <c r="B47" s="32"/>
      <c r="C47" s="76"/>
      <c r="D47" s="77"/>
      <c r="E47" s="76"/>
      <c r="F47" s="77"/>
      <c r="G47" s="142">
        <v>102.96884481771541</v>
      </c>
      <c r="H47" s="101">
        <v>103.11908628231865</v>
      </c>
      <c r="I47" s="101">
        <v>65.59085407628412</v>
      </c>
      <c r="J47" s="101">
        <v>82.06502664757221</v>
      </c>
      <c r="K47" s="19">
        <v>119.48395769202948</v>
      </c>
      <c r="L47" s="101">
        <v>74.53696486027312</v>
      </c>
      <c r="M47" s="101">
        <v>62.47513792332502</v>
      </c>
      <c r="N47" s="101">
        <v>7.405588346953102</v>
      </c>
      <c r="O47" s="101">
        <v>67.46869130182046</v>
      </c>
      <c r="P47" s="101">
        <v>51.544434768457855</v>
      </c>
      <c r="Q47" s="101">
        <v>78.29720149385118</v>
      </c>
      <c r="R47" s="101">
        <v>83.50833518337386</v>
      </c>
      <c r="S47" s="101">
        <v>75.3725947402145</v>
      </c>
      <c r="T47" s="101">
        <v>47.682266578300975</v>
      </c>
      <c r="U47" s="101">
        <v>125.87165790716935</v>
      </c>
      <c r="V47" s="119">
        <v>128.64021917705236</v>
      </c>
      <c r="W47" s="91"/>
      <c r="X47" s="91">
        <f>X40/0.68</f>
        <v>188.8235294117647</v>
      </c>
    </row>
    <row r="48" spans="1:24" ht="12.75">
      <c r="A48" s="17" t="s">
        <v>116</v>
      </c>
      <c r="B48" s="32" t="s">
        <v>466</v>
      </c>
      <c r="C48" s="76"/>
      <c r="D48" s="77"/>
      <c r="E48" s="76"/>
      <c r="F48" s="77"/>
      <c r="G48" s="142">
        <v>73.87097267777547</v>
      </c>
      <c r="H48" s="101">
        <v>158.75470349522115</v>
      </c>
      <c r="I48" s="101">
        <v>158.75470348849305</v>
      </c>
      <c r="J48" s="101">
        <v>131.6621031274528</v>
      </c>
      <c r="K48" s="19">
        <v>73.95193646567743</v>
      </c>
      <c r="L48" s="101">
        <v>201.6596028185973</v>
      </c>
      <c r="M48" s="101">
        <v>206.2585881652395</v>
      </c>
      <c r="N48" s="101">
        <v>187.76286610178778</v>
      </c>
      <c r="O48" s="101">
        <v>191.9266600723922</v>
      </c>
      <c r="P48" s="101">
        <v>199.90553910139243</v>
      </c>
      <c r="Q48" s="101">
        <v>191.92666009040946</v>
      </c>
      <c r="R48" s="101">
        <v>199.9055388970925</v>
      </c>
      <c r="S48" s="101">
        <v>264.7735929246703</v>
      </c>
      <c r="T48" s="101">
        <v>266.84050176346346</v>
      </c>
      <c r="U48" s="101">
        <v>283.8571117114554</v>
      </c>
      <c r="V48" s="119">
        <v>290.52610617515137</v>
      </c>
      <c r="W48" s="91"/>
      <c r="X48" s="91">
        <v>325.5</v>
      </c>
    </row>
    <row r="49" spans="1:24" ht="12.75">
      <c r="A49" s="19" t="s">
        <v>692</v>
      </c>
      <c r="B49" s="32" t="s">
        <v>466</v>
      </c>
      <c r="C49" s="76"/>
      <c r="D49" s="77"/>
      <c r="E49" s="103"/>
      <c r="F49" s="102"/>
      <c r="G49" s="142">
        <v>28.881207568872423</v>
      </c>
      <c r="H49" s="101">
        <v>41.98918377483227</v>
      </c>
      <c r="I49" s="101">
        <v>41.98918377382385</v>
      </c>
      <c r="J49" s="101">
        <v>38.13300707665727</v>
      </c>
      <c r="K49" s="19">
        <v>38.842079976170254</v>
      </c>
      <c r="L49" s="101">
        <v>60.561591321551866</v>
      </c>
      <c r="M49" s="101">
        <v>54.492778415480686</v>
      </c>
      <c r="N49" s="101">
        <v>0</v>
      </c>
      <c r="O49" s="101">
        <v>42.912355375729824</v>
      </c>
      <c r="P49" s="101">
        <v>40.44706626725237</v>
      </c>
      <c r="Q49" s="101">
        <v>47.663223789583796</v>
      </c>
      <c r="R49" s="101">
        <v>39.89304897211098</v>
      </c>
      <c r="S49" s="101">
        <v>39.587907846485535</v>
      </c>
      <c r="T49" s="101">
        <v>38.763195169874656</v>
      </c>
      <c r="U49" s="101">
        <v>49.17735645699835</v>
      </c>
      <c r="V49" s="119">
        <v>44.585363204116184</v>
      </c>
      <c r="W49" s="91"/>
      <c r="X49" s="91"/>
    </row>
    <row r="50" spans="1:24" ht="12.75">
      <c r="A50" s="21" t="s">
        <v>587</v>
      </c>
      <c r="B50" s="65" t="s">
        <v>466</v>
      </c>
      <c r="C50" s="72"/>
      <c r="D50" s="73"/>
      <c r="E50" s="72"/>
      <c r="F50" s="73"/>
      <c r="G50" s="142">
        <v>20</v>
      </c>
      <c r="H50" s="101">
        <v>20</v>
      </c>
      <c r="I50" s="101">
        <v>20</v>
      </c>
      <c r="J50" s="101">
        <v>20</v>
      </c>
      <c r="K50" s="19">
        <v>20</v>
      </c>
      <c r="L50" s="101">
        <v>20</v>
      </c>
      <c r="M50" s="101">
        <v>20</v>
      </c>
      <c r="N50" s="101">
        <v>23.38751799742987</v>
      </c>
      <c r="O50" s="101">
        <v>20</v>
      </c>
      <c r="P50" s="101">
        <v>20</v>
      </c>
      <c r="Q50" s="101">
        <v>20</v>
      </c>
      <c r="R50" s="101">
        <v>20</v>
      </c>
      <c r="S50" s="101">
        <v>20</v>
      </c>
      <c r="T50" s="101">
        <v>20</v>
      </c>
      <c r="U50" s="101">
        <v>20</v>
      </c>
      <c r="V50" s="119">
        <v>20</v>
      </c>
      <c r="W50" s="89"/>
      <c r="X50" s="89"/>
    </row>
    <row r="51" spans="1:24" ht="12.75">
      <c r="A51" s="21" t="s">
        <v>588</v>
      </c>
      <c r="B51" s="32" t="s">
        <v>466</v>
      </c>
      <c r="C51" s="72"/>
      <c r="D51" s="73"/>
      <c r="E51" s="72"/>
      <c r="F51" s="73"/>
      <c r="G51" s="142">
        <v>225.7210250643633</v>
      </c>
      <c r="H51" s="101">
        <v>323.86297355237207</v>
      </c>
      <c r="I51" s="101">
        <v>286.334741338601</v>
      </c>
      <c r="J51" s="101">
        <v>271.8601368516823</v>
      </c>
      <c r="K51" s="19">
        <v>252.27797413387717</v>
      </c>
      <c r="L51" s="101">
        <v>356.7581590004223</v>
      </c>
      <c r="M51" s="101">
        <v>343.2265045040452</v>
      </c>
      <c r="N51" s="101">
        <v>218.55597244617076</v>
      </c>
      <c r="O51" s="101">
        <v>322.30770674994244</v>
      </c>
      <c r="P51" s="101">
        <v>311.89704013710264</v>
      </c>
      <c r="Q51" s="101">
        <v>337.8870853738444</v>
      </c>
      <c r="R51" s="101">
        <v>343.30692305257736</v>
      </c>
      <c r="S51" s="101">
        <v>399.73409551137036</v>
      </c>
      <c r="T51" s="101">
        <v>373.2859635116391</v>
      </c>
      <c r="U51" s="101">
        <v>478.9061260756231</v>
      </c>
      <c r="V51" s="119">
        <v>483.7516885563199</v>
      </c>
      <c r="W51" s="89"/>
      <c r="X51" s="89"/>
    </row>
    <row r="52" spans="1:24" ht="12.75">
      <c r="A52" s="21" t="s">
        <v>405</v>
      </c>
      <c r="B52" s="32" t="s">
        <v>466</v>
      </c>
      <c r="C52" s="72"/>
      <c r="D52" s="73"/>
      <c r="E52" s="76">
        <v>0.64</v>
      </c>
      <c r="F52" s="77">
        <v>0.08</v>
      </c>
      <c r="G52" s="142">
        <v>1.0740871728868375</v>
      </c>
      <c r="H52" s="101">
        <v>1.0740871775904939</v>
      </c>
      <c r="I52" s="101">
        <v>1.0740871789146662</v>
      </c>
      <c r="J52" s="101">
        <v>3.200528866923928</v>
      </c>
      <c r="K52" s="19">
        <v>1.0740871741937679</v>
      </c>
      <c r="L52" s="101">
        <v>1.0740871723836347</v>
      </c>
      <c r="M52" s="101">
        <v>5.370435870741968</v>
      </c>
      <c r="N52" s="101">
        <v>7.553534300069556</v>
      </c>
      <c r="O52" s="101">
        <v>1.1779027060912137</v>
      </c>
      <c r="P52" s="101">
        <v>5.889513565751407</v>
      </c>
      <c r="Q52" s="101">
        <v>1.1779027167306797</v>
      </c>
      <c r="R52" s="101">
        <v>5.88951355862027</v>
      </c>
      <c r="S52" s="101">
        <v>1.2357813723066609</v>
      </c>
      <c r="T52" s="101">
        <v>5.721188609138264</v>
      </c>
      <c r="U52" s="101">
        <v>1.2517583483135482</v>
      </c>
      <c r="V52" s="119">
        <v>6.258791652120533</v>
      </c>
      <c r="W52" s="89"/>
      <c r="X52" s="89"/>
    </row>
    <row r="53" spans="1:24" ht="12.75">
      <c r="A53" s="36" t="s">
        <v>316</v>
      </c>
      <c r="B53" s="65" t="s">
        <v>624</v>
      </c>
      <c r="C53" s="82"/>
      <c r="D53" s="83"/>
      <c r="E53" s="82"/>
      <c r="F53" s="83"/>
      <c r="G53" s="140">
        <v>0.5965054468142107</v>
      </c>
      <c r="H53" s="115">
        <v>0.596505449426435</v>
      </c>
      <c r="I53" s="115">
        <v>0.5965054501618278</v>
      </c>
      <c r="J53" s="115">
        <v>1.7774468869924558</v>
      </c>
      <c r="K53" s="21">
        <v>0.5965054475400283</v>
      </c>
      <c r="L53" s="115">
        <v>0.596505446534752</v>
      </c>
      <c r="M53" s="115">
        <v>2.9825272375741454</v>
      </c>
      <c r="N53" s="115">
        <v>4.19493358307163</v>
      </c>
      <c r="O53" s="115">
        <v>0.6756140380551684</v>
      </c>
      <c r="P53" s="115">
        <v>3.3780702105203204</v>
      </c>
      <c r="Q53" s="115">
        <v>0.6756140441576864</v>
      </c>
      <c r="R53" s="115">
        <v>3.378070206430088</v>
      </c>
      <c r="S53" s="115">
        <v>0.7336898340455816</v>
      </c>
      <c r="T53" s="115">
        <v>3.3966994609629784</v>
      </c>
      <c r="U53" s="115">
        <v>0.7431754478748007</v>
      </c>
      <c r="V53" s="116">
        <v>3.7158771862687305</v>
      </c>
      <c r="W53" s="94"/>
      <c r="X53" s="94"/>
    </row>
    <row r="54" spans="1:24" ht="12.75">
      <c r="A54" s="17" t="s">
        <v>317</v>
      </c>
      <c r="B54" s="65" t="s">
        <v>624</v>
      </c>
      <c r="C54" s="76"/>
      <c r="D54" s="77"/>
      <c r="E54" s="76"/>
      <c r="F54" s="77"/>
      <c r="G54" s="140">
        <v>0.999999998797804</v>
      </c>
      <c r="H54" s="115">
        <v>1.0000000031770169</v>
      </c>
      <c r="I54" s="115">
        <v>1.0000000044098518</v>
      </c>
      <c r="J54" s="115">
        <v>2.979766395006993</v>
      </c>
      <c r="K54" s="21">
        <v>1.0000000000145866</v>
      </c>
      <c r="L54" s="115">
        <v>0.9999999983293106</v>
      </c>
      <c r="M54" s="115">
        <v>4.999999999861709</v>
      </c>
      <c r="N54" s="115">
        <v>7.032515126949146</v>
      </c>
      <c r="O54" s="115">
        <v>0.9999999933133759</v>
      </c>
      <c r="P54" s="115">
        <v>4.99999999653144</v>
      </c>
      <c r="Q54" s="115">
        <v>1.0000000023459266</v>
      </c>
      <c r="R54" s="115">
        <v>4.999999990477344</v>
      </c>
      <c r="S54" s="115">
        <v>1.000000007593679</v>
      </c>
      <c r="T54" s="115">
        <v>4.629612309096542</v>
      </c>
      <c r="U54" s="115">
        <v>1.000000001405833</v>
      </c>
      <c r="V54" s="116">
        <v>4.999999935571916</v>
      </c>
      <c r="W54" s="91"/>
      <c r="X54" s="91"/>
    </row>
    <row r="55" spans="1:24" ht="12.75">
      <c r="A55" s="17" t="s">
        <v>440</v>
      </c>
      <c r="B55" s="65" t="s">
        <v>624</v>
      </c>
      <c r="C55" s="84"/>
      <c r="D55" s="85"/>
      <c r="E55" s="84"/>
      <c r="F55" s="85"/>
      <c r="G55" s="140">
        <v>1.5999983999999998</v>
      </c>
      <c r="H55" s="115">
        <v>1.5999983999999998</v>
      </c>
      <c r="I55" s="115">
        <v>1.5999983999999998</v>
      </c>
      <c r="J55" s="115">
        <v>1.5999983999999998</v>
      </c>
      <c r="K55" s="21">
        <v>1.999998</v>
      </c>
      <c r="L55" s="115">
        <v>1.999998</v>
      </c>
      <c r="M55" s="115">
        <v>1.999998</v>
      </c>
      <c r="N55" s="115">
        <v>1.999998</v>
      </c>
      <c r="O55" s="115">
        <v>1.4</v>
      </c>
      <c r="P55" s="115">
        <v>1.4</v>
      </c>
      <c r="Q55" s="115">
        <v>1.4</v>
      </c>
      <c r="R55" s="115">
        <v>1.4</v>
      </c>
      <c r="S55" s="115">
        <v>1</v>
      </c>
      <c r="T55" s="115">
        <v>1</v>
      </c>
      <c r="U55" s="115">
        <v>1.4</v>
      </c>
      <c r="V55" s="116">
        <v>1.4</v>
      </c>
      <c r="W55" s="95"/>
      <c r="X55" s="95"/>
    </row>
    <row r="56" spans="1:24" ht="12.75">
      <c r="A56" s="19" t="s">
        <v>179</v>
      </c>
      <c r="B56" s="63" t="s">
        <v>706</v>
      </c>
      <c r="C56" s="76"/>
      <c r="D56" s="77"/>
      <c r="E56" s="76"/>
      <c r="F56" s="77"/>
      <c r="G56" s="145">
        <v>3</v>
      </c>
      <c r="H56" s="124">
        <v>3</v>
      </c>
      <c r="I56" s="124">
        <v>2</v>
      </c>
      <c r="J56" s="124">
        <v>3</v>
      </c>
      <c r="K56" s="36">
        <v>3</v>
      </c>
      <c r="L56" s="124">
        <v>2</v>
      </c>
      <c r="M56" s="124">
        <v>2</v>
      </c>
      <c r="N56" s="124">
        <v>1</v>
      </c>
      <c r="O56" s="124">
        <v>3</v>
      </c>
      <c r="P56" s="124">
        <v>2</v>
      </c>
      <c r="Q56" s="124">
        <v>3</v>
      </c>
      <c r="R56" s="124">
        <v>3</v>
      </c>
      <c r="S56" s="124">
        <v>4</v>
      </c>
      <c r="T56" s="124">
        <v>3</v>
      </c>
      <c r="U56" s="124">
        <v>5</v>
      </c>
      <c r="V56" s="125">
        <v>5</v>
      </c>
      <c r="W56" s="91"/>
      <c r="X56" s="91"/>
    </row>
    <row r="57" spans="1:24" ht="12.75">
      <c r="A57" s="22" t="s">
        <v>237</v>
      </c>
      <c r="B57" s="68"/>
      <c r="C57" s="80"/>
      <c r="D57" s="81"/>
      <c r="E57" s="80"/>
      <c r="F57" s="81"/>
      <c r="G57" s="140">
        <v>9.5999904</v>
      </c>
      <c r="H57" s="115">
        <v>9.5999904</v>
      </c>
      <c r="I57" s="115">
        <v>12.799987199999999</v>
      </c>
      <c r="J57" s="115">
        <v>11.199988799999998</v>
      </c>
      <c r="K57" s="21">
        <v>19.99998</v>
      </c>
      <c r="L57" s="101">
        <v>21.999978</v>
      </c>
      <c r="M57" s="101">
        <v>23.999976</v>
      </c>
      <c r="N57" s="101">
        <v>25.999973999999998</v>
      </c>
      <c r="O57" s="101">
        <v>14</v>
      </c>
      <c r="P57" s="101">
        <v>14</v>
      </c>
      <c r="Q57" s="101">
        <v>12.6</v>
      </c>
      <c r="R57" s="101">
        <v>12.6</v>
      </c>
      <c r="S57" s="101">
        <v>10</v>
      </c>
      <c r="T57" s="101">
        <v>12</v>
      </c>
      <c r="U57" s="101">
        <v>14</v>
      </c>
      <c r="V57" s="119">
        <v>14</v>
      </c>
      <c r="W57" s="93"/>
      <c r="X57" s="93"/>
    </row>
    <row r="58" spans="1:24" ht="12.75">
      <c r="A58" s="18" t="s">
        <v>318</v>
      </c>
      <c r="B58" s="32" t="s">
        <v>119</v>
      </c>
      <c r="C58" s="74"/>
      <c r="D58" s="75"/>
      <c r="E58" s="74"/>
      <c r="F58" s="75"/>
      <c r="G58" s="145">
        <v>6</v>
      </c>
      <c r="H58" s="124">
        <v>6</v>
      </c>
      <c r="I58" s="124">
        <v>7</v>
      </c>
      <c r="J58" s="124">
        <v>7</v>
      </c>
      <c r="K58" s="36">
        <v>6</v>
      </c>
      <c r="L58" s="126">
        <v>6</v>
      </c>
      <c r="M58" s="126">
        <v>6</v>
      </c>
      <c r="N58" s="126">
        <v>6</v>
      </c>
      <c r="O58" s="126">
        <v>8</v>
      </c>
      <c r="P58" s="126">
        <v>8</v>
      </c>
      <c r="Q58" s="126">
        <v>8</v>
      </c>
      <c r="R58" s="126">
        <v>8</v>
      </c>
      <c r="S58" s="126">
        <v>11</v>
      </c>
      <c r="T58" s="126">
        <v>11</v>
      </c>
      <c r="U58" s="126">
        <v>8</v>
      </c>
      <c r="V58" s="127">
        <v>8</v>
      </c>
      <c r="W58" s="90"/>
      <c r="X58" s="90"/>
    </row>
    <row r="59" spans="1:24" ht="12.75">
      <c r="A59" s="18" t="s">
        <v>165</v>
      </c>
      <c r="B59" s="32"/>
      <c r="C59" s="72"/>
      <c r="D59" s="73"/>
      <c r="E59" s="72"/>
      <c r="F59" s="73"/>
      <c r="G59" s="142">
        <v>43.22833652755301</v>
      </c>
      <c r="H59" s="101">
        <v>43.22833652755301</v>
      </c>
      <c r="I59" s="101">
        <v>43.22833652755301</v>
      </c>
      <c r="J59" s="101">
        <v>43.22833652755301</v>
      </c>
      <c r="K59" s="19">
        <v>66.60179755698574</v>
      </c>
      <c r="L59" s="101">
        <v>66.60179755698574</v>
      </c>
      <c r="M59" s="101">
        <v>66.60179755698574</v>
      </c>
      <c r="N59" s="101">
        <v>66.60179755698574</v>
      </c>
      <c r="O59" s="101">
        <v>48.06636759992384</v>
      </c>
      <c r="P59" s="101">
        <v>48.06636759992384</v>
      </c>
      <c r="Q59" s="101">
        <v>48.06636759992384</v>
      </c>
      <c r="R59" s="101">
        <v>48.06636759992384</v>
      </c>
      <c r="S59" s="101">
        <v>55.60618996853933</v>
      </c>
      <c r="T59" s="101">
        <v>55.60618996853933</v>
      </c>
      <c r="U59" s="101">
        <v>60.8840656265702</v>
      </c>
      <c r="V59" s="119">
        <v>60.8840656265702</v>
      </c>
      <c r="W59" s="89"/>
      <c r="X59" s="89"/>
    </row>
    <row r="60" spans="1:24" ht="12.75">
      <c r="A60" s="20" t="s">
        <v>220</v>
      </c>
      <c r="B60" s="65" t="s">
        <v>48</v>
      </c>
      <c r="C60" s="78"/>
      <c r="D60" s="79"/>
      <c r="E60" s="78"/>
      <c r="F60" s="79"/>
      <c r="G60" s="140">
        <v>11.007855140943718</v>
      </c>
      <c r="H60" s="115">
        <v>11.007855140956558</v>
      </c>
      <c r="I60" s="115">
        <v>11.007855140956586</v>
      </c>
      <c r="J60" s="115">
        <v>32.80083683830328</v>
      </c>
      <c r="K60" s="21">
        <v>17.199773657744558</v>
      </c>
      <c r="L60" s="101">
        <v>17.199773657744156</v>
      </c>
      <c r="M60" s="101">
        <v>85.99886828872295</v>
      </c>
      <c r="N60" s="101">
        <v>120.95766842816145</v>
      </c>
      <c r="O60" s="101">
        <v>15.584647094623133</v>
      </c>
      <c r="P60" s="101">
        <v>77.92323547311607</v>
      </c>
      <c r="Q60" s="101">
        <v>15.58464709462329</v>
      </c>
      <c r="R60" s="101">
        <v>77.92323547311601</v>
      </c>
      <c r="S60" s="101">
        <v>19.745020660760513</v>
      </c>
      <c r="T60" s="101">
        <v>91.41179071238496</v>
      </c>
      <c r="U60" s="101">
        <v>24.200359496767394</v>
      </c>
      <c r="V60" s="119">
        <v>121.00179748383708</v>
      </c>
      <c r="W60" s="92"/>
      <c r="X60" s="92"/>
    </row>
    <row r="61" spans="1:24" ht="12.75">
      <c r="A61" s="17" t="s">
        <v>540</v>
      </c>
      <c r="B61" s="67"/>
      <c r="C61" s="74"/>
      <c r="D61" s="75"/>
      <c r="E61" s="74"/>
      <c r="F61" s="75"/>
      <c r="G61" s="141">
        <v>0.07883680282977468</v>
      </c>
      <c r="H61" s="117">
        <v>0.07883680282977468</v>
      </c>
      <c r="I61" s="117">
        <v>0.07883680282977468</v>
      </c>
      <c r="J61" s="117">
        <v>0.07883680282977468</v>
      </c>
      <c r="K61" s="18">
        <v>0.07883680282977468</v>
      </c>
      <c r="L61" s="117">
        <v>0.07883680282977468</v>
      </c>
      <c r="M61" s="117">
        <v>0.07883680282977468</v>
      </c>
      <c r="N61" s="117">
        <v>0.07883680282977468</v>
      </c>
      <c r="O61" s="117">
        <v>0.12411800391540856</v>
      </c>
      <c r="P61" s="117">
        <v>0.12411800391540856</v>
      </c>
      <c r="Q61" s="117">
        <v>0.12411800391540856</v>
      </c>
      <c r="R61" s="117">
        <v>0.12411800391540856</v>
      </c>
      <c r="S61" s="117">
        <v>0.1527768733768989</v>
      </c>
      <c r="T61" s="117">
        <v>0.1527768733768989</v>
      </c>
      <c r="U61" s="117">
        <v>0.1527768733768989</v>
      </c>
      <c r="V61" s="118">
        <v>0.1527768733768989</v>
      </c>
      <c r="W61" s="90"/>
      <c r="X61" s="90"/>
    </row>
    <row r="62" spans="1:24" ht="12.75">
      <c r="A62" s="17" t="s">
        <v>242</v>
      </c>
      <c r="B62" s="64"/>
      <c r="C62" s="70"/>
      <c r="D62" s="71"/>
      <c r="E62" s="70"/>
      <c r="F62" s="71"/>
      <c r="G62" s="141">
        <v>0.6930281411698249</v>
      </c>
      <c r="H62" s="117">
        <v>0.692849258648647</v>
      </c>
      <c r="I62" s="117">
        <v>0.7375316291918966</v>
      </c>
      <c r="J62" s="117">
        <v>0.7179169274073195</v>
      </c>
      <c r="K62" s="18">
        <v>0.7352665116228252</v>
      </c>
      <c r="L62" s="117">
        <v>0.7696779416002502</v>
      </c>
      <c r="M62" s="117">
        <v>0.7789124795946886</v>
      </c>
      <c r="N62" s="117">
        <v>0.8210737417781012</v>
      </c>
      <c r="O62" s="117">
        <v>0.6717126971091917</v>
      </c>
      <c r="P62" s="117">
        <v>0.6860157478038671</v>
      </c>
      <c r="Q62" s="117">
        <v>0.6619866061162857</v>
      </c>
      <c r="R62" s="117">
        <v>0.6573059950361116</v>
      </c>
      <c r="S62" s="117">
        <v>0.6209026232376221</v>
      </c>
      <c r="T62" s="117">
        <v>0.6417326079406089</v>
      </c>
      <c r="U62" s="117">
        <v>0.5973699271211651</v>
      </c>
      <c r="V62" s="118">
        <v>0.5956658241139612</v>
      </c>
      <c r="W62" s="88"/>
      <c r="X62" s="88"/>
    </row>
    <row r="63" spans="1:24" ht="12.75">
      <c r="A63" s="17" t="s">
        <v>523</v>
      </c>
      <c r="B63" s="46"/>
      <c r="C63" s="74"/>
      <c r="D63" s="75"/>
      <c r="E63" s="74"/>
      <c r="F63" s="75"/>
      <c r="G63" s="141">
        <v>0.8316337694037899</v>
      </c>
      <c r="H63" s="117">
        <v>0.8314191103783763</v>
      </c>
      <c r="I63" s="117">
        <v>0.8850379550302759</v>
      </c>
      <c r="J63" s="117">
        <v>0.8615003128887834</v>
      </c>
      <c r="K63" s="18">
        <v>0.8823198139473902</v>
      </c>
      <c r="L63" s="117">
        <v>0.9236135299203001</v>
      </c>
      <c r="M63" s="117">
        <v>0.9346949755136262</v>
      </c>
      <c r="N63" s="117">
        <v>0.9852884901337214</v>
      </c>
      <c r="O63" s="117">
        <v>0.80605523653103</v>
      </c>
      <c r="P63" s="117">
        <v>0.8232188973646405</v>
      </c>
      <c r="Q63" s="117">
        <v>0.7943839273395428</v>
      </c>
      <c r="R63" s="117">
        <v>0.788767194043334</v>
      </c>
      <c r="S63" s="117">
        <v>0.7450831478851465</v>
      </c>
      <c r="T63" s="117">
        <v>0.7700791295287307</v>
      </c>
      <c r="U63" s="117">
        <v>0.7168439125453981</v>
      </c>
      <c r="V63" s="118">
        <v>0.7147989889367534</v>
      </c>
      <c r="W63" s="90"/>
      <c r="X63" s="90"/>
    </row>
    <row r="64" spans="1:24" ht="12.75">
      <c r="A64" s="17" t="s">
        <v>49</v>
      </c>
      <c r="B64" s="64" t="s">
        <v>48</v>
      </c>
      <c r="C64" s="76"/>
      <c r="D64" s="77"/>
      <c r="E64" s="76"/>
      <c r="F64" s="77"/>
      <c r="G64" s="140">
        <v>1.8533510770298065</v>
      </c>
      <c r="H64" s="115">
        <v>1.85571401248842</v>
      </c>
      <c r="I64" s="115">
        <v>1.2654855377348593</v>
      </c>
      <c r="J64" s="115">
        <v>4.5429056390910745</v>
      </c>
      <c r="K64" s="21">
        <v>2.024072564106156</v>
      </c>
      <c r="L64" s="115">
        <v>1.313829995884884</v>
      </c>
      <c r="M64" s="115">
        <v>5.616158199395485</v>
      </c>
      <c r="N64" s="115">
        <v>1.7794699324829537</v>
      </c>
      <c r="O64" s="115">
        <v>3.0225606945140555</v>
      </c>
      <c r="P64" s="115">
        <v>13.775355487852224</v>
      </c>
      <c r="Q64" s="115">
        <v>3.2044539293956458</v>
      </c>
      <c r="R64" s="115">
        <v>16.45994367820831</v>
      </c>
      <c r="S64" s="115">
        <v>5.033338511783814</v>
      </c>
      <c r="T64" s="115">
        <v>21.01747849192904</v>
      </c>
      <c r="U64" s="115">
        <v>6.852479110099473</v>
      </c>
      <c r="V64" s="116">
        <v>34.50983498286054</v>
      </c>
      <c r="W64" s="91"/>
      <c r="X64" s="91"/>
    </row>
    <row r="65" spans="1:24" ht="12.75">
      <c r="A65" s="19" t="s">
        <v>209</v>
      </c>
      <c r="B65" s="66"/>
      <c r="C65" s="76"/>
      <c r="D65" s="77"/>
      <c r="E65" s="76"/>
      <c r="F65" s="77"/>
      <c r="G65" s="143">
        <v>78422126131.09708</v>
      </c>
      <c r="H65" s="128">
        <v>54643337313.25242</v>
      </c>
      <c r="I65" s="120">
        <v>65790981269.47757</v>
      </c>
      <c r="J65" s="120">
        <v>200988235332.55582</v>
      </c>
      <c r="K65" s="20">
        <v>116317546807.6828</v>
      </c>
      <c r="L65" s="120">
        <v>86102330831.66322</v>
      </c>
      <c r="M65" s="120">
        <v>452853399089.8279</v>
      </c>
      <c r="N65" s="120">
        <v>1054411035093.5566</v>
      </c>
      <c r="O65" s="120">
        <v>82163670393.9071</v>
      </c>
      <c r="P65" s="120">
        <v>424530869704.3372</v>
      </c>
      <c r="Q65" s="120">
        <v>78375248917.01044</v>
      </c>
      <c r="R65" s="120">
        <v>385689634132.45746</v>
      </c>
      <c r="S65" s="120">
        <v>77663650535.76698</v>
      </c>
      <c r="T65" s="120">
        <v>385027682005.9858</v>
      </c>
      <c r="U65" s="120">
        <v>79128565941.30399</v>
      </c>
      <c r="V65" s="121">
        <v>391679815613.5099</v>
      </c>
      <c r="W65" s="91"/>
      <c r="X65" s="91"/>
    </row>
    <row r="66" spans="1:24" ht="12.75">
      <c r="A66" s="17" t="s">
        <v>359</v>
      </c>
      <c r="B66" s="32"/>
      <c r="C66" s="72"/>
      <c r="D66" s="73"/>
      <c r="E66" s="72"/>
      <c r="F66" s="73"/>
      <c r="G66" s="141">
        <v>0.2</v>
      </c>
      <c r="H66" s="117">
        <v>0.2</v>
      </c>
      <c r="I66" s="117">
        <v>0.2</v>
      </c>
      <c r="J66" s="117">
        <v>0.2</v>
      </c>
      <c r="K66" s="18">
        <v>0.2</v>
      </c>
      <c r="L66" s="117">
        <v>0.2</v>
      </c>
      <c r="M66" s="117">
        <v>0.2</v>
      </c>
      <c r="N66" s="117">
        <v>0.2</v>
      </c>
      <c r="O66" s="117">
        <v>0.2</v>
      </c>
      <c r="P66" s="117">
        <v>0.2</v>
      </c>
      <c r="Q66" s="117">
        <v>0.2</v>
      </c>
      <c r="R66" s="117">
        <v>0.2</v>
      </c>
      <c r="S66" s="117">
        <v>0.2</v>
      </c>
      <c r="T66" s="117">
        <v>0.2</v>
      </c>
      <c r="U66" s="117">
        <v>0.2</v>
      </c>
      <c r="V66" s="118">
        <v>0.2</v>
      </c>
      <c r="W66" s="89"/>
      <c r="X66" s="91"/>
    </row>
    <row r="67" spans="1:24" ht="12.75">
      <c r="A67" s="17" t="s">
        <v>504</v>
      </c>
      <c r="B67" s="32" t="s">
        <v>624</v>
      </c>
      <c r="C67" s="76"/>
      <c r="D67" s="77"/>
      <c r="E67" s="76"/>
      <c r="F67" s="77"/>
      <c r="G67" s="139">
        <v>0.33600811709292067</v>
      </c>
      <c r="H67" s="113">
        <v>0.28395174070160345</v>
      </c>
      <c r="I67" s="113">
        <v>0.21319001653732705</v>
      </c>
      <c r="J67" s="113">
        <v>0.5392763126008046</v>
      </c>
      <c r="K67" s="17">
        <v>0.28368189971033925</v>
      </c>
      <c r="L67" s="113">
        <v>0.17967448822475954</v>
      </c>
      <c r="M67" s="113">
        <v>0.7975933846117909</v>
      </c>
      <c r="N67" s="113">
        <v>0.9970847337449589</v>
      </c>
      <c r="O67" s="113">
        <v>0.20342237597649476</v>
      </c>
      <c r="P67" s="113">
        <v>0.849306485792895</v>
      </c>
      <c r="Q67" s="113">
        <v>0.21619303044767674</v>
      </c>
      <c r="R67" s="113">
        <v>0.9999999980538282</v>
      </c>
      <c r="S67" s="113">
        <v>0.2108766819334196</v>
      </c>
      <c r="T67" s="113">
        <v>0.7988421745550848</v>
      </c>
      <c r="U67" s="113">
        <v>0.24712778056742787</v>
      </c>
      <c r="V67" s="114">
        <v>0.9999999538768972</v>
      </c>
      <c r="W67" s="91"/>
      <c r="X67" s="91"/>
    </row>
    <row r="68" spans="1:24" ht="12.75">
      <c r="A68" s="17" t="s">
        <v>647</v>
      </c>
      <c r="B68" s="32"/>
      <c r="C68" s="76"/>
      <c r="D68" s="77"/>
      <c r="E68" s="76"/>
      <c r="F68" s="77"/>
      <c r="G68" s="141">
        <v>0.673778670593335</v>
      </c>
      <c r="H68" s="117">
        <v>0.6941536900511909</v>
      </c>
      <c r="I68" s="117">
        <v>0.553254343887907</v>
      </c>
      <c r="J68" s="117">
        <v>0.7379343507771946</v>
      </c>
      <c r="K68" s="18">
        <v>0.5742072687992379</v>
      </c>
      <c r="L68" s="117">
        <v>0.43674537496525573</v>
      </c>
      <c r="M68" s="117">
        <v>0.7240226285182922</v>
      </c>
      <c r="N68" s="117">
        <v>0.7459587118283567</v>
      </c>
      <c r="O68" s="117">
        <v>0.49151258874625126</v>
      </c>
      <c r="P68" s="117">
        <v>0.7562289490284336</v>
      </c>
      <c r="Q68" s="117">
        <v>0.5447617003859898</v>
      </c>
      <c r="R68" s="117">
        <v>0.7754826021538546</v>
      </c>
      <c r="S68" s="117">
        <v>0.46494595304338726</v>
      </c>
      <c r="T68" s="117">
        <v>0.7368321318924813</v>
      </c>
      <c r="U68" s="117">
        <v>0.576013355311143</v>
      </c>
      <c r="V68" s="118">
        <v>0.8032087284188183</v>
      </c>
      <c r="W68" s="91"/>
      <c r="X68" s="91"/>
    </row>
    <row r="69" spans="1:24" ht="12.75">
      <c r="A69" s="17" t="s">
        <v>503</v>
      </c>
      <c r="B69" s="32" t="s">
        <v>624</v>
      </c>
      <c r="C69" s="76"/>
      <c r="D69" s="77"/>
      <c r="E69" s="76"/>
      <c r="F69" s="77"/>
      <c r="G69" s="142">
        <v>15</v>
      </c>
      <c r="H69" s="101">
        <v>15</v>
      </c>
      <c r="I69" s="101">
        <v>15</v>
      </c>
      <c r="J69" s="101">
        <v>15</v>
      </c>
      <c r="K69" s="19">
        <v>15</v>
      </c>
      <c r="L69" s="101">
        <v>15</v>
      </c>
      <c r="M69" s="101">
        <v>15</v>
      </c>
      <c r="N69" s="101">
        <v>15</v>
      </c>
      <c r="O69" s="101">
        <v>15</v>
      </c>
      <c r="P69" s="101">
        <v>15</v>
      </c>
      <c r="Q69" s="101">
        <v>15</v>
      </c>
      <c r="R69" s="101">
        <v>15</v>
      </c>
      <c r="S69" s="101">
        <v>15</v>
      </c>
      <c r="T69" s="101">
        <v>15</v>
      </c>
      <c r="U69" s="101">
        <v>15</v>
      </c>
      <c r="V69" s="119">
        <v>15</v>
      </c>
      <c r="W69" s="91"/>
      <c r="X69" s="91"/>
    </row>
    <row r="70" spans="1:24" ht="12.75">
      <c r="A70" s="17" t="s">
        <v>346</v>
      </c>
      <c r="B70" s="65" t="s">
        <v>466</v>
      </c>
      <c r="C70" s="76"/>
      <c r="D70" s="77"/>
      <c r="E70" s="76"/>
      <c r="F70" s="77"/>
      <c r="G70" s="142">
        <v>0</v>
      </c>
      <c r="H70" s="101">
        <v>0</v>
      </c>
      <c r="I70" s="101">
        <v>0</v>
      </c>
      <c r="J70" s="101">
        <v>0</v>
      </c>
      <c r="K70" s="19">
        <v>0</v>
      </c>
      <c r="L70" s="101">
        <v>0</v>
      </c>
      <c r="M70" s="101">
        <v>0</v>
      </c>
      <c r="N70" s="101">
        <v>233.8751799742987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19">
        <v>0</v>
      </c>
      <c r="W70" s="91"/>
      <c r="X70" s="91"/>
    </row>
    <row r="71" spans="1:24" ht="12.75">
      <c r="A71" s="17" t="s">
        <v>356</v>
      </c>
      <c r="B71" s="32"/>
      <c r="C71" s="76"/>
      <c r="D71" s="77"/>
      <c r="E71" s="76"/>
      <c r="F71" s="77"/>
      <c r="G71" s="140">
        <v>0</v>
      </c>
      <c r="H71" s="115">
        <v>0</v>
      </c>
      <c r="I71" s="115">
        <v>0</v>
      </c>
      <c r="J71" s="115">
        <v>0</v>
      </c>
      <c r="K71" s="21">
        <v>0</v>
      </c>
      <c r="L71" s="115">
        <v>0</v>
      </c>
      <c r="M71" s="115">
        <v>0</v>
      </c>
      <c r="N71" s="115">
        <v>1.0700928341452713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16">
        <v>0</v>
      </c>
      <c r="W71" s="91"/>
      <c r="X71" s="89">
        <v>2.93</v>
      </c>
    </row>
    <row r="72" spans="1:24" ht="12.75">
      <c r="A72" s="17" t="s">
        <v>412</v>
      </c>
      <c r="B72" s="32" t="s">
        <v>495</v>
      </c>
      <c r="C72" s="76"/>
      <c r="D72" s="77"/>
      <c r="E72" s="76"/>
      <c r="F72" s="77"/>
      <c r="G72" s="142">
        <v>43.71764813446588</v>
      </c>
      <c r="H72" s="101">
        <v>62.72578071762342</v>
      </c>
      <c r="I72" s="101">
        <v>55.45731270246024</v>
      </c>
      <c r="J72" s="101">
        <v>52.65387130543382</v>
      </c>
      <c r="K72" s="19">
        <v>48.86119803024933</v>
      </c>
      <c r="L72" s="101">
        <v>69.0969202352018</v>
      </c>
      <c r="M72" s="101">
        <v>66.47610939234346</v>
      </c>
      <c r="N72" s="101">
        <v>-2.415532643035214</v>
      </c>
      <c r="O72" s="101">
        <v>62.424556643328856</v>
      </c>
      <c r="P72" s="101">
        <v>60.40821873375404</v>
      </c>
      <c r="Q72" s="101">
        <v>65.44197069520618</v>
      </c>
      <c r="R72" s="101">
        <v>66.49168485682318</v>
      </c>
      <c r="S72" s="101">
        <v>77.4204996186422</v>
      </c>
      <c r="T72" s="101">
        <v>72.29802541293427</v>
      </c>
      <c r="U72" s="101">
        <v>92.75453849832667</v>
      </c>
      <c r="V72" s="119">
        <v>93.69302703958805</v>
      </c>
      <c r="W72" s="91"/>
      <c r="X72" s="91"/>
    </row>
    <row r="73" spans="1:24" ht="12.75">
      <c r="A73" s="17" t="s">
        <v>499</v>
      </c>
      <c r="B73" s="32" t="s">
        <v>444</v>
      </c>
      <c r="C73" s="76"/>
      <c r="D73" s="77"/>
      <c r="E73" s="76"/>
      <c r="F73" s="77"/>
      <c r="G73" s="143">
        <v>88571.4997357053</v>
      </c>
      <c r="H73" s="128">
        <v>88571.4997357053</v>
      </c>
      <c r="I73" s="120">
        <v>88571.4997357053</v>
      </c>
      <c r="J73" s="120">
        <v>88571.4997357053</v>
      </c>
      <c r="K73" s="20">
        <v>163122.54898052267</v>
      </c>
      <c r="L73" s="120">
        <v>163122.54898052267</v>
      </c>
      <c r="M73" s="120">
        <v>163122.54898052267</v>
      </c>
      <c r="N73" s="120">
        <v>163122.54898052267</v>
      </c>
      <c r="O73" s="120">
        <v>374319.5150753301</v>
      </c>
      <c r="P73" s="120">
        <v>374319.5150753301</v>
      </c>
      <c r="Q73" s="120">
        <v>374319.5150753301</v>
      </c>
      <c r="R73" s="120">
        <v>374319.5150753301</v>
      </c>
      <c r="S73" s="120">
        <v>650390.5897478419</v>
      </c>
      <c r="T73" s="120">
        <v>650390.5897478419</v>
      </c>
      <c r="U73" s="120">
        <v>863912.2351846183</v>
      </c>
      <c r="V73" s="121">
        <v>863912.2351846183</v>
      </c>
      <c r="W73" s="91"/>
      <c r="X73" s="91"/>
    </row>
    <row r="74" spans="1:24" ht="12.75">
      <c r="A74" s="17" t="s">
        <v>500</v>
      </c>
      <c r="B74" s="32" t="s">
        <v>444</v>
      </c>
      <c r="C74" s="76"/>
      <c r="D74" s="77"/>
      <c r="E74" s="76"/>
      <c r="F74" s="77"/>
      <c r="G74" s="143">
        <v>887200.6090726679</v>
      </c>
      <c r="H74" s="128">
        <v>887200.6090726679</v>
      </c>
      <c r="I74" s="120">
        <v>887200.6090726679</v>
      </c>
      <c r="J74" s="120">
        <v>887200.6090726679</v>
      </c>
      <c r="K74" s="20">
        <v>1099879.6772964916</v>
      </c>
      <c r="L74" s="120">
        <v>1099879.6772964916</v>
      </c>
      <c r="M74" s="120">
        <v>1099879.6772964916</v>
      </c>
      <c r="N74" s="120">
        <v>1099879.6772964916</v>
      </c>
      <c r="O74" s="120">
        <v>967895.3506276603</v>
      </c>
      <c r="P74" s="120">
        <v>967895.3506276603</v>
      </c>
      <c r="Q74" s="120">
        <v>967895.3506276603</v>
      </c>
      <c r="R74" s="120">
        <v>967895.3506276603</v>
      </c>
      <c r="S74" s="120">
        <v>1048731.0114627217</v>
      </c>
      <c r="T74" s="120">
        <v>1048731.0114627217</v>
      </c>
      <c r="U74" s="120">
        <v>1152521.3493503877</v>
      </c>
      <c r="V74" s="121">
        <v>1152521.3493503877</v>
      </c>
      <c r="W74" s="91"/>
      <c r="X74" s="91"/>
    </row>
    <row r="75" spans="1:24" ht="12.75">
      <c r="A75" s="62" t="s">
        <v>723</v>
      </c>
      <c r="B75" s="69" t="s">
        <v>496</v>
      </c>
      <c r="C75" s="76">
        <f>(C41+C43)/C5</f>
        <v>0</v>
      </c>
      <c r="D75" s="77">
        <f aca="true" t="shared" si="0" ref="D75:W75">(D41+D43)/D5</f>
        <v>8.19672131147541</v>
      </c>
      <c r="E75" s="76">
        <f t="shared" si="0"/>
        <v>7.933884297520661</v>
      </c>
      <c r="F75" s="77">
        <f t="shared" si="0"/>
        <v>0.9917355371900827</v>
      </c>
      <c r="G75" s="142">
        <f t="shared" si="0"/>
        <v>50.60677050770794</v>
      </c>
      <c r="H75" s="101">
        <f t="shared" si="0"/>
        <v>50.66311084691655</v>
      </c>
      <c r="I75" s="101">
        <f t="shared" si="0"/>
        <v>36.59002371050997</v>
      </c>
      <c r="J75" s="101">
        <f t="shared" si="0"/>
        <v>66.5120751642379</v>
      </c>
      <c r="K75" s="101"/>
      <c r="L75" s="101">
        <f t="shared" si="0"/>
        <v>37.35290661259243</v>
      </c>
      <c r="M75" s="101">
        <f t="shared" si="0"/>
        <v>93.70162665691896</v>
      </c>
      <c r="N75" s="101">
        <f t="shared" si="0"/>
        <v>107.65185671896005</v>
      </c>
      <c r="O75" s="101">
        <f t="shared" si="0"/>
        <v>31.71059444610642</v>
      </c>
      <c r="P75" s="101">
        <f t="shared" si="0"/>
        <v>78.17199583957681</v>
      </c>
      <c r="Q75" s="101">
        <f t="shared" si="0"/>
        <v>34.75611247749583</v>
      </c>
      <c r="R75" s="101">
        <f t="shared" si="0"/>
        <v>87.16184313966814</v>
      </c>
      <c r="S75" s="101">
        <f t="shared" si="0"/>
        <v>29.866579045306977</v>
      </c>
      <c r="T75" s="101">
        <f t="shared" si="0"/>
        <v>70.48636806125583</v>
      </c>
      <c r="U75" s="101">
        <f t="shared" si="0"/>
        <v>40.128563268528005</v>
      </c>
      <c r="V75" s="119">
        <f t="shared" si="0"/>
        <v>98.22321515280377</v>
      </c>
      <c r="W75" s="91">
        <f t="shared" si="0"/>
        <v>71.74285714285715</v>
      </c>
      <c r="X75" s="91">
        <f>(X41+X43)/X5</f>
        <v>194.4375</v>
      </c>
    </row>
    <row r="76" spans="1:24" ht="13.5" thickBot="1">
      <c r="A76" s="62" t="s">
        <v>502</v>
      </c>
      <c r="B76" s="69" t="s">
        <v>494</v>
      </c>
      <c r="C76" s="96">
        <f>(C70-C51)/(2*PI()^2*C5^3/C6^2*C8)</f>
        <v>0</v>
      </c>
      <c r="D76" s="99">
        <f aca="true" t="shared" si="1" ref="D76:L76">(D70-D51)/(2*PI()^2*D5^3/D6^2*D8)</f>
        <v>0</v>
      </c>
      <c r="E76" s="96">
        <f t="shared" si="1"/>
        <v>0</v>
      </c>
      <c r="F76" s="99">
        <f t="shared" si="1"/>
        <v>0</v>
      </c>
      <c r="G76" s="146">
        <f t="shared" si="1"/>
        <v>-4.963177394202058</v>
      </c>
      <c r="H76" s="129">
        <f t="shared" si="1"/>
        <v>-7.12113277305848</v>
      </c>
      <c r="I76" s="129">
        <f t="shared" si="1"/>
        <v>-6.295958096864081</v>
      </c>
      <c r="J76" s="129">
        <f t="shared" si="1"/>
        <v>-5.9776889867578955</v>
      </c>
      <c r="K76" s="129"/>
      <c r="L76" s="129">
        <f t="shared" si="1"/>
        <v>-4.016350993776015</v>
      </c>
      <c r="M76" s="129">
        <f aca="true" t="shared" si="2" ref="M76:W76">(M70-M51)/(2*PI()^2*M5^3/M6^2*M8)</f>
        <v>-3.86401285486356</v>
      </c>
      <c r="N76" s="129">
        <f t="shared" si="2"/>
        <v>0.1724622488013928</v>
      </c>
      <c r="O76" s="129">
        <f t="shared" si="2"/>
        <v>-5.798401694771247</v>
      </c>
      <c r="P76" s="129">
        <f t="shared" si="2"/>
        <v>-5.6111110229461945</v>
      </c>
      <c r="Q76" s="129">
        <f t="shared" si="2"/>
        <v>-6.078678875628115</v>
      </c>
      <c r="R76" s="129">
        <f t="shared" si="2"/>
        <v>-6.176183202467349</v>
      </c>
      <c r="S76" s="129">
        <f t="shared" si="2"/>
        <v>-6.328364328033023</v>
      </c>
      <c r="T76" s="129">
        <f t="shared" si="2"/>
        <v>-5.909652446885904</v>
      </c>
      <c r="U76" s="129">
        <f t="shared" si="2"/>
        <v>-5.696296904060476</v>
      </c>
      <c r="V76" s="130">
        <f t="shared" si="2"/>
        <v>-5.753931920725237</v>
      </c>
      <c r="W76" s="98">
        <f t="shared" si="2"/>
        <v>0</v>
      </c>
      <c r="X76" s="98">
        <f>1000/(2*PI()^2*X5^3/X6^2*X8)</f>
        <v>1.1640760988320056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13"/>
  <sheetViews>
    <sheetView workbookViewId="0" topLeftCell="A1">
      <selection activeCell="B11" sqref="B11"/>
    </sheetView>
  </sheetViews>
  <sheetFormatPr defaultColWidth="11.00390625" defaultRowHeight="12"/>
  <sheetData>
    <row r="1" spans="1:3" ht="12.75">
      <c r="A1" t="s">
        <v>335</v>
      </c>
      <c r="B1" s="4">
        <v>1.5</v>
      </c>
      <c r="C1" s="4">
        <v>2.5</v>
      </c>
    </row>
    <row r="2" spans="1:3" ht="12.75">
      <c r="A2" t="s">
        <v>578</v>
      </c>
      <c r="B2" s="4">
        <v>1.504</v>
      </c>
      <c r="C2" s="4">
        <v>1.767</v>
      </c>
    </row>
    <row r="3" spans="1:3" ht="12.75">
      <c r="A3" t="s">
        <v>579</v>
      </c>
      <c r="B3" s="4">
        <v>0.953</v>
      </c>
      <c r="C3" s="4">
        <v>0.692</v>
      </c>
    </row>
    <row r="4" spans="1:3" ht="12.75">
      <c r="A4" t="s">
        <v>576</v>
      </c>
      <c r="B4" s="4">
        <f>B2/B3</f>
        <v>1.578174186778594</v>
      </c>
      <c r="C4" s="4">
        <f>C2/C3</f>
        <v>2.5534682080924855</v>
      </c>
    </row>
    <row r="5" spans="1:3" ht="12.75">
      <c r="A5" t="s">
        <v>580</v>
      </c>
      <c r="B5" s="4">
        <v>1.483</v>
      </c>
      <c r="C5" s="4">
        <v>1.758</v>
      </c>
    </row>
    <row r="6" spans="1:3" ht="12.75">
      <c r="A6" t="s">
        <v>581</v>
      </c>
      <c r="B6" s="4">
        <v>0.982</v>
      </c>
      <c r="C6" s="4">
        <v>0.707</v>
      </c>
    </row>
    <row r="7" spans="1:3" ht="12.75">
      <c r="A7" t="s">
        <v>577</v>
      </c>
      <c r="B7" s="4">
        <f>B5/B6</f>
        <v>1.510183299389002</v>
      </c>
      <c r="C7" s="4">
        <f>C5/C6</f>
        <v>2.4865629420084865</v>
      </c>
    </row>
    <row r="8" spans="1:3" ht="12.75">
      <c r="A8" t="s">
        <v>637</v>
      </c>
      <c r="B8" s="4">
        <f>B7/B4</f>
        <v>0.9569180081899727</v>
      </c>
      <c r="C8" s="4">
        <f>C7/C4</f>
        <v>0.9737982772325255</v>
      </c>
    </row>
    <row r="9" ht="12.75">
      <c r="A9" t="s">
        <v>39</v>
      </c>
    </row>
    <row r="10" spans="1:2" ht="12.75">
      <c r="A10" t="s">
        <v>638</v>
      </c>
      <c r="B10" s="4">
        <f>(C8-B8)/(C1-B1)</f>
        <v>0.016880269042552798</v>
      </c>
    </row>
    <row r="11" spans="1:2" ht="12.75">
      <c r="A11" t="s">
        <v>639</v>
      </c>
      <c r="B11" s="4">
        <f>B8-B10*B1</f>
        <v>0.9315976046261436</v>
      </c>
    </row>
    <row r="13" ht="12.75">
      <c r="B13" t="s">
        <v>39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C294"/>
  <sheetViews>
    <sheetView tabSelected="1" workbookViewId="0" topLeftCell="A1">
      <selection activeCell="D100" sqref="D100:I100"/>
    </sheetView>
  </sheetViews>
  <sheetFormatPr defaultColWidth="11.00390625" defaultRowHeight="12"/>
  <cols>
    <col min="1" max="1" width="28.125" style="0" bestFit="1" customWidth="1"/>
    <col min="2" max="2" width="12.125" style="28" bestFit="1" customWidth="1"/>
    <col min="3" max="3" width="97.375" style="9" hidden="1" customWidth="1"/>
    <col min="4" max="5" width="8.875" style="9" customWidth="1"/>
    <col min="6" max="9" width="8.875" style="0" customWidth="1"/>
    <col min="10" max="10" width="11.875" style="0" customWidth="1"/>
    <col min="11" max="11" width="25.00390625" style="4" customWidth="1"/>
    <col min="12" max="12" width="8.50390625" style="4" customWidth="1"/>
    <col min="13" max="28" width="8.50390625" style="0" customWidth="1"/>
    <col min="30" max="30" width="25.625" style="0" customWidth="1"/>
    <col min="31" max="33" width="8.50390625" style="0" customWidth="1"/>
    <col min="34" max="34" width="10.125" style="0" customWidth="1"/>
    <col min="35" max="36" width="8.50390625" style="0" customWidth="1"/>
    <col min="37" max="37" width="8.375" style="0" customWidth="1"/>
    <col min="38" max="39" width="8.50390625" style="0" customWidth="1"/>
    <col min="42" max="45" width="8.50390625" style="0" customWidth="1"/>
    <col min="50" max="50" width="8.50390625" style="0" customWidth="1"/>
    <col min="91" max="91" width="17.875" style="0" customWidth="1"/>
  </cols>
  <sheetData>
    <row r="1" ht="12.75">
      <c r="A1" s="212">
        <f>B175</f>
        <v>8.436592153771016E-07</v>
      </c>
    </row>
    <row r="2" ht="12.75">
      <c r="A2" s="213">
        <f>B177</f>
        <v>-1.069922386798261E-09</v>
      </c>
    </row>
    <row r="3" spans="1:2" ht="12.75">
      <c r="A3" t="s">
        <v>61</v>
      </c>
      <c r="B3" s="28" t="s">
        <v>565</v>
      </c>
    </row>
    <row r="4" spans="4:15" ht="12.75">
      <c r="D4" s="9" t="s">
        <v>563</v>
      </c>
      <c r="E4" s="9" t="s">
        <v>564</v>
      </c>
      <c r="F4" t="s">
        <v>565</v>
      </c>
      <c r="G4" t="s">
        <v>264</v>
      </c>
      <c r="H4" t="s">
        <v>338</v>
      </c>
      <c r="I4" t="s">
        <v>402</v>
      </c>
      <c r="M4" t="s">
        <v>286</v>
      </c>
      <c r="N4" t="s">
        <v>287</v>
      </c>
      <c r="O4" t="s">
        <v>288</v>
      </c>
    </row>
    <row r="5" spans="1:9" ht="12.75">
      <c r="A5" t="s">
        <v>541</v>
      </c>
      <c r="B5" s="209" t="str">
        <f>IF(Mode="CTF",F5,IF(Mode="DEMO",G5,IF(Mode="NSTX",D5,IF(Mode="NSST",E5,IF(Mode="REACTOR",H5,IF(Mode="ARIES",I5,"Error"))))))</f>
        <v>No</v>
      </c>
      <c r="C5" s="172" t="s">
        <v>505</v>
      </c>
      <c r="D5" s="172" t="s">
        <v>505</v>
      </c>
      <c r="E5" s="172" t="s">
        <v>505</v>
      </c>
      <c r="F5" s="172" t="s">
        <v>505</v>
      </c>
      <c r="G5" s="172" t="s">
        <v>505</v>
      </c>
      <c r="H5" s="172" t="s">
        <v>505</v>
      </c>
      <c r="I5" s="172" t="s">
        <v>505</v>
      </c>
    </row>
    <row r="6" spans="1:15" ht="12.75">
      <c r="A6" t="s">
        <v>339</v>
      </c>
      <c r="B6" s="209">
        <f>IF(Mode="CTF",F6,IF(Mode="DEMO",G6,IF(Mode="NSTX",D6,IF(Mode="NSST",E6,IF(Mode="REACTOR",H6,IF(Mode="ARIES",I6,"Error"))))))</f>
        <v>4</v>
      </c>
      <c r="C6" s="157"/>
      <c r="D6" s="157">
        <v>1</v>
      </c>
      <c r="E6" s="157">
        <v>2</v>
      </c>
      <c r="F6" s="157">
        <v>4</v>
      </c>
      <c r="G6" s="157">
        <v>4</v>
      </c>
      <c r="H6" s="157">
        <v>7.5</v>
      </c>
      <c r="I6" s="157">
        <v>7.5</v>
      </c>
      <c r="L6" s="17" t="s">
        <v>71</v>
      </c>
      <c r="M6" s="21">
        <f>P_alpha</f>
        <v>61.3018265678335</v>
      </c>
      <c r="N6" s="21">
        <f>fPalphai*M6</f>
        <v>12.871325244532727</v>
      </c>
      <c r="O6" s="21">
        <f>M6-N6</f>
        <v>48.430501323300774</v>
      </c>
    </row>
    <row r="7" spans="1:15" ht="12.75">
      <c r="A7" t="s">
        <v>558</v>
      </c>
      <c r="B7" s="209">
        <f>IF(Mode="CTF",F7,IF(Mode="DEMO",G7,IF(Mode="NSTX",D7,IF(Mode="NSST",E7,IF(Mode="REACTOR",H7,IF(Mode="ARIES",I7,"Error"))))))</f>
        <v>1</v>
      </c>
      <c r="D7" s="156">
        <v>1</v>
      </c>
      <c r="E7" s="156">
        <v>1</v>
      </c>
      <c r="F7" s="156">
        <v>1</v>
      </c>
      <c r="G7" s="156">
        <v>1</v>
      </c>
      <c r="H7" s="156">
        <v>1</v>
      </c>
      <c r="I7" s="156">
        <v>1.6</v>
      </c>
      <c r="L7" s="17" t="s">
        <v>38</v>
      </c>
      <c r="M7" s="21">
        <f>P_aux</f>
        <v>39.51683605702496</v>
      </c>
      <c r="N7" s="21">
        <f>fPauxi*M7</f>
        <v>27.09649246072371</v>
      </c>
      <c r="O7" s="21">
        <f>M7-N7</f>
        <v>12.420343596301251</v>
      </c>
    </row>
    <row r="8" spans="1:15" ht="12.75">
      <c r="A8" t="s">
        <v>573</v>
      </c>
      <c r="B8" s="209">
        <f>IF(Mode="CTF",F8,IF(Mode="DEMO",G8,IF(Mode="NSTX",D8,IF(Mode="NSST",E8,IF(Mode="REACTOR",H8,IF(Mode="ARIES",I8,"Error"))))))</f>
        <v>0.8</v>
      </c>
      <c r="D8" s="156">
        <v>0.8</v>
      </c>
      <c r="E8" s="156">
        <v>0.8</v>
      </c>
      <c r="F8" s="156">
        <v>0.8</v>
      </c>
      <c r="G8" s="156">
        <v>0.8</v>
      </c>
      <c r="H8" s="156">
        <v>0.8</v>
      </c>
      <c r="I8" s="156">
        <f>I7</f>
        <v>1.6</v>
      </c>
      <c r="L8" s="17" t="s">
        <v>438</v>
      </c>
      <c r="M8" s="21">
        <v>0</v>
      </c>
      <c r="N8" s="21">
        <f>-Pie</f>
        <v>-36.507550374795805</v>
      </c>
      <c r="O8" s="21">
        <f>Pie</f>
        <v>36.507550374795805</v>
      </c>
    </row>
    <row r="9" spans="1:15" ht="12.75">
      <c r="A9" t="s">
        <v>362</v>
      </c>
      <c r="B9" s="174">
        <v>40</v>
      </c>
      <c r="L9" s="17" t="s">
        <v>290</v>
      </c>
      <c r="M9" s="21">
        <f>-frad*P_alpha</f>
        <v>-3.915460151943156</v>
      </c>
      <c r="N9" s="21">
        <f>-fradi*frad*P_alpha</f>
        <v>0</v>
      </c>
      <c r="O9" s="21">
        <f>M9-N9</f>
        <v>-3.915460151943156</v>
      </c>
    </row>
    <row r="10" spans="1:15" ht="12.75">
      <c r="A10" t="s">
        <v>700</v>
      </c>
      <c r="B10" s="209">
        <f>IF(Mode="CTF",F10,IF(Mode="DEMO",G10,IF(Mode="NSTX",D10,IF(Mode="NSST",E10,IF(Mode="REACTOR",H10,IF(Mode="ARIES",I10,"Error"))))))</f>
        <v>0.9</v>
      </c>
      <c r="C10" s="157"/>
      <c r="D10" s="157">
        <v>0.9</v>
      </c>
      <c r="E10" s="157">
        <v>0.9</v>
      </c>
      <c r="F10" s="157">
        <v>0.9</v>
      </c>
      <c r="G10" s="157">
        <v>0.95</v>
      </c>
      <c r="H10" s="157">
        <v>0.95</v>
      </c>
      <c r="I10" s="157">
        <v>0.95</v>
      </c>
      <c r="L10" s="17" t="s">
        <v>289</v>
      </c>
      <c r="M10" s="21">
        <f>SUM(M6:M9)</f>
        <v>96.90320247291531</v>
      </c>
      <c r="N10" s="21">
        <f>SUM(N6:N9)</f>
        <v>3.4602673304606313</v>
      </c>
      <c r="O10" s="21">
        <f>SUM(O6:O9)</f>
        <v>93.44293514245469</v>
      </c>
    </row>
    <row r="11" spans="1:15" ht="12.75">
      <c r="A11" t="s">
        <v>172</v>
      </c>
      <c r="B11" s="209">
        <f>IF(Mode="CTF",F11,IF(Mode="DEMO",G11,IF(Mode="NSTX",D11,IF(Mode="NSST",E11,IF(Mode="REACTOR",H11,IF(Mode="ARIES",I11,"Error"))))))</f>
        <v>0.9</v>
      </c>
      <c r="C11" s="157"/>
      <c r="D11" s="157">
        <v>0.9</v>
      </c>
      <c r="E11" s="157">
        <v>0.9</v>
      </c>
      <c r="F11" s="157">
        <v>0.9</v>
      </c>
      <c r="G11" s="157">
        <v>0.95</v>
      </c>
      <c r="H11" s="157">
        <v>0.95</v>
      </c>
      <c r="I11" s="157">
        <v>0.958</v>
      </c>
      <c r="L11" s="17" t="s">
        <v>284</v>
      </c>
      <c r="M11" s="21">
        <f>Tempavg</f>
        <v>14.792736466838837</v>
      </c>
      <c r="N11" s="21">
        <f>Tavgi</f>
        <v>19.027428803962422</v>
      </c>
      <c r="O11" s="21">
        <f>Tavge</f>
        <v>11.097285221423858</v>
      </c>
    </row>
    <row r="12" spans="1:15" ht="12.75">
      <c r="A12" t="s">
        <v>175</v>
      </c>
      <c r="B12" s="174">
        <v>30</v>
      </c>
      <c r="L12" s="17" t="s">
        <v>285</v>
      </c>
      <c r="M12" s="21">
        <f>Wtot</f>
        <v>55.36868514255836</v>
      </c>
      <c r="N12" s="21">
        <f>Wi</f>
        <v>33.188087146682875</v>
      </c>
      <c r="O12" s="21">
        <f>We</f>
        <v>22.180597995875488</v>
      </c>
    </row>
    <row r="13" spans="1:15" ht="12.75">
      <c r="A13" t="s">
        <v>707</v>
      </c>
      <c r="B13" s="209">
        <f>IF(Mode="CTF",F13,IF(Mode="DEMO",G13,IF(Mode="NSTX",D13,IF(Mode="NSST",E13,IF(Mode="REACTOR",H13,IF(Mode="ARIES",I13,"Error"))))))</f>
        <v>150</v>
      </c>
      <c r="C13" s="157"/>
      <c r="D13" s="157">
        <v>100</v>
      </c>
      <c r="E13" s="157">
        <v>100</v>
      </c>
      <c r="F13" s="157">
        <v>150</v>
      </c>
      <c r="G13" s="157">
        <v>150</v>
      </c>
      <c r="H13" s="157">
        <v>150</v>
      </c>
      <c r="I13" s="157">
        <v>150</v>
      </c>
      <c r="L13" s="17" t="s">
        <v>73</v>
      </c>
      <c r="M13" s="21">
        <f>HH</f>
        <v>1.9257029402271157</v>
      </c>
      <c r="N13" s="21">
        <f>HHi</f>
        <v>0.9999999014013425</v>
      </c>
      <c r="O13" s="21">
        <f>HHe</f>
        <v>0.8000000065026739</v>
      </c>
    </row>
    <row r="14" spans="1:15" ht="12.75">
      <c r="A14" t="s">
        <v>644</v>
      </c>
      <c r="B14" s="174">
        <v>100</v>
      </c>
      <c r="L14" s="17" t="s">
        <v>292</v>
      </c>
      <c r="M14" s="21">
        <f>HH*Tau_E_98</f>
        <v>0.5713813789464536</v>
      </c>
      <c r="N14" s="21">
        <f>HHi*Tau_E_i</f>
        <v>9.59119268942109</v>
      </c>
      <c r="O14" s="21">
        <f>HHe*Tau_E_e</f>
        <v>0.23737051926542682</v>
      </c>
    </row>
    <row r="15" spans="1:15" ht="12.75">
      <c r="A15" t="s">
        <v>511</v>
      </c>
      <c r="B15" s="209">
        <f>IF(Mode="CTF",F15,IF(Mode="DEMO",G15,IF(Mode="NSTX",D15,IF(Mode="NSST",E15,IF(Mode="REACTOR",H15,IF(Mode="ARIES",I15,"Error"))))))</f>
        <v>15</v>
      </c>
      <c r="C15" s="157"/>
      <c r="D15" s="157">
        <v>15</v>
      </c>
      <c r="E15" s="157">
        <v>15</v>
      </c>
      <c r="F15" s="157">
        <v>15</v>
      </c>
      <c r="G15" s="157">
        <v>15</v>
      </c>
      <c r="H15" s="157">
        <v>15</v>
      </c>
      <c r="I15" s="157">
        <v>5</v>
      </c>
      <c r="L15" s="17" t="s">
        <v>291</v>
      </c>
      <c r="M15" s="21">
        <f>M12/M14</f>
        <v>96.90320192906948</v>
      </c>
      <c r="N15" s="21">
        <f>N12/N14</f>
        <v>3.460266957548327</v>
      </c>
      <c r="O15" s="21">
        <f>O12/O14</f>
        <v>93.44293497152115</v>
      </c>
    </row>
    <row r="16" spans="1:15" ht="12.75">
      <c r="A16" t="s">
        <v>561</v>
      </c>
      <c r="B16" s="171">
        <v>0.9</v>
      </c>
      <c r="C16" s="2"/>
      <c r="D16" s="2"/>
      <c r="E16" s="2"/>
      <c r="M16" s="27"/>
      <c r="N16" s="27"/>
      <c r="O16" s="27"/>
    </row>
    <row r="17" spans="1:15" ht="12.75">
      <c r="A17" t="s">
        <v>377</v>
      </c>
      <c r="B17" s="171">
        <v>1</v>
      </c>
      <c r="M17" s="4"/>
      <c r="N17" s="27"/>
      <c r="O17" s="27"/>
    </row>
    <row r="18" spans="1:15" ht="12.75">
      <c r="A18" t="s">
        <v>672</v>
      </c>
      <c r="B18" s="171">
        <v>2</v>
      </c>
      <c r="C18" s="2"/>
      <c r="D18" s="2"/>
      <c r="E18" s="2"/>
      <c r="M18" s="4"/>
      <c r="N18" s="27"/>
      <c r="O18" s="27"/>
    </row>
    <row r="19" spans="1:15" ht="12.75">
      <c r="A19" t="s">
        <v>47</v>
      </c>
      <c r="B19" s="171">
        <v>0.6</v>
      </c>
      <c r="C19" s="2"/>
      <c r="D19" s="2"/>
      <c r="E19" s="2"/>
      <c r="M19" s="4"/>
      <c r="N19" s="27"/>
      <c r="O19" s="27"/>
    </row>
    <row r="20" spans="1:15" ht="12.75">
      <c r="A20" t="s">
        <v>69</v>
      </c>
      <c r="B20" s="209">
        <f>IF(Mode="CTF",F20,IF(Mode="DEMO",G20,IF(Mode="NSTX",D20,IF(Mode="NSST",E20,IF(Mode="REACTOR",H20,IF(Mode="ARIES",I20,"Error"))))))</f>
        <v>1000</v>
      </c>
      <c r="C20" s="157"/>
      <c r="D20" s="157">
        <v>120</v>
      </c>
      <c r="E20" s="157">
        <v>120</v>
      </c>
      <c r="F20" s="157">
        <v>1000</v>
      </c>
      <c r="G20" s="157">
        <v>1000</v>
      </c>
      <c r="H20" s="157">
        <v>1000</v>
      </c>
      <c r="I20" s="157">
        <v>1000</v>
      </c>
      <c r="M20" s="4"/>
      <c r="N20" s="27"/>
      <c r="O20" s="27"/>
    </row>
    <row r="21" spans="1:15" ht="12.75">
      <c r="A21" t="s">
        <v>90</v>
      </c>
      <c r="B21" s="175">
        <f>4*PI()*0.0000001</f>
        <v>1.2566370614359173E-06</v>
      </c>
      <c r="M21" s="4"/>
      <c r="N21" s="27"/>
      <c r="O21" s="27"/>
    </row>
    <row r="22" spans="1:11" ht="12.75">
      <c r="A22" t="s">
        <v>733</v>
      </c>
      <c r="B22" s="209">
        <f>IF(Mode="CTF",F22,IF(Mode="DEMO",G22,IF(Mode="NSTX",D22,IF(Mode="NSST",E22,IF(Mode="REACTOR",H22,IF(Mode="ARIES",I22,"Error"))))))</f>
        <v>1.2</v>
      </c>
      <c r="C22" s="157"/>
      <c r="D22" s="157">
        <v>0.854</v>
      </c>
      <c r="E22" s="157">
        <v>1.5125</v>
      </c>
      <c r="F22" s="156">
        <v>1.2</v>
      </c>
      <c r="G22" s="156">
        <v>2.5</v>
      </c>
      <c r="H22" s="156">
        <v>3</v>
      </c>
      <c r="I22" s="156">
        <v>3.2</v>
      </c>
      <c r="J22" s="10" t="s">
        <v>39</v>
      </c>
      <c r="K22" s="5" t="s">
        <v>39</v>
      </c>
    </row>
    <row r="23" spans="1:11" ht="12.75">
      <c r="A23" t="s">
        <v>335</v>
      </c>
      <c r="B23" s="209">
        <f>IF(Mode="CTF",F23,IF(Mode="DEMO",G23,IF(Mode="NSTX",D23,IF(Mode="NSST",E23,IF(Mode="REACTOR",H23,IF(Mode="ARIES",I23,"Error"))))))</f>
        <v>1.5</v>
      </c>
      <c r="C23" s="157"/>
      <c r="D23" s="157">
        <v>1.3</v>
      </c>
      <c r="E23" s="157">
        <v>1.6</v>
      </c>
      <c r="F23" s="156">
        <v>1.5</v>
      </c>
      <c r="G23" s="156">
        <v>1.5</v>
      </c>
      <c r="H23" s="156">
        <v>1.5</v>
      </c>
      <c r="I23" s="156">
        <v>1.6</v>
      </c>
      <c r="J23" s="30" t="s">
        <v>39</v>
      </c>
      <c r="K23" s="5" t="s">
        <v>39</v>
      </c>
    </row>
    <row r="24" spans="1:11" ht="12.75">
      <c r="A24" t="s">
        <v>277</v>
      </c>
      <c r="B24" s="30">
        <f>(mA*A+bA)*A</f>
        <v>1.4353770122849592</v>
      </c>
      <c r="F24" s="10"/>
      <c r="G24" s="10"/>
      <c r="H24" s="10"/>
      <c r="I24" s="10"/>
      <c r="J24" s="30"/>
      <c r="K24" s="5"/>
    </row>
    <row r="25" spans="1:11" ht="12.75">
      <c r="A25" t="s">
        <v>296</v>
      </c>
      <c r="B25" s="177">
        <f>R0+R0/A</f>
        <v>2</v>
      </c>
      <c r="F25" s="10" t="s">
        <v>39</v>
      </c>
      <c r="G25" s="10"/>
      <c r="H25" s="10"/>
      <c r="I25" s="10"/>
      <c r="J25" s="10" t="s">
        <v>39</v>
      </c>
      <c r="K25" s="5" t="s">
        <v>39</v>
      </c>
    </row>
    <row r="26" spans="1:11" ht="12.75">
      <c r="A26" t="s">
        <v>91</v>
      </c>
      <c r="B26" s="177">
        <f>1/A</f>
        <v>0.6666666666666666</v>
      </c>
      <c r="F26" s="10" t="s">
        <v>39</v>
      </c>
      <c r="G26" s="10"/>
      <c r="H26" s="10"/>
      <c r="I26" s="10"/>
      <c r="J26" s="10" t="s">
        <v>39</v>
      </c>
      <c r="K26" s="5" t="s">
        <v>39</v>
      </c>
    </row>
    <row r="27" spans="1:11" ht="12.75">
      <c r="A27" t="s">
        <v>297</v>
      </c>
      <c r="B27" s="186">
        <f>(1.082+2.747/A+(1.46155*e^0)+(4.13281*e^1)+(-2.57812*e^2)+(1.41016*e^3))/2</f>
        <v>3.2010420370370367</v>
      </c>
      <c r="C27" s="10">
        <f>1.082+2.747/A</f>
        <v>2.913333333333333</v>
      </c>
      <c r="D27" s="10"/>
      <c r="E27" s="10"/>
      <c r="F27" s="10"/>
      <c r="G27" s="10"/>
      <c r="H27" s="10"/>
      <c r="I27" s="10"/>
      <c r="J27" s="5" t="s">
        <v>39</v>
      </c>
      <c r="K27" s="5" t="s">
        <v>39</v>
      </c>
    </row>
    <row r="28" spans="1:110" ht="12.75">
      <c r="A28" t="s">
        <v>336</v>
      </c>
      <c r="B28" s="209">
        <f>IF(Mode="CTF",F28,IF(Mode="DEMO",G28,IF(Mode="NSTX",D28,IF(Mode="NSST",E28,IF(Mode="REACTOR",H28,IF(Mode="ARIES",I28,"Error"))))))</f>
        <v>3.2010420370370367</v>
      </c>
      <c r="C28" s="157"/>
      <c r="D28" s="157">
        <v>2</v>
      </c>
      <c r="E28" s="157">
        <v>2.5</v>
      </c>
      <c r="F28" s="158">
        <f>B27</f>
        <v>3.2010420370370367</v>
      </c>
      <c r="G28" s="158">
        <f>B27</f>
        <v>3.2010420370370367</v>
      </c>
      <c r="H28" s="158">
        <f>B27</f>
        <v>3.2010420370370367</v>
      </c>
      <c r="I28" s="158">
        <v>3.75</v>
      </c>
      <c r="J28" s="10" t="s">
        <v>39</v>
      </c>
      <c r="K28" s="5" t="s">
        <v>39</v>
      </c>
      <c r="L28" s="29" t="s">
        <v>565</v>
      </c>
      <c r="M28" s="218" t="s">
        <v>565</v>
      </c>
      <c r="N28" s="218" t="s">
        <v>264</v>
      </c>
      <c r="O28" s="218" t="s">
        <v>338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E28" t="s">
        <v>565</v>
      </c>
      <c r="AF28" t="s">
        <v>565</v>
      </c>
      <c r="AG28" s="29" t="s">
        <v>264</v>
      </c>
      <c r="AH28" t="s">
        <v>338</v>
      </c>
      <c r="AZ28" t="s">
        <v>266</v>
      </c>
      <c r="BT28" t="s">
        <v>265</v>
      </c>
      <c r="CN28" t="s">
        <v>264</v>
      </c>
      <c r="CT28" t="s">
        <v>338</v>
      </c>
      <c r="DF28" t="s">
        <v>342</v>
      </c>
    </row>
    <row r="29" spans="1:133" ht="12.75">
      <c r="A29" t="s">
        <v>337</v>
      </c>
      <c r="B29" s="209">
        <f>IF(Mode="CTF",F29,IF(Mode="DEMO",G29,IF(Mode="NSTX",D29,IF(Mode="NSST",E29,IF(Mode="REACTOR",H29,IF(Mode="ARIES",I29,"Error"))))))</f>
        <v>0.6</v>
      </c>
      <c r="C29" s="159" t="s">
        <v>713</v>
      </c>
      <c r="D29" s="161">
        <v>0.5</v>
      </c>
      <c r="E29" s="161">
        <v>0.3</v>
      </c>
      <c r="F29" s="160">
        <v>0.6</v>
      </c>
      <c r="G29" s="160">
        <v>0.6</v>
      </c>
      <c r="H29" s="160">
        <v>0.6</v>
      </c>
      <c r="I29" s="160">
        <v>0.67</v>
      </c>
      <c r="J29" s="163">
        <f>R0</f>
        <v>1.2</v>
      </c>
      <c r="K29" s="16" t="str">
        <f>A22</f>
        <v>R0[m]</v>
      </c>
      <c r="L29" s="21">
        <v>1.2</v>
      </c>
      <c r="M29" s="21">
        <v>1.2</v>
      </c>
      <c r="N29" s="21">
        <v>2.5</v>
      </c>
      <c r="O29" s="21">
        <v>3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 t="str">
        <f aca="true" t="shared" si="0" ref="AD29:AD60">K29</f>
        <v>R0[m]</v>
      </c>
      <c r="AE29" s="17">
        <v>1.2</v>
      </c>
      <c r="AF29" s="17">
        <v>1.2</v>
      </c>
      <c r="AG29" s="17">
        <v>2.5</v>
      </c>
      <c r="AH29" s="17">
        <v>3</v>
      </c>
      <c r="AI29" s="17">
        <v>3.4</v>
      </c>
      <c r="AJ29" s="17">
        <v>1.2</v>
      </c>
      <c r="AK29" s="17">
        <v>1.2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X29" s="16" t="str">
        <f aca="true" t="shared" si="1" ref="AX29:AX60">K29</f>
        <v>R0[m]</v>
      </c>
      <c r="AY29" s="17">
        <v>1</v>
      </c>
      <c r="AZ29" s="17">
        <v>1.1</v>
      </c>
      <c r="BA29" s="17">
        <v>1.2</v>
      </c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v>1.2</v>
      </c>
      <c r="BR29" s="16" t="str">
        <f aca="true" t="shared" si="2" ref="BR29:BR60">AD29</f>
        <v>R0[m]</v>
      </c>
      <c r="BS29" s="17">
        <v>1</v>
      </c>
      <c r="BT29" s="17">
        <v>1.1</v>
      </c>
      <c r="BU29" s="17">
        <v>1.2</v>
      </c>
      <c r="BV29" s="17">
        <v>1</v>
      </c>
      <c r="BW29" s="17">
        <v>1.1</v>
      </c>
      <c r="BX29" s="17">
        <v>1.2</v>
      </c>
      <c r="BY29" s="17">
        <v>1</v>
      </c>
      <c r="BZ29" s="17">
        <v>1.1</v>
      </c>
      <c r="CA29" s="17">
        <v>1.2</v>
      </c>
      <c r="CB29" s="17">
        <v>1</v>
      </c>
      <c r="CC29" s="17">
        <v>1.1</v>
      </c>
      <c r="CD29" s="17">
        <v>1.2</v>
      </c>
      <c r="CE29" s="17">
        <v>1</v>
      </c>
      <c r="CF29" s="17">
        <v>1.1</v>
      </c>
      <c r="CG29" s="17">
        <v>1.2</v>
      </c>
      <c r="CH29" s="17">
        <v>1</v>
      </c>
      <c r="CI29" s="17">
        <v>1.1</v>
      </c>
      <c r="CJ29" s="17">
        <v>1.2</v>
      </c>
      <c r="CL29" s="16" t="str">
        <f aca="true" t="shared" si="3" ref="CL29:CL60">BR29</f>
        <v>R0[m]</v>
      </c>
      <c r="CM29" s="17">
        <v>2.2</v>
      </c>
      <c r="CN29" s="17">
        <v>2.2</v>
      </c>
      <c r="CO29" s="17">
        <v>2.2</v>
      </c>
      <c r="CP29" s="17">
        <v>2.2</v>
      </c>
      <c r="CQ29" s="17">
        <v>2.2</v>
      </c>
      <c r="CR29" s="17">
        <v>2.2</v>
      </c>
      <c r="CS29" s="17">
        <v>2.2</v>
      </c>
      <c r="CT29" s="17">
        <v>2.3</v>
      </c>
      <c r="CU29" s="17">
        <v>2.4</v>
      </c>
      <c r="CV29" s="17">
        <v>2.5</v>
      </c>
      <c r="CW29" s="17">
        <v>2.6</v>
      </c>
      <c r="CX29" s="17">
        <v>2.7</v>
      </c>
      <c r="CY29" s="17">
        <v>2.8</v>
      </c>
      <c r="CZ29" s="17">
        <v>2.9</v>
      </c>
      <c r="DA29" s="17">
        <v>3</v>
      </c>
      <c r="DB29" s="17"/>
      <c r="DC29" s="17"/>
      <c r="DE29" s="16" t="s">
        <v>733</v>
      </c>
      <c r="DF29" s="17">
        <v>1</v>
      </c>
      <c r="DG29" s="17">
        <v>1.1</v>
      </c>
      <c r="DH29" s="17">
        <v>1.2</v>
      </c>
      <c r="DI29" s="17">
        <v>1.3</v>
      </c>
      <c r="DJ29" s="17">
        <v>1.4</v>
      </c>
      <c r="DK29" s="17">
        <v>1.5</v>
      </c>
      <c r="DL29" s="17">
        <v>1</v>
      </c>
      <c r="DM29" s="17">
        <v>1.1</v>
      </c>
      <c r="DN29" s="17">
        <v>1.2</v>
      </c>
      <c r="DO29" s="17">
        <v>1.3</v>
      </c>
      <c r="DP29" s="17">
        <v>1.4</v>
      </c>
      <c r="DQ29" s="17">
        <v>1.5</v>
      </c>
      <c r="DR29" s="17">
        <v>1</v>
      </c>
      <c r="DS29" s="17">
        <v>1.1</v>
      </c>
      <c r="DT29" s="17">
        <v>1.2</v>
      </c>
      <c r="DU29" s="17">
        <v>1.3</v>
      </c>
      <c r="DV29" s="17">
        <v>1.4</v>
      </c>
      <c r="DW29" s="17">
        <v>1.5</v>
      </c>
      <c r="DX29" s="17">
        <v>1</v>
      </c>
      <c r="DY29" s="17">
        <v>1.1</v>
      </c>
      <c r="DZ29" s="17">
        <v>1.2</v>
      </c>
      <c r="EA29" s="17">
        <v>1.3</v>
      </c>
      <c r="EB29" s="17">
        <v>1.4</v>
      </c>
      <c r="EC29" s="17">
        <v>1.5</v>
      </c>
    </row>
    <row r="30" spans="1:133" ht="12.75">
      <c r="A30" t="s">
        <v>298</v>
      </c>
      <c r="B30" s="177">
        <f>2.0499+0.34791*A</f>
        <v>2.571765</v>
      </c>
      <c r="C30" s="8" t="s">
        <v>538</v>
      </c>
      <c r="D30" s="8"/>
      <c r="E30" s="8"/>
      <c r="J30" s="163">
        <f>A</f>
        <v>1.5</v>
      </c>
      <c r="K30" s="16" t="str">
        <f>A23</f>
        <v>A</v>
      </c>
      <c r="L30" s="21">
        <v>1.5</v>
      </c>
      <c r="M30" s="21">
        <v>1.5</v>
      </c>
      <c r="N30" s="21">
        <v>1.5</v>
      </c>
      <c r="O30" s="21">
        <v>1.5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 t="str">
        <f t="shared" si="0"/>
        <v>A</v>
      </c>
      <c r="AE30" s="17">
        <v>1.5</v>
      </c>
      <c r="AF30" s="17">
        <v>1.5</v>
      </c>
      <c r="AG30" s="17">
        <v>1.5</v>
      </c>
      <c r="AH30" s="17">
        <v>1.5</v>
      </c>
      <c r="AI30" s="17">
        <v>1.6</v>
      </c>
      <c r="AJ30" s="17">
        <v>1.5</v>
      </c>
      <c r="AK30" s="17">
        <v>1.5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16" t="str">
        <f t="shared" si="1"/>
        <v>A</v>
      </c>
      <c r="AY30" s="17">
        <v>1.5</v>
      </c>
      <c r="AZ30" s="17">
        <v>1.5</v>
      </c>
      <c r="BA30" s="17">
        <v>1.5</v>
      </c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v>2</v>
      </c>
      <c r="BR30" s="16" t="str">
        <f t="shared" si="2"/>
        <v>A</v>
      </c>
      <c r="BS30" s="17">
        <v>1.5</v>
      </c>
      <c r="BT30" s="17">
        <v>1.5</v>
      </c>
      <c r="BU30" s="17">
        <v>1.5</v>
      </c>
      <c r="BV30" s="17">
        <v>1.6</v>
      </c>
      <c r="BW30" s="17">
        <v>1.6</v>
      </c>
      <c r="BX30" s="17">
        <v>1.6</v>
      </c>
      <c r="BY30" s="17">
        <v>1.7</v>
      </c>
      <c r="BZ30" s="17">
        <v>1.7</v>
      </c>
      <c r="CA30" s="17">
        <v>1.7</v>
      </c>
      <c r="CB30" s="17">
        <v>1.8</v>
      </c>
      <c r="CC30" s="17">
        <v>1.8</v>
      </c>
      <c r="CD30" s="17">
        <v>1.8</v>
      </c>
      <c r="CE30" s="17">
        <v>1.9</v>
      </c>
      <c r="CF30" s="17">
        <v>1.9</v>
      </c>
      <c r="CG30" s="17">
        <v>1.9</v>
      </c>
      <c r="CH30" s="17">
        <v>2</v>
      </c>
      <c r="CI30" s="17">
        <v>2</v>
      </c>
      <c r="CJ30" s="17">
        <v>2</v>
      </c>
      <c r="CL30" s="16" t="str">
        <f t="shared" si="3"/>
        <v>A</v>
      </c>
      <c r="CM30" s="17">
        <v>1.5</v>
      </c>
      <c r="CN30" s="17">
        <v>1.6</v>
      </c>
      <c r="CO30" s="17">
        <v>1.7</v>
      </c>
      <c r="CP30" s="17">
        <v>1.8</v>
      </c>
      <c r="CQ30" s="17">
        <v>1.9</v>
      </c>
      <c r="CR30" s="17">
        <v>2</v>
      </c>
      <c r="CS30" s="17">
        <v>1.6</v>
      </c>
      <c r="CT30" s="17">
        <v>1.6</v>
      </c>
      <c r="CU30" s="17">
        <v>1.6</v>
      </c>
      <c r="CV30" s="17">
        <v>1.6</v>
      </c>
      <c r="CW30" s="17">
        <v>1.6</v>
      </c>
      <c r="CX30" s="17">
        <v>1.6</v>
      </c>
      <c r="CY30" s="17">
        <v>1.6</v>
      </c>
      <c r="CZ30" s="17">
        <v>1.6</v>
      </c>
      <c r="DA30" s="17">
        <v>1.6</v>
      </c>
      <c r="DB30" s="17"/>
      <c r="DC30" s="17"/>
      <c r="DE30" s="16" t="s">
        <v>335</v>
      </c>
      <c r="DF30" s="17">
        <v>1.5</v>
      </c>
      <c r="DG30" s="17">
        <v>1.5</v>
      </c>
      <c r="DH30" s="17">
        <v>1.5</v>
      </c>
      <c r="DI30" s="17">
        <v>1.5</v>
      </c>
      <c r="DJ30" s="17">
        <v>1.5</v>
      </c>
      <c r="DK30" s="17">
        <v>1.5</v>
      </c>
      <c r="DL30" s="17">
        <v>1.5</v>
      </c>
      <c r="DM30" s="17">
        <v>1.5</v>
      </c>
      <c r="DN30" s="17">
        <v>1.5</v>
      </c>
      <c r="DO30" s="17">
        <v>1.5</v>
      </c>
      <c r="DP30" s="17">
        <v>1.5</v>
      </c>
      <c r="DQ30" s="17">
        <v>1.5</v>
      </c>
      <c r="DR30" s="17">
        <v>1.5</v>
      </c>
      <c r="DS30" s="17">
        <v>1.5</v>
      </c>
      <c r="DT30" s="17">
        <v>1.5</v>
      </c>
      <c r="DU30" s="17">
        <v>1.5</v>
      </c>
      <c r="DV30" s="17">
        <v>1.5</v>
      </c>
      <c r="DW30" s="17">
        <v>1.5</v>
      </c>
      <c r="DX30" s="17">
        <v>1.5</v>
      </c>
      <c r="DY30" s="17">
        <v>1.5</v>
      </c>
      <c r="DZ30" s="17">
        <v>1.5</v>
      </c>
      <c r="EA30" s="17">
        <v>1.5</v>
      </c>
      <c r="EB30" s="17">
        <v>1.5</v>
      </c>
      <c r="EC30" s="17">
        <v>1.5</v>
      </c>
    </row>
    <row r="31" spans="1:133" ht="12.75">
      <c r="A31" t="s">
        <v>527</v>
      </c>
      <c r="B31" s="221">
        <v>2.571765</v>
      </c>
      <c r="C31" s="8" t="s">
        <v>39</v>
      </c>
      <c r="D31" s="224"/>
      <c r="E31" s="224"/>
      <c r="F31" s="225"/>
      <c r="G31" s="226">
        <v>2.6965927664251526</v>
      </c>
      <c r="H31" s="221">
        <v>2.819702370647387</v>
      </c>
      <c r="I31" s="225"/>
      <c r="J31" s="164">
        <f>B25</f>
        <v>2</v>
      </c>
      <c r="K31" s="17" t="str">
        <f>A25</f>
        <v>R0+a[m]</v>
      </c>
      <c r="L31" s="21">
        <v>2</v>
      </c>
      <c r="M31" s="21">
        <v>2</v>
      </c>
      <c r="N31" s="21">
        <v>4.166666666666667</v>
      </c>
      <c r="O31" s="21">
        <v>5</v>
      </c>
      <c r="P31" s="21"/>
      <c r="Q31" s="21"/>
      <c r="R31" s="17"/>
      <c r="S31" s="17"/>
      <c r="T31" s="17"/>
      <c r="U31" s="17"/>
      <c r="V31" s="17"/>
      <c r="W31" s="17"/>
      <c r="X31" s="17"/>
      <c r="Y31" s="17"/>
      <c r="Z31" s="17"/>
      <c r="AA31" s="21"/>
      <c r="AB31" s="21"/>
      <c r="AC31" s="17"/>
      <c r="AD31" s="16" t="str">
        <f t="shared" si="0"/>
        <v>R0+a[m]</v>
      </c>
      <c r="AE31" s="17">
        <v>2</v>
      </c>
      <c r="AF31" s="17">
        <v>2</v>
      </c>
      <c r="AG31" s="17">
        <v>4.166666666666667</v>
      </c>
      <c r="AH31" s="21">
        <v>5</v>
      </c>
      <c r="AI31" s="21">
        <v>5.525</v>
      </c>
      <c r="AJ31" s="21">
        <v>2</v>
      </c>
      <c r="AK31" s="21">
        <v>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X31" s="16" t="str">
        <f t="shared" si="1"/>
        <v>R0+a[m]</v>
      </c>
      <c r="AY31" s="17">
        <v>1.6666666666666665</v>
      </c>
      <c r="AZ31" s="17">
        <v>1.8333333333333335</v>
      </c>
      <c r="BA31" s="17">
        <v>2</v>
      </c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>
        <v>1.8</v>
      </c>
      <c r="BR31" s="16" t="str">
        <f t="shared" si="2"/>
        <v>R0+a[m]</v>
      </c>
      <c r="BS31" s="17">
        <v>1.6666666666666665</v>
      </c>
      <c r="BT31" s="17">
        <v>1.8333333333333335</v>
      </c>
      <c r="BU31" s="17">
        <v>2</v>
      </c>
      <c r="BV31" s="21">
        <v>1.625</v>
      </c>
      <c r="BW31" s="21">
        <v>1.7875</v>
      </c>
      <c r="BX31" s="21">
        <v>1.95</v>
      </c>
      <c r="BY31" s="21">
        <v>1.5882352941176472</v>
      </c>
      <c r="BZ31" s="21">
        <v>1.7470588235294118</v>
      </c>
      <c r="CA31" s="21">
        <v>1.9058823529411764</v>
      </c>
      <c r="CB31" s="21">
        <v>1.5555555555555556</v>
      </c>
      <c r="CC31" s="21">
        <v>1.7111111111111112</v>
      </c>
      <c r="CD31" s="21">
        <v>1.8666666666666667</v>
      </c>
      <c r="CE31" s="21">
        <v>1.526315789473684</v>
      </c>
      <c r="CF31" s="21">
        <v>1.6789473684210527</v>
      </c>
      <c r="CG31" s="21">
        <v>1.831578947368421</v>
      </c>
      <c r="CH31" s="21">
        <v>1.5</v>
      </c>
      <c r="CI31" s="21">
        <v>1.65</v>
      </c>
      <c r="CJ31" s="21">
        <v>1.8</v>
      </c>
      <c r="CL31" s="16" t="str">
        <f t="shared" si="3"/>
        <v>R0+a[m]</v>
      </c>
      <c r="CM31" s="17">
        <v>3.666666666666667</v>
      </c>
      <c r="CN31" s="17">
        <v>3.575</v>
      </c>
      <c r="CO31" s="17">
        <v>3.4941176470588236</v>
      </c>
      <c r="CP31" s="21">
        <v>3.4222222222222225</v>
      </c>
      <c r="CQ31" s="21">
        <v>3.3578947368421055</v>
      </c>
      <c r="CR31" s="21">
        <v>3.3</v>
      </c>
      <c r="CS31" s="21">
        <v>3.575</v>
      </c>
      <c r="CT31" s="21">
        <v>3.7375</v>
      </c>
      <c r="CU31" s="21">
        <v>3.9</v>
      </c>
      <c r="CV31" s="21">
        <v>4.0625</v>
      </c>
      <c r="CW31" s="21">
        <v>4.225</v>
      </c>
      <c r="CX31" s="21">
        <v>4.3875</v>
      </c>
      <c r="CY31" s="21">
        <v>4.55</v>
      </c>
      <c r="CZ31" s="21">
        <v>4.7125</v>
      </c>
      <c r="DA31" s="21">
        <v>4.875</v>
      </c>
      <c r="DB31" s="21"/>
      <c r="DC31" s="21"/>
      <c r="DE31" s="16" t="s">
        <v>296</v>
      </c>
      <c r="DF31" s="17">
        <v>1.6666666666666665</v>
      </c>
      <c r="DG31" s="17">
        <v>1.8333333333333335</v>
      </c>
      <c r="DH31" s="17">
        <v>2</v>
      </c>
      <c r="DI31" s="21">
        <v>2.166666666666667</v>
      </c>
      <c r="DJ31" s="21">
        <v>2.333333333333333</v>
      </c>
      <c r="DK31" s="21">
        <v>2.5</v>
      </c>
      <c r="DL31" s="21">
        <v>1.6666666666666665</v>
      </c>
      <c r="DM31" s="21">
        <v>1.8333333333333335</v>
      </c>
      <c r="DN31" s="21">
        <v>2</v>
      </c>
      <c r="DO31" s="21">
        <v>2.166666666666667</v>
      </c>
      <c r="DP31" s="21">
        <v>2.333333333333333</v>
      </c>
      <c r="DQ31" s="21">
        <v>2.5</v>
      </c>
      <c r="DR31" s="21">
        <v>1.6666666666666665</v>
      </c>
      <c r="DS31" s="21">
        <v>1.8333333333333335</v>
      </c>
      <c r="DT31" s="21">
        <v>2</v>
      </c>
      <c r="DU31" s="21">
        <v>2.166666666666667</v>
      </c>
      <c r="DV31" s="21">
        <v>2.333333333333333</v>
      </c>
      <c r="DW31" s="21">
        <v>2.5</v>
      </c>
      <c r="DX31" s="21">
        <v>1.6666666666666665</v>
      </c>
      <c r="DY31" s="21">
        <v>1.8333333333333335</v>
      </c>
      <c r="DZ31" s="21">
        <v>2</v>
      </c>
      <c r="EA31" s="21">
        <v>2.166666666666667</v>
      </c>
      <c r="EB31" s="21">
        <v>2.333333333333333</v>
      </c>
      <c r="EC31" s="21">
        <v>2.5</v>
      </c>
    </row>
    <row r="32" spans="1:133" ht="12.75">
      <c r="A32" t="s">
        <v>755</v>
      </c>
      <c r="B32" s="179">
        <f>(1+kappa^2*(1+2*delta^2-1.2*delta^3))*(1.17-0.65*e)/(1-e^2)^2</f>
        <v>38.113223685756594</v>
      </c>
      <c r="C32" s="9" t="s">
        <v>714</v>
      </c>
      <c r="J32" s="163">
        <f>B28</f>
        <v>3.2010420370370367</v>
      </c>
      <c r="K32" s="16" t="str">
        <f>A28</f>
        <v>kappa</v>
      </c>
      <c r="L32" s="21">
        <v>3.2010420370370367</v>
      </c>
      <c r="M32" s="21">
        <v>3.2010420370370367</v>
      </c>
      <c r="N32" s="21">
        <v>3.2010420370370367</v>
      </c>
      <c r="O32" s="21">
        <v>3.2010420370370367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 t="str">
        <f t="shared" si="0"/>
        <v>kappa</v>
      </c>
      <c r="AE32" s="17">
        <v>3.2010420370370367</v>
      </c>
      <c r="AF32" s="17">
        <v>3.2010420370370367</v>
      </c>
      <c r="AG32" s="17">
        <v>3.2010420370370367</v>
      </c>
      <c r="AH32" s="17">
        <v>3.2010420370370367</v>
      </c>
      <c r="AI32" s="17">
        <v>3.090315234375</v>
      </c>
      <c r="AJ32" s="17">
        <v>3.2010420370370367</v>
      </c>
      <c r="AK32" s="17">
        <v>3.2010420370370367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X32" s="16" t="str">
        <f t="shared" si="1"/>
        <v>kappa</v>
      </c>
      <c r="AY32" s="17">
        <v>3.2010420370370367</v>
      </c>
      <c r="AZ32" s="17">
        <v>3.2010420370370367</v>
      </c>
      <c r="BA32" s="17">
        <v>3.2010420370370367</v>
      </c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v>2.7575974999999997</v>
      </c>
      <c r="BR32" s="16" t="str">
        <f t="shared" si="2"/>
        <v>kappa</v>
      </c>
      <c r="BS32" s="17">
        <v>3.2010420370370367</v>
      </c>
      <c r="BT32" s="17">
        <v>3.2010420370370367</v>
      </c>
      <c r="BU32" s="17">
        <v>3.2010420370370367</v>
      </c>
      <c r="BV32" s="17">
        <v>3.090315234375</v>
      </c>
      <c r="BW32" s="17">
        <v>3.090315234375</v>
      </c>
      <c r="BX32" s="17">
        <v>3.090315234375</v>
      </c>
      <c r="BY32" s="17">
        <v>2.9927201353551807</v>
      </c>
      <c r="BZ32" s="17">
        <v>2.9927201353551807</v>
      </c>
      <c r="CA32" s="17">
        <v>2.9927201353551807</v>
      </c>
      <c r="CB32" s="17">
        <v>2.905873799725652</v>
      </c>
      <c r="CC32" s="17">
        <v>2.905873799725652</v>
      </c>
      <c r="CD32" s="17">
        <v>2.905873799725652</v>
      </c>
      <c r="CE32" s="17">
        <v>2.8279673093745443</v>
      </c>
      <c r="CF32" s="17">
        <v>2.8279673093745443</v>
      </c>
      <c r="CG32" s="17">
        <v>2.8279673093745443</v>
      </c>
      <c r="CH32" s="17">
        <v>2.7575974999999997</v>
      </c>
      <c r="CI32" s="17">
        <v>2.7575974999999997</v>
      </c>
      <c r="CJ32" s="17">
        <v>2.7575974999999997</v>
      </c>
      <c r="CL32" s="16" t="str">
        <f t="shared" si="3"/>
        <v>kappa</v>
      </c>
      <c r="CM32" s="17">
        <v>3.2010420370370367</v>
      </c>
      <c r="CN32" s="17">
        <v>3.090315234375</v>
      </c>
      <c r="CO32" s="17">
        <v>2.9927201353551807</v>
      </c>
      <c r="CP32" s="17">
        <v>2.905873799725652</v>
      </c>
      <c r="CQ32" s="17">
        <v>2.8279673093745443</v>
      </c>
      <c r="CR32" s="17">
        <v>2.7575974999999997</v>
      </c>
      <c r="CS32" s="17">
        <v>3.090315234375</v>
      </c>
      <c r="CT32" s="17">
        <v>3.090315234375</v>
      </c>
      <c r="CU32" s="17">
        <v>3.090315234375</v>
      </c>
      <c r="CV32" s="17">
        <v>3.090315234375</v>
      </c>
      <c r="CW32" s="17">
        <v>3.090315234375</v>
      </c>
      <c r="CX32" s="17">
        <v>3.090315234375</v>
      </c>
      <c r="CY32" s="17">
        <v>3.090315234375</v>
      </c>
      <c r="CZ32" s="17">
        <v>3.090315234375</v>
      </c>
      <c r="DA32" s="17">
        <v>3.090315234375</v>
      </c>
      <c r="DB32" s="17"/>
      <c r="DC32" s="17"/>
      <c r="DE32" s="16" t="s">
        <v>336</v>
      </c>
      <c r="DF32" s="17">
        <v>3.2010420370370367</v>
      </c>
      <c r="DG32" s="17">
        <v>3.2010420370370367</v>
      </c>
      <c r="DH32" s="17">
        <v>3.2010420370370367</v>
      </c>
      <c r="DI32" s="17">
        <v>3.2010420370370367</v>
      </c>
      <c r="DJ32" s="17">
        <v>3.2010420370370367</v>
      </c>
      <c r="DK32" s="17">
        <v>3.2010420370370367</v>
      </c>
      <c r="DL32" s="17">
        <v>3.2010420370370367</v>
      </c>
      <c r="DM32" s="17">
        <v>3.2010420370370367</v>
      </c>
      <c r="DN32" s="17">
        <v>3.2010420370370367</v>
      </c>
      <c r="DO32" s="17">
        <v>3.2010420370370367</v>
      </c>
      <c r="DP32" s="17">
        <v>3.2010420370370367</v>
      </c>
      <c r="DQ32" s="17">
        <v>3.2010420370370367</v>
      </c>
      <c r="DR32" s="17">
        <v>3.2010420370370367</v>
      </c>
      <c r="DS32" s="17">
        <v>3.2010420370370367</v>
      </c>
      <c r="DT32" s="17">
        <v>3.2010420370370367</v>
      </c>
      <c r="DU32" s="17">
        <v>3.2010420370370367</v>
      </c>
      <c r="DV32" s="17">
        <v>3.2010420370370367</v>
      </c>
      <c r="DW32" s="17">
        <v>3.2010420370370367</v>
      </c>
      <c r="DX32" s="17">
        <v>3.2010420370370367</v>
      </c>
      <c r="DY32" s="17">
        <v>3.2010420370370367</v>
      </c>
      <c r="DZ32" s="17">
        <v>3.2010420370370367</v>
      </c>
      <c r="EA32" s="17">
        <v>3.2010420370370367</v>
      </c>
      <c r="EB32" s="17">
        <v>3.2010420370370367</v>
      </c>
      <c r="EC32" s="17">
        <v>3.2010420370370367</v>
      </c>
    </row>
    <row r="33" spans="1:133" ht="12.75">
      <c r="A33" t="s">
        <v>756</v>
      </c>
      <c r="B33" s="179">
        <f>(1+kappa^2)</f>
        <v>11.246670122878221</v>
      </c>
      <c r="C33" s="10" t="s">
        <v>39</v>
      </c>
      <c r="D33" s="10"/>
      <c r="E33" s="10"/>
      <c r="J33" s="163">
        <f>delta</f>
        <v>0.6</v>
      </c>
      <c r="K33" s="16" t="str">
        <f>A29</f>
        <v>delta</v>
      </c>
      <c r="L33" s="21">
        <v>0.6</v>
      </c>
      <c r="M33" s="21">
        <v>0.6</v>
      </c>
      <c r="N33" s="21">
        <v>0.6</v>
      </c>
      <c r="O33" s="21">
        <v>0.6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 t="str">
        <f t="shared" si="0"/>
        <v>delta</v>
      </c>
      <c r="AE33" s="17">
        <v>0.6</v>
      </c>
      <c r="AF33" s="17">
        <v>0.6</v>
      </c>
      <c r="AG33" s="17">
        <v>0.6</v>
      </c>
      <c r="AH33" s="17">
        <v>0.6</v>
      </c>
      <c r="AI33" s="17">
        <v>0.6</v>
      </c>
      <c r="AJ33" s="17">
        <v>0.6</v>
      </c>
      <c r="AK33" s="17">
        <v>0.6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X33" s="16" t="str">
        <f t="shared" si="1"/>
        <v>delta</v>
      </c>
      <c r="AY33" s="17">
        <v>0.4</v>
      </c>
      <c r="AZ33" s="17">
        <v>0.4</v>
      </c>
      <c r="BA33" s="17">
        <v>0.4</v>
      </c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v>0.4</v>
      </c>
      <c r="BR33" s="16" t="str">
        <f t="shared" si="2"/>
        <v>delta</v>
      </c>
      <c r="BS33" s="17">
        <v>0.4</v>
      </c>
      <c r="BT33" s="17">
        <v>0.4</v>
      </c>
      <c r="BU33" s="17">
        <v>0.4</v>
      </c>
      <c r="BV33" s="17">
        <v>0.4</v>
      </c>
      <c r="BW33" s="17">
        <v>0.4</v>
      </c>
      <c r="BX33" s="17">
        <v>0.4</v>
      </c>
      <c r="BY33" s="17">
        <v>0.4</v>
      </c>
      <c r="BZ33" s="17">
        <v>0.4</v>
      </c>
      <c r="CA33" s="17">
        <v>0.4</v>
      </c>
      <c r="CB33" s="17">
        <v>0.4</v>
      </c>
      <c r="CC33" s="17">
        <v>0.4</v>
      </c>
      <c r="CD33" s="17">
        <v>0.4</v>
      </c>
      <c r="CE33" s="17">
        <v>0.4</v>
      </c>
      <c r="CF33" s="17">
        <v>0.4</v>
      </c>
      <c r="CG33" s="17">
        <v>0.4</v>
      </c>
      <c r="CH33" s="17">
        <v>0.4</v>
      </c>
      <c r="CI33" s="17">
        <v>0.4</v>
      </c>
      <c r="CJ33" s="17">
        <v>0.4</v>
      </c>
      <c r="CL33" s="16" t="str">
        <f t="shared" si="3"/>
        <v>delta</v>
      </c>
      <c r="CM33" s="17">
        <v>0.4</v>
      </c>
      <c r="CN33" s="17">
        <v>0.4</v>
      </c>
      <c r="CO33" s="17">
        <v>0.4</v>
      </c>
      <c r="CP33" s="17">
        <v>0.4</v>
      </c>
      <c r="CQ33" s="17">
        <v>0.4</v>
      </c>
      <c r="CR33" s="17">
        <v>0.4</v>
      </c>
      <c r="CS33" s="17">
        <v>0.5</v>
      </c>
      <c r="CT33" s="17">
        <v>0.5</v>
      </c>
      <c r="CU33" s="17">
        <v>0.5</v>
      </c>
      <c r="CV33" s="17">
        <v>0.5</v>
      </c>
      <c r="CW33" s="17">
        <v>0.5</v>
      </c>
      <c r="CX33" s="17">
        <v>0.5</v>
      </c>
      <c r="CY33" s="17">
        <v>0.5</v>
      </c>
      <c r="CZ33" s="17">
        <v>0.5</v>
      </c>
      <c r="DA33" s="17">
        <v>0.5</v>
      </c>
      <c r="DB33" s="17"/>
      <c r="DC33" s="17"/>
      <c r="DE33" s="16" t="s">
        <v>337</v>
      </c>
      <c r="DF33" s="17">
        <v>0.4</v>
      </c>
      <c r="DG33" s="17">
        <v>0.4</v>
      </c>
      <c r="DH33" s="17">
        <v>0.4</v>
      </c>
      <c r="DI33" s="17">
        <v>0.4</v>
      </c>
      <c r="DJ33" s="17">
        <v>0.4</v>
      </c>
      <c r="DK33" s="17">
        <v>0.4</v>
      </c>
      <c r="DL33" s="17">
        <v>0.4</v>
      </c>
      <c r="DM33" s="17">
        <v>0.4</v>
      </c>
      <c r="DN33" s="17">
        <v>0.4</v>
      </c>
      <c r="DO33" s="17">
        <v>0.4</v>
      </c>
      <c r="DP33" s="17">
        <v>0.4</v>
      </c>
      <c r="DQ33" s="17">
        <v>0.4</v>
      </c>
      <c r="DR33" s="17">
        <v>0.4</v>
      </c>
      <c r="DS33" s="17">
        <v>0.4</v>
      </c>
      <c r="DT33" s="17">
        <v>0.4</v>
      </c>
      <c r="DU33" s="17">
        <v>0.4</v>
      </c>
      <c r="DV33" s="17">
        <v>0.4</v>
      </c>
      <c r="DW33" s="17">
        <v>0.4</v>
      </c>
      <c r="DX33" s="17">
        <v>0.4</v>
      </c>
      <c r="DY33" s="17">
        <v>0.4</v>
      </c>
      <c r="DZ33" s="17">
        <v>0.4</v>
      </c>
      <c r="EA33" s="17">
        <v>0.4</v>
      </c>
      <c r="EB33" s="17">
        <v>0.4</v>
      </c>
      <c r="EC33" s="17">
        <v>0.4</v>
      </c>
    </row>
    <row r="34" spans="1:133" ht="12.75">
      <c r="A34" t="s">
        <v>757</v>
      </c>
      <c r="B34" s="180">
        <f>sMHD/s*qcyl</f>
        <v>8.715313389765825</v>
      </c>
      <c r="C34" s="10" t="s">
        <v>39</v>
      </c>
      <c r="D34" s="10"/>
      <c r="E34" s="10"/>
      <c r="J34" s="163">
        <f>B34</f>
        <v>8.715313389765825</v>
      </c>
      <c r="K34" s="16" t="str">
        <f>A34</f>
        <v>qMHD</v>
      </c>
      <c r="L34" s="21">
        <v>13.338487139511635</v>
      </c>
      <c r="M34" s="21">
        <v>8.715313389765825</v>
      </c>
      <c r="N34" s="21">
        <v>9.138335362667583</v>
      </c>
      <c r="O34" s="21">
        <v>9.555534749892626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 t="str">
        <f t="shared" si="0"/>
        <v>qMHD</v>
      </c>
      <c r="AE34" s="17">
        <v>8.715313389765825</v>
      </c>
      <c r="AF34" s="17">
        <v>8.715313389765825</v>
      </c>
      <c r="AG34" s="17">
        <v>9.138335362667583</v>
      </c>
      <c r="AH34" s="17">
        <v>9.555534749892626</v>
      </c>
      <c r="AI34" s="17">
        <v>8.194423473699008</v>
      </c>
      <c r="AJ34" s="17">
        <v>8.715313389765825</v>
      </c>
      <c r="AK34" s="17">
        <v>8.715313389765825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X34" s="16" t="str">
        <f t="shared" si="1"/>
        <v>qMHD</v>
      </c>
      <c r="AY34" s="17">
        <v>8.486723711173001</v>
      </c>
      <c r="AZ34" s="17">
        <v>9.801789469903238</v>
      </c>
      <c r="BA34" s="17">
        <v>11.1286895926863</v>
      </c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v>8.111233875121803</v>
      </c>
      <c r="BR34" s="16" t="str">
        <f t="shared" si="2"/>
        <v>qMHD</v>
      </c>
      <c r="BS34" s="17">
        <v>7.498385064987519</v>
      </c>
      <c r="BT34" s="17">
        <v>7.572983303602275</v>
      </c>
      <c r="BU34" s="17">
        <v>8.590115141070301</v>
      </c>
      <c r="BV34" s="17">
        <v>7.483333788164107</v>
      </c>
      <c r="BW34" s="17">
        <v>8.480993976137574</v>
      </c>
      <c r="BX34" s="17">
        <v>8.923899228811027</v>
      </c>
      <c r="BY34" s="17">
        <v>7.938754793826685</v>
      </c>
      <c r="BZ34" s="17">
        <v>8.0988460911803</v>
      </c>
      <c r="CA34" s="17">
        <v>8.22824083832954</v>
      </c>
      <c r="CB34" s="17">
        <v>7.408620232073892</v>
      </c>
      <c r="CC34" s="17">
        <v>7.533394787552321</v>
      </c>
      <c r="CD34" s="17">
        <v>7.666740625420239</v>
      </c>
      <c r="CE34" s="17">
        <v>6.955605947925397</v>
      </c>
      <c r="CF34" s="17">
        <v>7.048663034089008</v>
      </c>
      <c r="CG34" s="17">
        <v>7.156994645490614</v>
      </c>
      <c r="CH34" s="17">
        <v>6.56535846253195</v>
      </c>
      <c r="CI34" s="17">
        <v>6.631852791382666</v>
      </c>
      <c r="CJ34" s="17">
        <v>6.71669972722196</v>
      </c>
      <c r="CL34" s="16" t="str">
        <f t="shared" si="3"/>
        <v>qMHD</v>
      </c>
      <c r="CM34" s="17">
        <v>7.637645302236766</v>
      </c>
      <c r="CN34" s="17">
        <v>6.607361937468214</v>
      </c>
      <c r="CO34" s="17">
        <v>5.9435044114210465</v>
      </c>
      <c r="CP34" s="17">
        <v>5.513684988935836</v>
      </c>
      <c r="CQ34" s="17">
        <v>5.221808350921047</v>
      </c>
      <c r="CR34" s="17">
        <v>5.011220894113681</v>
      </c>
      <c r="CS34" s="17">
        <v>7.059549908769448</v>
      </c>
      <c r="CT34" s="17">
        <v>7.0672068121254386</v>
      </c>
      <c r="CU34" s="17">
        <v>7.080891703245655</v>
      </c>
      <c r="CV34" s="17">
        <v>7.094461495901058</v>
      </c>
      <c r="CW34" s="17">
        <v>7.435084187461123</v>
      </c>
      <c r="CX34" s="17">
        <v>7.434877614179052</v>
      </c>
      <c r="CY34" s="17">
        <v>7.434675991893982</v>
      </c>
      <c r="CZ34" s="17">
        <v>7.434479121554669</v>
      </c>
      <c r="DA34" s="17">
        <v>7.434286833395594</v>
      </c>
      <c r="DB34" s="17"/>
      <c r="DC34" s="17"/>
      <c r="DE34" s="16" t="s">
        <v>757</v>
      </c>
      <c r="DF34" s="17">
        <v>7.498385064987519</v>
      </c>
      <c r="DG34" s="17">
        <v>7.498385064987519</v>
      </c>
      <c r="DH34" s="17">
        <v>7.498385064987519</v>
      </c>
      <c r="DI34" s="17">
        <v>7.498385064987519</v>
      </c>
      <c r="DJ34" s="17">
        <v>7.498385064987519</v>
      </c>
      <c r="DK34" s="17">
        <v>7.498385064987519</v>
      </c>
      <c r="DL34" s="17">
        <v>7.498385064987519</v>
      </c>
      <c r="DM34" s="17">
        <v>7.498385064987519</v>
      </c>
      <c r="DN34" s="17">
        <v>7.498385064987519</v>
      </c>
      <c r="DO34" s="17">
        <v>7.498385064987519</v>
      </c>
      <c r="DP34" s="17">
        <v>7.498385064987519</v>
      </c>
      <c r="DQ34" s="17">
        <v>7.498385064987519</v>
      </c>
      <c r="DR34" s="17">
        <v>7.498385064987519</v>
      </c>
      <c r="DS34" s="17">
        <v>7.498385064987519</v>
      </c>
      <c r="DT34" s="17">
        <v>7.498385064987519</v>
      </c>
      <c r="DU34" s="17">
        <v>7.498385064987519</v>
      </c>
      <c r="DV34" s="17">
        <v>7.498385064987519</v>
      </c>
      <c r="DW34" s="17">
        <v>7.498385064987519</v>
      </c>
      <c r="DX34" s="17">
        <v>7.498385064987519</v>
      </c>
      <c r="DY34" s="17">
        <v>7.731169725456977</v>
      </c>
      <c r="DZ34" s="17">
        <v>8.147146200889608</v>
      </c>
      <c r="EA34" s="17">
        <v>8.511458149258655</v>
      </c>
      <c r="EB34" s="17">
        <v>8.860478146017522</v>
      </c>
      <c r="EC34" s="17">
        <v>9.196552982041927</v>
      </c>
    </row>
    <row r="35" spans="1:133" ht="12.75">
      <c r="A35" t="s">
        <v>730</v>
      </c>
      <c r="B35" s="222">
        <v>42906328.28049522</v>
      </c>
      <c r="C35" s="24" t="s">
        <v>263</v>
      </c>
      <c r="D35" s="227"/>
      <c r="E35" s="227"/>
      <c r="F35" s="227">
        <v>40000000</v>
      </c>
      <c r="G35" s="222">
        <v>23871915.483590033</v>
      </c>
      <c r="H35" s="222">
        <v>17428090.735748347</v>
      </c>
      <c r="I35" s="227"/>
      <c r="J35" s="164">
        <f>qcyl</f>
        <v>2.571765</v>
      </c>
      <c r="K35" s="21" t="str">
        <f>A31</f>
        <v>qcyl</v>
      </c>
      <c r="L35" s="21">
        <v>3.935997805727541</v>
      </c>
      <c r="M35" s="21">
        <v>2.571765</v>
      </c>
      <c r="N35" s="21">
        <v>2.6965927664251526</v>
      </c>
      <c r="O35" s="21">
        <v>2.819702370647387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16" t="str">
        <f t="shared" si="0"/>
        <v>qcyl</v>
      </c>
      <c r="AE35" s="21">
        <v>2.571765</v>
      </c>
      <c r="AF35" s="21">
        <v>2.571765</v>
      </c>
      <c r="AG35" s="21">
        <v>2.6965927664251526</v>
      </c>
      <c r="AH35" s="21">
        <v>2.819702370647387</v>
      </c>
      <c r="AI35" s="21">
        <v>2.81144156276005</v>
      </c>
      <c r="AJ35" s="21">
        <v>2.571765</v>
      </c>
      <c r="AK35" s="21">
        <v>2.571765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X35" s="16" t="str">
        <f t="shared" si="1"/>
        <v>qcyl</v>
      </c>
      <c r="AY35" s="21">
        <v>2.910741288411168</v>
      </c>
      <c r="AZ35" s="21">
        <v>3.3617770863448793</v>
      </c>
      <c r="BA35" s="21">
        <v>3.816871785362562</v>
      </c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>
        <v>4.444261697136477</v>
      </c>
      <c r="BR35" s="16" t="str">
        <f t="shared" si="2"/>
        <v>qcyl</v>
      </c>
      <c r="BS35" s="21">
        <v>2.571765</v>
      </c>
      <c r="BT35" s="21">
        <v>2.5973503943840366</v>
      </c>
      <c r="BU35" s="21">
        <v>2.9462020520829886</v>
      </c>
      <c r="BV35" s="21">
        <v>2.9819520602235574</v>
      </c>
      <c r="BW35" s="21">
        <v>3.379498787009395</v>
      </c>
      <c r="BX35" s="21">
        <v>3.555987270361873</v>
      </c>
      <c r="BY35" s="21">
        <v>3.536923570354513</v>
      </c>
      <c r="BZ35" s="21">
        <v>3.6082484440562363</v>
      </c>
      <c r="CA35" s="21">
        <v>3.665897199176887</v>
      </c>
      <c r="CB35" s="21">
        <v>3.595869218210153</v>
      </c>
      <c r="CC35" s="21">
        <v>3.65643015522759</v>
      </c>
      <c r="CD35" s="21">
        <v>3.721151274511021</v>
      </c>
      <c r="CE35" s="21">
        <v>3.611039051917237</v>
      </c>
      <c r="CF35" s="21">
        <v>3.6593501228304266</v>
      </c>
      <c r="CG35" s="21">
        <v>3.7155910430690144</v>
      </c>
      <c r="CH35" s="21">
        <v>3.597254325571203</v>
      </c>
      <c r="CI35" s="21">
        <v>3.6336875246797162</v>
      </c>
      <c r="CJ35" s="21">
        <v>3.6801763811071617</v>
      </c>
      <c r="CL35" s="16" t="str">
        <f t="shared" si="3"/>
        <v>qcyl</v>
      </c>
      <c r="CM35" s="21">
        <v>2.6195278984034984</v>
      </c>
      <c r="CN35" s="21">
        <v>2.632895591699882</v>
      </c>
      <c r="CO35" s="21">
        <v>2.6479871704323186</v>
      </c>
      <c r="CP35" s="21">
        <v>2.6761380000000003</v>
      </c>
      <c r="CQ35" s="21">
        <v>2.710929</v>
      </c>
      <c r="CR35" s="21">
        <v>2.74572</v>
      </c>
      <c r="CS35" s="21">
        <v>2.6065560000000003</v>
      </c>
      <c r="CT35" s="21">
        <v>2.6093831132921927</v>
      </c>
      <c r="CU35" s="21">
        <v>2.614435904974342</v>
      </c>
      <c r="CV35" s="21">
        <v>2.6194461995287806</v>
      </c>
      <c r="CW35" s="21">
        <v>2.7452123081186692</v>
      </c>
      <c r="CX35" s="21">
        <v>2.745136036283385</v>
      </c>
      <c r="CY35" s="21">
        <v>2.74506159247554</v>
      </c>
      <c r="CZ35" s="21">
        <v>2.744988903200616</v>
      </c>
      <c r="DA35" s="21">
        <v>2.744917905777091</v>
      </c>
      <c r="DB35" s="21"/>
      <c r="DC35" s="21"/>
      <c r="DE35" s="16" t="s">
        <v>527</v>
      </c>
      <c r="DF35" s="21">
        <v>2.571765</v>
      </c>
      <c r="DG35" s="21">
        <v>2.571765</v>
      </c>
      <c r="DH35" s="21">
        <v>2.571765</v>
      </c>
      <c r="DI35" s="21">
        <v>2.571765</v>
      </c>
      <c r="DJ35" s="21">
        <v>2.571765</v>
      </c>
      <c r="DK35" s="21">
        <v>2.571765</v>
      </c>
      <c r="DL35" s="21">
        <v>2.571765</v>
      </c>
      <c r="DM35" s="21">
        <v>2.571765</v>
      </c>
      <c r="DN35" s="21">
        <v>2.571765</v>
      </c>
      <c r="DO35" s="21">
        <v>2.571765</v>
      </c>
      <c r="DP35" s="21">
        <v>2.571765</v>
      </c>
      <c r="DQ35" s="21">
        <v>2.571765</v>
      </c>
      <c r="DR35" s="21">
        <v>2.571765</v>
      </c>
      <c r="DS35" s="21">
        <v>2.571765</v>
      </c>
      <c r="DT35" s="21">
        <v>2.571765</v>
      </c>
      <c r="DU35" s="21">
        <v>2.571765</v>
      </c>
      <c r="DV35" s="21">
        <v>2.571765</v>
      </c>
      <c r="DW35" s="21">
        <v>2.571765</v>
      </c>
      <c r="DX35" s="21">
        <v>2.571765</v>
      </c>
      <c r="DY35" s="21">
        <v>2.6516045170618288</v>
      </c>
      <c r="DZ35" s="21">
        <v>2.7942744027864537</v>
      </c>
      <c r="EA35" s="21">
        <v>2.9192246033665943</v>
      </c>
      <c r="EB35" s="21">
        <v>3.038930033827315</v>
      </c>
      <c r="EC35" s="21">
        <v>3.154195586766712</v>
      </c>
    </row>
    <row r="36" spans="1:133" ht="12.75">
      <c r="A36" t="s">
        <v>731</v>
      </c>
      <c r="B36" s="209">
        <f>IF(Mode="CTF",F36,IF(Mode="DEMO",G36,IF(Mode="NSTX",D36,IF(Mode="NSST",E36,IF(Mode="REACTOR",H36,IF(Mode="ARIES",I36,"Error"))))))</f>
        <v>0.06</v>
      </c>
      <c r="C36" s="161" t="s">
        <v>374</v>
      </c>
      <c r="D36" s="161"/>
      <c r="E36" s="156">
        <v>0.05</v>
      </c>
      <c r="F36" s="157">
        <v>0.06</v>
      </c>
      <c r="G36" s="157">
        <v>0.2</v>
      </c>
      <c r="H36" s="157">
        <v>0.2</v>
      </c>
      <c r="I36" s="157">
        <v>0.2</v>
      </c>
      <c r="J36" s="165">
        <f>qcyl/B30</f>
        <v>1</v>
      </c>
      <c r="K36" s="18" t="s">
        <v>406</v>
      </c>
      <c r="L36" s="18">
        <v>1.5304655774254416</v>
      </c>
      <c r="M36" s="18">
        <v>1</v>
      </c>
      <c r="N36" s="18">
        <v>1.0485377810278749</v>
      </c>
      <c r="O36" s="18">
        <v>1.0964074752737465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6" t="str">
        <f t="shared" si="0"/>
        <v>qcyl/qcyl(A)</v>
      </c>
      <c r="AE36" s="18">
        <v>1</v>
      </c>
      <c r="AF36" s="18">
        <v>1</v>
      </c>
      <c r="AG36" s="18">
        <v>1.0485377810278749</v>
      </c>
      <c r="AH36" s="18">
        <v>1.0964074752737465</v>
      </c>
      <c r="AI36" s="18">
        <v>1.0786039366735454</v>
      </c>
      <c r="AJ36" s="18">
        <v>1</v>
      </c>
      <c r="AK36" s="18">
        <v>1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X36" s="16" t="str">
        <f t="shared" si="1"/>
        <v>qcyl/qcyl(A)</v>
      </c>
      <c r="AY36" s="18">
        <v>1.1318068674280768</v>
      </c>
      <c r="AZ36" s="18">
        <v>1.307186732203323</v>
      </c>
      <c r="BA36" s="18">
        <v>1.4841448520228566</v>
      </c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>
        <v>1.6186143150563337</v>
      </c>
      <c r="BR36" s="16" t="str">
        <f t="shared" si="2"/>
        <v>qcyl/qcyl(A)</v>
      </c>
      <c r="BS36" s="18">
        <v>1</v>
      </c>
      <c r="BT36" s="18">
        <v>1.009948573988695</v>
      </c>
      <c r="BU36" s="18">
        <v>1.1455953604170632</v>
      </c>
      <c r="BV36" s="18">
        <v>1.1440199482472493</v>
      </c>
      <c r="BW36" s="18">
        <v>1.296537955451329</v>
      </c>
      <c r="BX36" s="18">
        <v>1.3642474093638781</v>
      </c>
      <c r="BY36" s="18">
        <v>1.3390605514362608</v>
      </c>
      <c r="BZ36" s="18">
        <v>1.3660637712713386</v>
      </c>
      <c r="CA36" s="18">
        <v>1.3878892849659235</v>
      </c>
      <c r="CB36" s="18">
        <v>1.3436785465510945</v>
      </c>
      <c r="CC36" s="18">
        <v>1.3663085219176254</v>
      </c>
      <c r="CD36" s="18">
        <v>1.390493044271641</v>
      </c>
      <c r="CE36" s="18">
        <v>1.3320301092050868</v>
      </c>
      <c r="CF36" s="18">
        <v>1.3498509635738989</v>
      </c>
      <c r="CG36" s="18">
        <v>1.3705969588539626</v>
      </c>
      <c r="CH36" s="18">
        <v>1.3101315230872788</v>
      </c>
      <c r="CI36" s="18">
        <v>1.3234006106521117</v>
      </c>
      <c r="CJ36" s="18">
        <v>1.340332000752867</v>
      </c>
      <c r="CL36" s="16" t="str">
        <f t="shared" si="3"/>
        <v>qcyl/qcyl(A)</v>
      </c>
      <c r="CM36" s="18">
        <v>1.0185720306495727</v>
      </c>
      <c r="CN36" s="18">
        <v>1.0101051317139864</v>
      </c>
      <c r="CO36" s="18">
        <v>1.0025139333954678</v>
      </c>
      <c r="CP36" s="18">
        <v>1</v>
      </c>
      <c r="CQ36" s="18">
        <v>1</v>
      </c>
      <c r="CR36" s="18">
        <v>1</v>
      </c>
      <c r="CS36" s="18">
        <v>1</v>
      </c>
      <c r="CT36" s="18">
        <v>1.0010846163643492</v>
      </c>
      <c r="CU36" s="18">
        <v>1.003023109794818</v>
      </c>
      <c r="CV36" s="18">
        <v>1.0049452992871744</v>
      </c>
      <c r="CW36" s="18">
        <v>1.0531952154945716</v>
      </c>
      <c r="CX36" s="18">
        <v>1.0531659539574</v>
      </c>
      <c r="CY36" s="18">
        <v>1.0531373937393018</v>
      </c>
      <c r="CZ36" s="18">
        <v>1.0531095066442522</v>
      </c>
      <c r="DA36" s="18">
        <v>1.0530822686246106</v>
      </c>
      <c r="DB36" s="18"/>
      <c r="DC36" s="18"/>
      <c r="DE36" s="16" t="s">
        <v>406</v>
      </c>
      <c r="DF36" s="18">
        <v>1</v>
      </c>
      <c r="DG36" s="18">
        <v>1</v>
      </c>
      <c r="DH36" s="18">
        <v>1</v>
      </c>
      <c r="DI36" s="18">
        <v>1</v>
      </c>
      <c r="DJ36" s="18">
        <v>1</v>
      </c>
      <c r="DK36" s="18">
        <v>1</v>
      </c>
      <c r="DL36" s="18">
        <v>1</v>
      </c>
      <c r="DM36" s="18">
        <v>1</v>
      </c>
      <c r="DN36" s="18">
        <v>1</v>
      </c>
      <c r="DO36" s="18">
        <v>1</v>
      </c>
      <c r="DP36" s="18">
        <v>1</v>
      </c>
      <c r="DQ36" s="18">
        <v>1</v>
      </c>
      <c r="DR36" s="18">
        <v>1</v>
      </c>
      <c r="DS36" s="18">
        <v>1</v>
      </c>
      <c r="DT36" s="18">
        <v>1</v>
      </c>
      <c r="DU36" s="18">
        <v>1</v>
      </c>
      <c r="DV36" s="18">
        <v>1</v>
      </c>
      <c r="DW36" s="18">
        <v>1</v>
      </c>
      <c r="DX36" s="18">
        <v>1</v>
      </c>
      <c r="DY36" s="18">
        <v>1.0310446394059445</v>
      </c>
      <c r="DZ36" s="18">
        <v>1.0865201147019474</v>
      </c>
      <c r="EA36" s="18">
        <v>1.135105502783728</v>
      </c>
      <c r="EB36" s="18">
        <v>1.1816515248583424</v>
      </c>
      <c r="EC36" s="18">
        <v>1.226471153766659</v>
      </c>
    </row>
    <row r="37" spans="1:133" ht="12.75">
      <c r="A37" t="s">
        <v>732</v>
      </c>
      <c r="B37" s="181">
        <f>R0-R0/A_100-B36</f>
        <v>0.30398270995734106</v>
      </c>
      <c r="C37" s="9" t="s">
        <v>39</v>
      </c>
      <c r="J37" s="163">
        <f>B40</f>
        <v>2.075954058776287</v>
      </c>
      <c r="K37" s="16" t="str">
        <f>A40</f>
        <v>Bt[T]</v>
      </c>
      <c r="L37" s="17">
        <v>2.4453595858200785</v>
      </c>
      <c r="M37" s="17">
        <v>2.0759540587765817</v>
      </c>
      <c r="N37" s="17">
        <v>1.8700714600061326</v>
      </c>
      <c r="O37" s="17">
        <v>1.839806893346452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 t="str">
        <f t="shared" si="0"/>
        <v>Bt[T]</v>
      </c>
      <c r="AE37" s="17">
        <v>1.3610773203002755</v>
      </c>
      <c r="AF37" s="17">
        <v>2.0759540587765817</v>
      </c>
      <c r="AG37" s="17">
        <v>1.8700714600061326</v>
      </c>
      <c r="AH37" s="17">
        <v>1.839806893346452</v>
      </c>
      <c r="AI37" s="17">
        <v>1.683713814739119</v>
      </c>
      <c r="AJ37" s="17">
        <v>1.3610773203002755</v>
      </c>
      <c r="AK37" s="17">
        <v>2.0759540587765817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X37" s="16" t="str">
        <f t="shared" si="1"/>
        <v>Bt[T]</v>
      </c>
      <c r="AY37" s="17">
        <v>1.8536506533793025</v>
      </c>
      <c r="AZ37" s="17">
        <v>2.1055405142358574</v>
      </c>
      <c r="BA37" s="17">
        <v>2.352308612391549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>
        <v>4.3184922167976305</v>
      </c>
      <c r="BR37" s="16" t="str">
        <f t="shared" si="2"/>
        <v>Bt[T]</v>
      </c>
      <c r="BS37" s="17">
        <v>1.7408719250078395</v>
      </c>
      <c r="BT37" s="17">
        <v>1.9886672166711212</v>
      </c>
      <c r="BU37" s="17">
        <v>2.231745856260711</v>
      </c>
      <c r="BV37" s="17">
        <v>2.5204453819470243</v>
      </c>
      <c r="BW37" s="17">
        <v>2.8524790329085303</v>
      </c>
      <c r="BX37" s="17">
        <v>2.9786794872074456</v>
      </c>
      <c r="BY37" s="17">
        <v>3.2728468205276977</v>
      </c>
      <c r="BZ37" s="17">
        <v>3.3273659794339947</v>
      </c>
      <c r="CA37" s="17">
        <v>3.372798612006185</v>
      </c>
      <c r="CB37" s="17">
        <v>3.6231391963215986</v>
      </c>
      <c r="CC37" s="17">
        <v>3.6776583553122877</v>
      </c>
      <c r="CD37" s="17">
        <v>3.723091004452514</v>
      </c>
      <c r="CE37" s="17">
        <v>3.9365250140239456</v>
      </c>
      <c r="CF37" s="17">
        <v>3.991044173018246</v>
      </c>
      <c r="CG37" s="17">
        <v>4.036476805506876</v>
      </c>
      <c r="CH37" s="17">
        <v>4.218540425171705</v>
      </c>
      <c r="CI37" s="17">
        <v>4.273059584162393</v>
      </c>
      <c r="CJ37" s="17">
        <v>4.318492216654637</v>
      </c>
      <c r="CL37" s="16" t="str">
        <f t="shared" si="3"/>
        <v>Bt[T]</v>
      </c>
      <c r="CM37" s="17">
        <v>2.0532620956454997</v>
      </c>
      <c r="CN37" s="17">
        <v>2.3488935019048673</v>
      </c>
      <c r="CO37" s="17">
        <v>2.6640370997860616</v>
      </c>
      <c r="CP37" s="17">
        <v>3.0322852800302758</v>
      </c>
      <c r="CQ37" s="17">
        <v>3.429613337562626</v>
      </c>
      <c r="CR37" s="17">
        <v>3.699721820460593</v>
      </c>
      <c r="CS37" s="17">
        <v>2.3039718575347976</v>
      </c>
      <c r="CT37" s="17">
        <v>2.2307592947723736</v>
      </c>
      <c r="CU37" s="17">
        <v>2.1665929413931204</v>
      </c>
      <c r="CV37" s="17">
        <v>2.1075003705792157</v>
      </c>
      <c r="CW37" s="17">
        <v>2.33209230932737</v>
      </c>
      <c r="CX37" s="17">
        <v>2.2665989494046292</v>
      </c>
      <c r="CY37" s="17">
        <v>2.2052566630763994</v>
      </c>
      <c r="CZ37" s="17">
        <v>2.147666791386195</v>
      </c>
      <c r="DA37" s="17">
        <v>2.093481085860556</v>
      </c>
      <c r="DB37" s="17"/>
      <c r="DC37" s="17"/>
      <c r="DE37" s="16" t="s">
        <v>735</v>
      </c>
      <c r="DF37" s="17">
        <v>1.7346942067253919</v>
      </c>
      <c r="DG37" s="17">
        <v>1.9432666177652045</v>
      </c>
      <c r="DH37" s="17">
        <v>1.9568600846049888</v>
      </c>
      <c r="DI37" s="17">
        <v>1.8129704088871073</v>
      </c>
      <c r="DJ37" s="17">
        <v>1.6886110130197287</v>
      </c>
      <c r="DK37" s="17">
        <v>1.5801010750283948</v>
      </c>
      <c r="DL37" s="17">
        <v>1.7053773046278478</v>
      </c>
      <c r="DM37" s="17">
        <v>1.86458164755049</v>
      </c>
      <c r="DN37" s="17">
        <v>2.0051149716772314</v>
      </c>
      <c r="DO37" s="17">
        <v>2.1343365595080974</v>
      </c>
      <c r="DP37" s="17">
        <v>2.257809098706952</v>
      </c>
      <c r="DQ37" s="17">
        <v>2.3620213262990863</v>
      </c>
      <c r="DR37" s="17">
        <v>1.7538985683883024</v>
      </c>
      <c r="DS37" s="17">
        <v>1.9053289077844353</v>
      </c>
      <c r="DT37" s="17">
        <v>2.026621645307966</v>
      </c>
      <c r="DU37" s="17">
        <v>2.127465831030027</v>
      </c>
      <c r="DV37" s="17">
        <v>2.20821877467825</v>
      </c>
      <c r="DW37" s="17">
        <v>2.2562710044634096</v>
      </c>
      <c r="DX37" s="17">
        <v>1.801013009854155</v>
      </c>
      <c r="DY37" s="17">
        <v>1.9777897122690975</v>
      </c>
      <c r="DZ37" s="17">
        <v>2.1507800867493345</v>
      </c>
      <c r="EA37" s="17">
        <v>2.306884963227298</v>
      </c>
      <c r="EB37" s="17">
        <v>2.452929049554844</v>
      </c>
      <c r="EC37" s="17">
        <v>2.5927061587299076</v>
      </c>
    </row>
    <row r="38" spans="1:133" ht="12.75">
      <c r="A38" t="s">
        <v>50</v>
      </c>
      <c r="B38" s="181">
        <v>0.25</v>
      </c>
      <c r="C38" s="8" t="s">
        <v>375</v>
      </c>
      <c r="D38" s="8"/>
      <c r="E38" s="8"/>
      <c r="J38" s="165">
        <f>fracwater</f>
        <v>0.25</v>
      </c>
      <c r="K38" s="18" t="str">
        <f>A38</f>
        <v>fH20</v>
      </c>
      <c r="L38" s="18">
        <v>0.25</v>
      </c>
      <c r="M38" s="18">
        <v>0.25</v>
      </c>
      <c r="N38" s="18">
        <v>0.25</v>
      </c>
      <c r="O38" s="18">
        <v>0.25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6" t="str">
        <f t="shared" si="0"/>
        <v>fH20</v>
      </c>
      <c r="AE38" s="18">
        <v>0.25</v>
      </c>
      <c r="AF38" s="18">
        <v>0.25</v>
      </c>
      <c r="AG38" s="18">
        <v>0.25</v>
      </c>
      <c r="AH38" s="18">
        <v>0.25</v>
      </c>
      <c r="AI38" s="18">
        <v>0.0832592549547113</v>
      </c>
      <c r="AJ38" s="18">
        <v>0.25</v>
      </c>
      <c r="AK38" s="18">
        <v>0.25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X38" s="16" t="str">
        <f t="shared" si="1"/>
        <v>fH20</v>
      </c>
      <c r="AY38" s="18">
        <v>0.25</v>
      </c>
      <c r="AZ38" s="18">
        <v>0.25</v>
      </c>
      <c r="BA38" s="18">
        <v>0.25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>
        <v>0.12750369819964968</v>
      </c>
      <c r="BR38" s="16" t="str">
        <f t="shared" si="2"/>
        <v>fH20</v>
      </c>
      <c r="BS38" s="18">
        <v>0.25</v>
      </c>
      <c r="BT38" s="18">
        <v>0.25</v>
      </c>
      <c r="BU38" s="18">
        <v>0.25</v>
      </c>
      <c r="BV38" s="18">
        <v>0.25</v>
      </c>
      <c r="BW38" s="18">
        <v>0.25</v>
      </c>
      <c r="BX38" s="18">
        <v>0.25</v>
      </c>
      <c r="BY38" s="18">
        <v>0.23241912355842678</v>
      </c>
      <c r="BZ38" s="18">
        <v>0.15807810687037238</v>
      </c>
      <c r="CA38" s="18">
        <v>0.12161186218944552</v>
      </c>
      <c r="CB38" s="18">
        <v>0.25</v>
      </c>
      <c r="CC38" s="18">
        <v>0.25</v>
      </c>
      <c r="CD38" s="18">
        <v>0.25</v>
      </c>
      <c r="CE38" s="18">
        <v>0.25</v>
      </c>
      <c r="CF38" s="18">
        <v>0.25</v>
      </c>
      <c r="CG38" s="18">
        <v>0.25</v>
      </c>
      <c r="CH38" s="18">
        <v>0.25</v>
      </c>
      <c r="CI38" s="18">
        <v>0.25</v>
      </c>
      <c r="CJ38" s="18">
        <v>0.25</v>
      </c>
      <c r="CL38" s="16" t="str">
        <f t="shared" si="3"/>
        <v>fH20</v>
      </c>
      <c r="CM38" s="18">
        <v>0.24956820963836268</v>
      </c>
      <c r="CN38" s="18">
        <v>0.15821338534429075</v>
      </c>
      <c r="CO38" s="18">
        <v>0.11956354288920264</v>
      </c>
      <c r="CP38" s="18">
        <v>0.11203042396162217</v>
      </c>
      <c r="CQ38" s="18">
        <v>0.10795504128705817</v>
      </c>
      <c r="CR38" s="18">
        <v>0.10031648362645885</v>
      </c>
      <c r="CS38" s="18">
        <v>0.19105268290645278</v>
      </c>
      <c r="CT38" s="18">
        <v>0.1526262761755345</v>
      </c>
      <c r="CU38" s="18">
        <v>0.12541308361651912</v>
      </c>
      <c r="CV38" s="18">
        <v>0.11316037785142706</v>
      </c>
      <c r="CW38" s="18">
        <v>0.11673472829873513</v>
      </c>
      <c r="CX38" s="18">
        <v>0.1106552264014948</v>
      </c>
      <c r="CY38" s="18">
        <v>0.10517777769528339</v>
      </c>
      <c r="CZ38" s="18">
        <v>0.10021778652881001</v>
      </c>
      <c r="DA38" s="18">
        <v>0.09570557446027608</v>
      </c>
      <c r="DB38" s="18"/>
      <c r="DC38" s="18"/>
      <c r="DE38" s="16" t="s">
        <v>50</v>
      </c>
      <c r="DF38" s="18">
        <v>0.25</v>
      </c>
      <c r="DG38" s="18">
        <v>0.25</v>
      </c>
      <c r="DH38" s="18">
        <v>0.25</v>
      </c>
      <c r="DI38" s="18">
        <v>0.25</v>
      </c>
      <c r="DJ38" s="18">
        <v>0.25</v>
      </c>
      <c r="DK38" s="18">
        <v>0.25</v>
      </c>
      <c r="DL38" s="18">
        <v>0.25</v>
      </c>
      <c r="DM38" s="18">
        <v>0.25</v>
      </c>
      <c r="DN38" s="18">
        <v>0.25</v>
      </c>
      <c r="DO38" s="18">
        <v>0.25</v>
      </c>
      <c r="DP38" s="18">
        <v>0.25</v>
      </c>
      <c r="DQ38" s="18">
        <v>0.25</v>
      </c>
      <c r="DR38" s="18">
        <v>0.25</v>
      </c>
      <c r="DS38" s="18">
        <v>0.25</v>
      </c>
      <c r="DT38" s="18">
        <v>0.25</v>
      </c>
      <c r="DU38" s="18">
        <v>0.25</v>
      </c>
      <c r="DV38" s="18">
        <v>0.25</v>
      </c>
      <c r="DW38" s="18">
        <v>0.25</v>
      </c>
      <c r="DX38" s="18">
        <v>0.25</v>
      </c>
      <c r="DY38" s="18">
        <v>0.25</v>
      </c>
      <c r="DZ38" s="18">
        <v>0.25</v>
      </c>
      <c r="EA38" s="18">
        <v>0.25</v>
      </c>
      <c r="EB38" s="18">
        <v>0.25</v>
      </c>
      <c r="EC38" s="18">
        <v>0.25</v>
      </c>
    </row>
    <row r="39" spans="1:133" ht="12.75">
      <c r="A39" t="s">
        <v>734</v>
      </c>
      <c r="B39" s="181">
        <f>mu0*B35*PI()*B37^2/2/PI()/R0</f>
        <v>2.075954058776287</v>
      </c>
      <c r="C39" s="9" t="s">
        <v>39</v>
      </c>
      <c r="J39" s="166">
        <f>TH20max</f>
        <v>89.72889862134097</v>
      </c>
      <c r="K39" s="19" t="str">
        <f>A42</f>
        <v>TH20max[degC]</v>
      </c>
      <c r="L39" s="19">
        <v>89.3054921815388</v>
      </c>
      <c r="M39" s="19">
        <v>89.72889861447696</v>
      </c>
      <c r="N39" s="19">
        <v>76.31294506419866</v>
      </c>
      <c r="O39" s="19">
        <v>81.56728894401748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6" t="str">
        <f t="shared" si="0"/>
        <v>TH20max[degC]</v>
      </c>
      <c r="AE39" s="19">
        <v>54.324447945561325</v>
      </c>
      <c r="AF39" s="19">
        <v>89.72889861447696</v>
      </c>
      <c r="AG39" s="19">
        <v>76.31294506419866</v>
      </c>
      <c r="AH39" s="19">
        <v>81.56728894401748</v>
      </c>
      <c r="AI39" s="19">
        <v>88.69765355870744</v>
      </c>
      <c r="AJ39" s="19">
        <v>54.324447945561325</v>
      </c>
      <c r="AK39" s="19">
        <v>89.72889861447696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X39" s="16" t="str">
        <f t="shared" si="1"/>
        <v>TH20max[degC]</v>
      </c>
      <c r="AY39" s="19">
        <v>81.7037898107065</v>
      </c>
      <c r="AZ39" s="19">
        <v>84.26869967857863</v>
      </c>
      <c r="BA39" s="19">
        <v>86.66671259093722</v>
      </c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>
        <v>69.03239133012687</v>
      </c>
      <c r="BR39" s="16" t="str">
        <f t="shared" si="2"/>
        <v>TH20max[degC]</v>
      </c>
      <c r="BS39" s="19">
        <v>82.98169044995171</v>
      </c>
      <c r="BT39" s="19">
        <v>85.52108953085515</v>
      </c>
      <c r="BU39" s="19">
        <v>87.89793650482966</v>
      </c>
      <c r="BV39" s="19">
        <v>81.82042656014629</v>
      </c>
      <c r="BW39" s="19">
        <v>84.31114474973234</v>
      </c>
      <c r="BX39" s="19">
        <v>81.05600233185682</v>
      </c>
      <c r="BY39" s="19">
        <v>83.01225357242159</v>
      </c>
      <c r="BZ39" s="19">
        <v>94.56020657540722</v>
      </c>
      <c r="CA39" s="19">
        <v>103.46053172428982</v>
      </c>
      <c r="CB39" s="19">
        <v>71.55972348054999</v>
      </c>
      <c r="CC39" s="19">
        <v>66.97094920896518</v>
      </c>
      <c r="CD39" s="19">
        <v>63.475481054800525</v>
      </c>
      <c r="CE39" s="19">
        <v>65.90195747545008</v>
      </c>
      <c r="CF39" s="19">
        <v>62.005824631475356</v>
      </c>
      <c r="CG39" s="19">
        <v>59.03095850796103</v>
      </c>
      <c r="CH39" s="19">
        <v>61.92588571161943</v>
      </c>
      <c r="CI39" s="19">
        <v>58.49955023171539</v>
      </c>
      <c r="CJ39" s="19">
        <v>55.88481797433288</v>
      </c>
      <c r="CL39" s="16" t="str">
        <f t="shared" si="3"/>
        <v>TH20max[degC]</v>
      </c>
      <c r="CM39" s="19">
        <v>107.8063514384926</v>
      </c>
      <c r="CN39" s="19">
        <v>110.89506554543952</v>
      </c>
      <c r="CO39" s="19">
        <v>112.99739856553754</v>
      </c>
      <c r="CP39" s="19">
        <v>105.98030381414613</v>
      </c>
      <c r="CQ39" s="19">
        <v>100.57725968424234</v>
      </c>
      <c r="CR39" s="19">
        <v>93.28440432233064</v>
      </c>
      <c r="CS39" s="19">
        <v>108.91170802131975</v>
      </c>
      <c r="CT39" s="19">
        <v>113.18695695007486</v>
      </c>
      <c r="CU39" s="19">
        <v>117.03125903124766</v>
      </c>
      <c r="CV39" s="19">
        <v>114.43208430599448</v>
      </c>
      <c r="CW39" s="19">
        <v>118.25250869264683</v>
      </c>
      <c r="CX39" s="19">
        <v>112.64409754543752</v>
      </c>
      <c r="CY39" s="19">
        <v>107.77579770505986</v>
      </c>
      <c r="CZ39" s="19">
        <v>103.50863152888118</v>
      </c>
      <c r="DA39" s="19">
        <v>99.73638480748308</v>
      </c>
      <c r="DB39" s="19"/>
      <c r="DC39" s="19"/>
      <c r="DE39" s="16" t="s">
        <v>569</v>
      </c>
      <c r="DF39" s="19">
        <v>83.04949128458432</v>
      </c>
      <c r="DG39" s="19">
        <v>85.98936033755469</v>
      </c>
      <c r="DH39" s="19">
        <v>77.95286651561251</v>
      </c>
      <c r="DI39" s="19">
        <v>66.90632135493556</v>
      </c>
      <c r="DJ39" s="19">
        <v>59.39962787460266</v>
      </c>
      <c r="DK39" s="19">
        <v>54.10312611686374</v>
      </c>
      <c r="DL39" s="19">
        <v>83.3681188453353</v>
      </c>
      <c r="DM39" s="19">
        <v>86.77660629564235</v>
      </c>
      <c r="DN39" s="19">
        <v>90.0465930264671</v>
      </c>
      <c r="DO39" s="19">
        <v>93.13361860139007</v>
      </c>
      <c r="DP39" s="19">
        <v>96.01974775900955</v>
      </c>
      <c r="DQ39" s="19">
        <v>97.6029040293449</v>
      </c>
      <c r="DR39" s="19">
        <v>82.83797135534785</v>
      </c>
      <c r="DS39" s="19">
        <v>86.37278867619212</v>
      </c>
      <c r="DT39" s="19">
        <v>89.85206500774538</v>
      </c>
      <c r="DU39" s="19">
        <v>93.19074860896801</v>
      </c>
      <c r="DV39" s="19">
        <v>95.76884099907782</v>
      </c>
      <c r="DW39" s="19">
        <v>96.22991602533797</v>
      </c>
      <c r="DX39" s="19">
        <v>82.30968436510317</v>
      </c>
      <c r="DY39" s="19">
        <v>85.63421503417213</v>
      </c>
      <c r="DZ39" s="19">
        <v>88.69054228595583</v>
      </c>
      <c r="EA39" s="19">
        <v>91.64152506974463</v>
      </c>
      <c r="EB39" s="19">
        <v>94.44112533907398</v>
      </c>
      <c r="EC39" s="19">
        <v>97.0782951383776</v>
      </c>
    </row>
    <row r="40" spans="1:133" ht="12.75">
      <c r="A40" t="s">
        <v>735</v>
      </c>
      <c r="B40" s="209">
        <f>B39</f>
        <v>2.075954058776287</v>
      </c>
      <c r="C40" s="160" t="s">
        <v>660</v>
      </c>
      <c r="J40" s="166">
        <f>TCumax</f>
        <v>150.00000014392407</v>
      </c>
      <c r="K40" s="19" t="str">
        <f>A43</f>
        <v>TCumax[degC]</v>
      </c>
      <c r="L40" s="19">
        <v>149.99999993581082</v>
      </c>
      <c r="M40" s="19">
        <v>150.00000012957355</v>
      </c>
      <c r="N40" s="19">
        <v>99.76136056792717</v>
      </c>
      <c r="O40" s="19">
        <v>108.82005844566076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6" t="str">
        <f t="shared" si="0"/>
        <v>TCumax[degC]</v>
      </c>
      <c r="AE40" s="19">
        <v>75.30017059955824</v>
      </c>
      <c r="AF40" s="19">
        <v>150.00000012957355</v>
      </c>
      <c r="AG40" s="19">
        <v>99.76136056792717</v>
      </c>
      <c r="AH40" s="19">
        <v>108.82005844566076</v>
      </c>
      <c r="AI40" s="19">
        <v>103.01480130066687</v>
      </c>
      <c r="AJ40" s="19">
        <v>75.30017059955824</v>
      </c>
      <c r="AK40" s="19">
        <v>150.00000012957355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X40" s="16" t="str">
        <f t="shared" si="1"/>
        <v>TCumax[degC]</v>
      </c>
      <c r="AY40" s="19">
        <v>149.99999586260626</v>
      </c>
      <c r="AZ40" s="19">
        <v>149.99999999697567</v>
      </c>
      <c r="BA40" s="19">
        <v>149.99999982608463</v>
      </c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>
        <v>92.79101431963826</v>
      </c>
      <c r="BR40" s="16" t="str">
        <f t="shared" si="2"/>
        <v>TCumax[degC]</v>
      </c>
      <c r="BS40" s="19">
        <v>150.00000007561874</v>
      </c>
      <c r="BT40" s="19">
        <v>149.99999980157187</v>
      </c>
      <c r="BU40" s="19">
        <v>149.9999999606892</v>
      </c>
      <c r="BV40" s="19">
        <v>150.0000006593958</v>
      </c>
      <c r="BW40" s="19">
        <v>150.00000000713408</v>
      </c>
      <c r="BX40" s="19">
        <v>137.06805767536912</v>
      </c>
      <c r="BY40" s="19">
        <v>149.99984795466764</v>
      </c>
      <c r="BZ40" s="19">
        <v>149.99995341286507</v>
      </c>
      <c r="CA40" s="19">
        <v>149.99999999828736</v>
      </c>
      <c r="CB40" s="19">
        <v>125.61835094100431</v>
      </c>
      <c r="CC40" s="19">
        <v>110.32807568050944</v>
      </c>
      <c r="CD40" s="19">
        <v>99.08721784357584</v>
      </c>
      <c r="CE40" s="19">
        <v>111.64987048585681</v>
      </c>
      <c r="CF40" s="19">
        <v>98.92203443641901</v>
      </c>
      <c r="CG40" s="19">
        <v>89.50605117557058</v>
      </c>
      <c r="CH40" s="19">
        <v>101.85089482280601</v>
      </c>
      <c r="CI40" s="19">
        <v>90.87460968155096</v>
      </c>
      <c r="CJ40" s="19">
        <v>82.72633515083544</v>
      </c>
      <c r="CL40" s="16" t="str">
        <f t="shared" si="3"/>
        <v>TCumax[degC]</v>
      </c>
      <c r="CM40" s="19">
        <v>150.0000228780828</v>
      </c>
      <c r="CN40" s="19">
        <v>149.99999999999073</v>
      </c>
      <c r="CO40" s="19">
        <v>149.99984600999764</v>
      </c>
      <c r="CP40" s="19">
        <v>140.88192723656687</v>
      </c>
      <c r="CQ40" s="19">
        <v>134.14867849419522</v>
      </c>
      <c r="CR40" s="19">
        <v>123.11283301148879</v>
      </c>
      <c r="CS40" s="19">
        <v>150.00000000000134</v>
      </c>
      <c r="CT40" s="19">
        <v>150.00003511604712</v>
      </c>
      <c r="CU40" s="19">
        <v>149.99987596457237</v>
      </c>
      <c r="CV40" s="19">
        <v>143.3596479297878</v>
      </c>
      <c r="CW40" s="19">
        <v>147.39341912640185</v>
      </c>
      <c r="CX40" s="19">
        <v>138.15831603433753</v>
      </c>
      <c r="CY40" s="19">
        <v>130.2384120697719</v>
      </c>
      <c r="CZ40" s="19">
        <v>123.38191579553305</v>
      </c>
      <c r="DA40" s="19">
        <v>117.39609839548582</v>
      </c>
      <c r="DB40" s="19"/>
      <c r="DC40" s="19"/>
      <c r="DE40" s="16" t="s">
        <v>570</v>
      </c>
      <c r="DF40" s="19">
        <v>150.00000000001418</v>
      </c>
      <c r="DG40" s="19">
        <v>150.00000002955187</v>
      </c>
      <c r="DH40" s="19">
        <v>126.95812332033148</v>
      </c>
      <c r="DI40" s="19">
        <v>99.8538969868579</v>
      </c>
      <c r="DJ40" s="19">
        <v>82.38352378643933</v>
      </c>
      <c r="DK40" s="19">
        <v>70.61998082136692</v>
      </c>
      <c r="DL40" s="19">
        <v>150.00000000001336</v>
      </c>
      <c r="DM40" s="19">
        <v>150.00000000279994</v>
      </c>
      <c r="DN40" s="19">
        <v>149.99999989359475</v>
      </c>
      <c r="DO40" s="19">
        <v>150</v>
      </c>
      <c r="DP40" s="19">
        <v>150.00000000019216</v>
      </c>
      <c r="DQ40" s="19">
        <v>150.0000000330183</v>
      </c>
      <c r="DR40" s="19">
        <v>150.00000005227412</v>
      </c>
      <c r="DS40" s="19">
        <v>149.99999989405637</v>
      </c>
      <c r="DT40" s="19">
        <v>150.00000000415122</v>
      </c>
      <c r="DU40" s="19">
        <v>150.00000001817887</v>
      </c>
      <c r="DV40" s="19">
        <v>150</v>
      </c>
      <c r="DW40" s="19">
        <v>150.00000000000068</v>
      </c>
      <c r="DX40" s="19">
        <v>150.0000000001411</v>
      </c>
      <c r="DY40" s="19">
        <v>149.99999993661672</v>
      </c>
      <c r="DZ40" s="19">
        <v>149.9999999999061</v>
      </c>
      <c r="EA40" s="19">
        <v>150.00000015237393</v>
      </c>
      <c r="EB40" s="19">
        <v>149.99999996148736</v>
      </c>
      <c r="EC40" s="19">
        <v>149.99999996047376</v>
      </c>
    </row>
    <row r="41" spans="1:133" ht="12.75">
      <c r="A41" t="s">
        <v>568</v>
      </c>
      <c r="B41" s="183">
        <f>Bt*2*PI()*R0/mu0</f>
        <v>12455724.35265772</v>
      </c>
      <c r="C41" s="2" t="s">
        <v>39</v>
      </c>
      <c r="J41" s="166">
        <f>Sigmax</f>
        <v>67.22317780182519</v>
      </c>
      <c r="K41" s="19" t="str">
        <f>A44</f>
        <v>Sigmax[MPa]</v>
      </c>
      <c r="L41" s="19">
        <v>93.27580869091716</v>
      </c>
      <c r="M41" s="19">
        <v>67.22317780184427</v>
      </c>
      <c r="N41" s="19">
        <v>70.19144487803032</v>
      </c>
      <c r="O41" s="19">
        <v>60.49813852082323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6" t="str">
        <f t="shared" si="0"/>
        <v>Sigmax[MPa]</v>
      </c>
      <c r="AE41" s="19">
        <v>28.896760400500128</v>
      </c>
      <c r="AF41" s="19">
        <v>67.22317780184427</v>
      </c>
      <c r="AG41" s="19">
        <v>70.19144487803032</v>
      </c>
      <c r="AH41" s="19">
        <v>60.49813852082323</v>
      </c>
      <c r="AI41" s="19">
        <v>33.93083839338115</v>
      </c>
      <c r="AJ41" s="19">
        <v>28.896760400500128</v>
      </c>
      <c r="AK41" s="19">
        <v>67.22317780184427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X41" s="16" t="str">
        <f t="shared" si="1"/>
        <v>Sigmax[MPa]</v>
      </c>
      <c r="AY41" s="19">
        <v>58.09287017412554</v>
      </c>
      <c r="AZ41" s="19">
        <v>71.70309637279026</v>
      </c>
      <c r="BA41" s="19">
        <v>86.312194650092</v>
      </c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>
        <v>100.00000000662246</v>
      </c>
      <c r="BR41" s="16" t="str">
        <f t="shared" si="2"/>
        <v>Sigmax[MPa]</v>
      </c>
      <c r="BS41" s="19">
        <v>51.239006432581995</v>
      </c>
      <c r="BT41" s="19">
        <v>63.96389980784428</v>
      </c>
      <c r="BU41" s="19">
        <v>77.69141589935894</v>
      </c>
      <c r="BV41" s="19">
        <v>76.65728069920154</v>
      </c>
      <c r="BW41" s="19">
        <v>94.56875995835796</v>
      </c>
      <c r="BX41" s="19">
        <v>100</v>
      </c>
      <c r="BY41" s="19">
        <v>100.00000000027148</v>
      </c>
      <c r="BZ41" s="19">
        <v>99.9999999951944</v>
      </c>
      <c r="CA41" s="19">
        <v>100</v>
      </c>
      <c r="CB41" s="19">
        <v>100</v>
      </c>
      <c r="CC41" s="19">
        <v>100</v>
      </c>
      <c r="CD41" s="19">
        <v>100.00000089430989</v>
      </c>
      <c r="CE41" s="19">
        <v>100</v>
      </c>
      <c r="CF41" s="19">
        <v>100.00000000018095</v>
      </c>
      <c r="CG41" s="19">
        <v>100</v>
      </c>
      <c r="CH41" s="19">
        <v>100</v>
      </c>
      <c r="CI41" s="19">
        <v>99.99999999999994</v>
      </c>
      <c r="CJ41" s="19">
        <v>100</v>
      </c>
      <c r="CL41" s="16" t="str">
        <f t="shared" si="3"/>
        <v>Sigmax[MPa]</v>
      </c>
      <c r="CM41" s="19">
        <v>93.53160251460598</v>
      </c>
      <c r="CN41" s="19">
        <v>83.54737413053553</v>
      </c>
      <c r="CO41" s="19">
        <v>80.78895711639014</v>
      </c>
      <c r="CP41" s="19">
        <v>83.71116735924058</v>
      </c>
      <c r="CQ41" s="19">
        <v>89.38313354495926</v>
      </c>
      <c r="CR41" s="19">
        <v>89.55169652402213</v>
      </c>
      <c r="CS41" s="19">
        <v>96.72743480122698</v>
      </c>
      <c r="CT41" s="19">
        <v>86.97229274798556</v>
      </c>
      <c r="CU41" s="19">
        <v>79.02162466417346</v>
      </c>
      <c r="CV41" s="19">
        <v>72.2786630766315</v>
      </c>
      <c r="CW41" s="19">
        <v>85.82219194963362</v>
      </c>
      <c r="CX41" s="19">
        <v>78.82459027950632</v>
      </c>
      <c r="CY41" s="19">
        <v>72.72057484729889</v>
      </c>
      <c r="CZ41" s="19">
        <v>67.35932046115626</v>
      </c>
      <c r="DA41" s="19">
        <v>62.6210438247792</v>
      </c>
      <c r="DB41" s="19"/>
      <c r="DC41" s="19"/>
      <c r="DE41" s="16" t="s">
        <v>75</v>
      </c>
      <c r="DF41" s="19">
        <v>50.875994657136374</v>
      </c>
      <c r="DG41" s="19">
        <v>61.07668904202608</v>
      </c>
      <c r="DH41" s="19">
        <v>59.73145745226726</v>
      </c>
      <c r="DI41" s="19">
        <v>49.748074703278455</v>
      </c>
      <c r="DJ41" s="19">
        <v>42.071699337279036</v>
      </c>
      <c r="DK41" s="19">
        <v>36.04328992328658</v>
      </c>
      <c r="DL41" s="19">
        <v>49.170883860883436</v>
      </c>
      <c r="DM41" s="19">
        <v>56.2307033827494</v>
      </c>
      <c r="DN41" s="19">
        <v>62.71365633264672</v>
      </c>
      <c r="DO41" s="19">
        <v>68.94783817696145</v>
      </c>
      <c r="DP41" s="19">
        <v>75.21513807761438</v>
      </c>
      <c r="DQ41" s="19">
        <v>80.54198281622057</v>
      </c>
      <c r="DR41" s="19">
        <v>52.00870068069914</v>
      </c>
      <c r="DS41" s="19">
        <v>58.71521003970087</v>
      </c>
      <c r="DT41" s="19">
        <v>64.06619272650738</v>
      </c>
      <c r="DU41" s="19">
        <v>68.50464716792737</v>
      </c>
      <c r="DV41" s="19">
        <v>71.94738528350578</v>
      </c>
      <c r="DW41" s="19">
        <v>73.49151709396678</v>
      </c>
      <c r="DX41" s="19">
        <v>54.84041806349533</v>
      </c>
      <c r="DY41" s="19">
        <v>63.26608092702602</v>
      </c>
      <c r="DZ41" s="19">
        <v>72.15651937997194</v>
      </c>
      <c r="EA41" s="19">
        <v>80.54650913703357</v>
      </c>
      <c r="EB41" s="19">
        <v>88.77706692245214</v>
      </c>
      <c r="EC41" s="19">
        <v>97.0423459259901</v>
      </c>
    </row>
    <row r="42" spans="1:133" ht="12.75">
      <c r="A42" t="s">
        <v>569</v>
      </c>
      <c r="B42" s="179">
        <f>TF_Heating!L47</f>
        <v>89.72889862134097</v>
      </c>
      <c r="C42" s="2" t="s">
        <v>376</v>
      </c>
      <c r="J42" s="167">
        <f>Javgtf</f>
        <v>42906328.28049522</v>
      </c>
      <c r="K42" s="100" t="str">
        <f>A35</f>
        <v>Javgtf[A/m^2]</v>
      </c>
      <c r="L42" s="100">
        <v>50541292.428648524</v>
      </c>
      <c r="M42" s="100">
        <v>42906328.28050132</v>
      </c>
      <c r="N42" s="100">
        <v>23871915.483590033</v>
      </c>
      <c r="O42" s="100">
        <v>17428090.735748347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6" t="str">
        <f t="shared" si="0"/>
        <v>Javgtf[A/m^2]</v>
      </c>
      <c r="AE42" s="100">
        <v>28131080.296817716</v>
      </c>
      <c r="AF42" s="100">
        <v>42906328.28050132</v>
      </c>
      <c r="AG42" s="100">
        <v>23871915.483590033</v>
      </c>
      <c r="AH42" s="100">
        <v>17428090.735748347</v>
      </c>
      <c r="AI42" s="100">
        <v>9424291.1645087</v>
      </c>
      <c r="AJ42" s="100">
        <v>28131080.296817716</v>
      </c>
      <c r="AK42" s="100">
        <v>42906328.28050132</v>
      </c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X42" s="16" t="str">
        <f t="shared" si="1"/>
        <v>Javgtf[A/m^2]</v>
      </c>
      <c r="AY42" s="100">
        <v>49830614.435281165</v>
      </c>
      <c r="AZ42" s="100">
        <v>49224682.04147642</v>
      </c>
      <c r="BA42" s="100">
        <v>48618092.05922534</v>
      </c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>
        <v>30682299.830776032</v>
      </c>
      <c r="BR42" s="16" t="str">
        <f t="shared" si="2"/>
        <v>Javgtf[A/m^2]</v>
      </c>
      <c r="BS42" s="100">
        <v>46798849.35067128</v>
      </c>
      <c r="BT42" s="100">
        <v>46492342.828402236</v>
      </c>
      <c r="BU42" s="100">
        <v>46126271.40882024</v>
      </c>
      <c r="BV42" s="100">
        <v>48359011.54809624</v>
      </c>
      <c r="BW42" s="100">
        <v>47921879.76456137</v>
      </c>
      <c r="BX42" s="100">
        <v>44483226.0647501</v>
      </c>
      <c r="BY42" s="100">
        <v>48582025.47330163</v>
      </c>
      <c r="BZ42" s="100">
        <v>43441822.80020932</v>
      </c>
      <c r="CA42" s="100">
        <v>39285260.77193479</v>
      </c>
      <c r="CB42" s="100">
        <v>43885017.65708751</v>
      </c>
      <c r="CC42" s="100">
        <v>39304043.3101048</v>
      </c>
      <c r="CD42" s="100">
        <v>35589050.61154669</v>
      </c>
      <c r="CE42" s="100">
        <v>40391341.865785986</v>
      </c>
      <c r="CF42" s="100">
        <v>36217800.90895616</v>
      </c>
      <c r="CG42" s="100">
        <v>32825971.605513543</v>
      </c>
      <c r="CH42" s="100">
        <v>37691123.36956863</v>
      </c>
      <c r="CI42" s="100">
        <v>33827481.32338458</v>
      </c>
      <c r="CJ42" s="100">
        <v>30682299.82976008</v>
      </c>
      <c r="CL42" s="16" t="str">
        <f t="shared" si="3"/>
        <v>Javgtf[A/m^2]</v>
      </c>
      <c r="CM42" s="100">
        <v>32922484.467019904</v>
      </c>
      <c r="CN42" s="100">
        <v>25706804.46954001</v>
      </c>
      <c r="CO42" s="100">
        <v>21917466.396676537</v>
      </c>
      <c r="CP42" s="100">
        <v>19952253.61626751</v>
      </c>
      <c r="CQ42" s="100">
        <v>18836015.207051232</v>
      </c>
      <c r="CR42" s="100">
        <v>17493768.0058233</v>
      </c>
      <c r="CS42" s="100">
        <v>30342482.945420343</v>
      </c>
      <c r="CT42" s="100">
        <v>26952662.220001034</v>
      </c>
      <c r="CU42" s="100">
        <v>24163435.74004602</v>
      </c>
      <c r="CV42" s="100">
        <v>21812414.37077113</v>
      </c>
      <c r="CW42" s="100">
        <v>22505144.95534669</v>
      </c>
      <c r="CX42" s="100">
        <v>20479746.261414655</v>
      </c>
      <c r="CY42" s="100">
        <v>18725845.06603286</v>
      </c>
      <c r="CZ42" s="100">
        <v>17196263.621738244</v>
      </c>
      <c r="DA42" s="100">
        <v>15853724.363035096</v>
      </c>
      <c r="DB42" s="100"/>
      <c r="DC42" s="100"/>
      <c r="DE42" s="16" t="s">
        <v>730</v>
      </c>
      <c r="DF42" s="100">
        <v>46632777.336367376</v>
      </c>
      <c r="DG42" s="100">
        <v>45430938.39066934</v>
      </c>
      <c r="DH42" s="100">
        <v>40444864.77631988</v>
      </c>
      <c r="DI42" s="100">
        <v>33561665.66136385</v>
      </c>
      <c r="DJ42" s="100">
        <v>28296563.6590978</v>
      </c>
      <c r="DK42" s="100">
        <v>24179626.853289317</v>
      </c>
      <c r="DL42" s="100">
        <v>45844668.07629923</v>
      </c>
      <c r="DM42" s="100">
        <v>43591390.48642583</v>
      </c>
      <c r="DN42" s="100">
        <v>41442208.63232038</v>
      </c>
      <c r="DO42" s="100">
        <v>39510788.29963234</v>
      </c>
      <c r="DP42" s="100">
        <v>37834787.52599196</v>
      </c>
      <c r="DQ42" s="100">
        <v>36145025.90500237</v>
      </c>
      <c r="DR42" s="100">
        <v>47149037.042453624</v>
      </c>
      <c r="DS42" s="100">
        <v>44544006.1760865</v>
      </c>
      <c r="DT42" s="100">
        <v>41886713.84433154</v>
      </c>
      <c r="DU42" s="100">
        <v>39383597.53529297</v>
      </c>
      <c r="DV42" s="100">
        <v>37003787.52070119</v>
      </c>
      <c r="DW42" s="100">
        <v>34526772.89447521</v>
      </c>
      <c r="DX42" s="100">
        <v>48415587.22154939</v>
      </c>
      <c r="DY42" s="100">
        <v>46238041.52573237</v>
      </c>
      <c r="DZ42" s="100">
        <v>44452851.00173001</v>
      </c>
      <c r="EA42" s="100">
        <v>42705000.299805395</v>
      </c>
      <c r="EB42" s="100">
        <v>41104471.34764007</v>
      </c>
      <c r="EC42" s="100">
        <v>39675099.55474696</v>
      </c>
    </row>
    <row r="43" spans="1:133" ht="12.75">
      <c r="A43" t="s">
        <v>570</v>
      </c>
      <c r="B43" s="179">
        <f>TF_Heating!R47</f>
        <v>150.00000014392407</v>
      </c>
      <c r="C43" s="2"/>
      <c r="D43" s="2"/>
      <c r="E43" s="2"/>
      <c r="J43" s="170">
        <f>Itf</f>
        <v>12455724.35265772</v>
      </c>
      <c r="K43" s="20" t="str">
        <f>A41</f>
        <v>Itf[Amp]</v>
      </c>
      <c r="L43" s="20">
        <v>14672157.514920471</v>
      </c>
      <c r="M43" s="20">
        <v>12455724.35265949</v>
      </c>
      <c r="N43" s="20">
        <v>23375893.250076655</v>
      </c>
      <c r="O43" s="20">
        <v>27597103.40019678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16" t="str">
        <f t="shared" si="0"/>
        <v>Itf[Amp]</v>
      </c>
      <c r="AE43" s="20">
        <v>8166463.921801652</v>
      </c>
      <c r="AF43" s="20">
        <v>12455724.35265949</v>
      </c>
      <c r="AG43" s="20">
        <v>23375893.250076655</v>
      </c>
      <c r="AH43" s="20">
        <v>27597103.40019678</v>
      </c>
      <c r="AI43" s="20">
        <v>28623134.850565027</v>
      </c>
      <c r="AJ43" s="20">
        <v>8166463.921801652</v>
      </c>
      <c r="AK43" s="20">
        <v>12455724.35265949</v>
      </c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X43" s="16" t="str">
        <f t="shared" si="1"/>
        <v>Itf[Amp]</v>
      </c>
      <c r="AY43" s="20">
        <v>9268253.266896512</v>
      </c>
      <c r="AZ43" s="20">
        <v>11580472.828297216</v>
      </c>
      <c r="BA43" s="20">
        <v>14113851.674349293</v>
      </c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>
        <v>25910953.30078578</v>
      </c>
      <c r="BR43" s="16" t="str">
        <f t="shared" si="2"/>
        <v>Itf[Amp]</v>
      </c>
      <c r="BS43" s="20">
        <v>8704359.625039198</v>
      </c>
      <c r="BT43" s="20">
        <v>10937669.691691168</v>
      </c>
      <c r="BU43" s="20">
        <v>13390475.137564264</v>
      </c>
      <c r="BV43" s="20">
        <v>12602226.90973512</v>
      </c>
      <c r="BW43" s="20">
        <v>15688634.680996917</v>
      </c>
      <c r="BX43" s="20">
        <v>17872076.923244674</v>
      </c>
      <c r="BY43" s="20">
        <v>16364234.102638489</v>
      </c>
      <c r="BZ43" s="20">
        <v>18300512.886886973</v>
      </c>
      <c r="CA43" s="20">
        <v>20236791.67203711</v>
      </c>
      <c r="CB43" s="20">
        <v>18115695.981607992</v>
      </c>
      <c r="CC43" s="20">
        <v>20227120.954217583</v>
      </c>
      <c r="CD43" s="20">
        <v>22338546.026715085</v>
      </c>
      <c r="CE43" s="20">
        <v>19682625.070119727</v>
      </c>
      <c r="CF43" s="20">
        <v>21950742.951600354</v>
      </c>
      <c r="CG43" s="20">
        <v>24218860.833041254</v>
      </c>
      <c r="CH43" s="20">
        <v>21092702.125858523</v>
      </c>
      <c r="CI43" s="20">
        <v>23501827.712893162</v>
      </c>
      <c r="CJ43" s="20">
        <v>25910953.29992782</v>
      </c>
      <c r="CL43" s="16" t="str">
        <f t="shared" si="3"/>
        <v>Itf[Amp]</v>
      </c>
      <c r="CM43" s="20">
        <v>22585883.0521005</v>
      </c>
      <c r="CN43" s="20">
        <v>25837828.52095354</v>
      </c>
      <c r="CO43" s="20">
        <v>29304408.097646676</v>
      </c>
      <c r="CP43" s="20">
        <v>33355138.080333035</v>
      </c>
      <c r="CQ43" s="20">
        <v>37725746.71318889</v>
      </c>
      <c r="CR43" s="20">
        <v>40696940.025066525</v>
      </c>
      <c r="CS43" s="20">
        <v>25343690.432882775</v>
      </c>
      <c r="CT43" s="20">
        <v>25653731.889882296</v>
      </c>
      <c r="CU43" s="20">
        <v>25999115.296717443</v>
      </c>
      <c r="CV43" s="20">
        <v>26343754.632240195</v>
      </c>
      <c r="CW43" s="20">
        <v>30317200.02125581</v>
      </c>
      <c r="CX43" s="20">
        <v>30599085.816962495</v>
      </c>
      <c r="CY43" s="20">
        <v>30873593.28306959</v>
      </c>
      <c r="CZ43" s="20">
        <v>31141168.475099824</v>
      </c>
      <c r="DA43" s="20">
        <v>31402216.287908338</v>
      </c>
      <c r="DB43" s="20"/>
      <c r="DC43" s="20"/>
      <c r="DE43" s="16" t="s">
        <v>568</v>
      </c>
      <c r="DF43" s="20">
        <v>8673471.033626959</v>
      </c>
      <c r="DG43" s="20">
        <v>10687966.397708625</v>
      </c>
      <c r="DH43" s="20">
        <v>11741160.507629933</v>
      </c>
      <c r="DI43" s="20">
        <v>11784307.657766197</v>
      </c>
      <c r="DJ43" s="20">
        <v>11820277.0911381</v>
      </c>
      <c r="DK43" s="20">
        <v>11850758.062712962</v>
      </c>
      <c r="DL43" s="20">
        <v>8526886.523139238</v>
      </c>
      <c r="DM43" s="20">
        <v>10255199.061527696</v>
      </c>
      <c r="DN43" s="20">
        <v>12030689.830063386</v>
      </c>
      <c r="DO43" s="20">
        <v>13873187.636802634</v>
      </c>
      <c r="DP43" s="20">
        <v>15804663.690948663</v>
      </c>
      <c r="DQ43" s="20">
        <v>17715159.947243147</v>
      </c>
      <c r="DR43" s="20">
        <v>8769492.841941511</v>
      </c>
      <c r="DS43" s="20">
        <v>10479308.992814394</v>
      </c>
      <c r="DT43" s="20">
        <v>12159729.871847797</v>
      </c>
      <c r="DU43" s="20">
        <v>13828527.901695175</v>
      </c>
      <c r="DV43" s="20">
        <v>15457531.42274775</v>
      </c>
      <c r="DW43" s="20">
        <v>16922032.53347557</v>
      </c>
      <c r="DX43" s="20">
        <v>9005065.049270775</v>
      </c>
      <c r="DY43" s="20">
        <v>10877843.417480037</v>
      </c>
      <c r="DZ43" s="20">
        <v>12904680.520496007</v>
      </c>
      <c r="EA43" s="20">
        <v>14994752.260977438</v>
      </c>
      <c r="EB43" s="20">
        <v>17170503.346883904</v>
      </c>
      <c r="EC43" s="20">
        <v>19445296.190474305</v>
      </c>
    </row>
    <row r="44" spans="1:133" ht="12.75">
      <c r="A44" t="s">
        <v>75</v>
      </c>
      <c r="B44" s="179">
        <f>TF_Stress!B8</f>
        <v>67.22317780182519</v>
      </c>
      <c r="C44" s="2" t="s">
        <v>606</v>
      </c>
      <c r="D44" s="2"/>
      <c r="E44" s="2"/>
      <c r="J44" s="163">
        <f>B52</f>
        <v>12.104563980668031</v>
      </c>
      <c r="K44" s="16" t="str">
        <f>A52</f>
        <v>Ip[MA]</v>
      </c>
      <c r="L44" s="17">
        <v>9.316452549343822</v>
      </c>
      <c r="M44" s="17">
        <v>12.104563980669754</v>
      </c>
      <c r="N44" s="17">
        <v>21.6652793591615</v>
      </c>
      <c r="O44" s="17">
        <v>24.46085732861024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 t="str">
        <f t="shared" si="0"/>
        <v>Ip[MA]</v>
      </c>
      <c r="AE44" s="17">
        <v>7.936229338294003</v>
      </c>
      <c r="AF44" s="17">
        <v>12.104563980669754</v>
      </c>
      <c r="AG44" s="17">
        <v>21.6652793591615</v>
      </c>
      <c r="AH44" s="17">
        <v>24.46085732861024</v>
      </c>
      <c r="AI44" s="17">
        <v>20.978412490421892</v>
      </c>
      <c r="AJ44" s="17">
        <v>7.936229338294003</v>
      </c>
      <c r="AK44" s="17">
        <v>12.104563980669754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X44" s="16" t="str">
        <f t="shared" si="1"/>
        <v>Ip[MA]</v>
      </c>
      <c r="AY44" s="17">
        <v>7.958032891871745</v>
      </c>
      <c r="AZ44" s="17">
        <v>8.609319444359034</v>
      </c>
      <c r="BA44" s="17">
        <v>9.241647952730537</v>
      </c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>
        <v>6.270635316834528</v>
      </c>
      <c r="BR44" s="16" t="str">
        <f t="shared" si="2"/>
        <v>Ip[MA]</v>
      </c>
      <c r="BS44" s="17">
        <v>8.458960314865111</v>
      </c>
      <c r="BT44" s="17">
        <v>10.524602576313473</v>
      </c>
      <c r="BU44" s="17">
        <v>11.359125635762789</v>
      </c>
      <c r="BV44" s="17">
        <v>8.70825469634791</v>
      </c>
      <c r="BW44" s="17">
        <v>9.565712859402716</v>
      </c>
      <c r="BX44" s="17">
        <v>10.356173368961809</v>
      </c>
      <c r="BY44" s="17">
        <v>7.969725509238787</v>
      </c>
      <c r="BZ44" s="17">
        <v>8.736554362091521</v>
      </c>
      <c r="CA44" s="17">
        <v>9.50899751726719</v>
      </c>
      <c r="CB44" s="17">
        <v>7.342379429194827</v>
      </c>
      <c r="CC44" s="17">
        <v>8.062365403672098</v>
      </c>
      <c r="CD44" s="17">
        <v>8.749097667601973</v>
      </c>
      <c r="CE44" s="17">
        <v>6.79251525102467</v>
      </c>
      <c r="CF44" s="17">
        <v>7.475238393843616</v>
      </c>
      <c r="CG44" s="17">
        <v>8.122796854474254</v>
      </c>
      <c r="CH44" s="17">
        <v>6.306506572937951</v>
      </c>
      <c r="CI44" s="17">
        <v>6.956356601906275</v>
      </c>
      <c r="CJ44" s="17">
        <v>7.572556711537864</v>
      </c>
      <c r="CL44" s="16" t="str">
        <f t="shared" si="3"/>
        <v>Ip[MA]</v>
      </c>
      <c r="CM44" s="17">
        <v>21.54891907352154</v>
      </c>
      <c r="CN44" s="17">
        <v>20.22119694517301</v>
      </c>
      <c r="CO44" s="17">
        <v>19.06296420560271</v>
      </c>
      <c r="CP44" s="17">
        <v>18.165189211916562</v>
      </c>
      <c r="CQ44" s="17">
        <v>17.342012254141803</v>
      </c>
      <c r="CR44" s="17">
        <v>15.941650577252098</v>
      </c>
      <c r="CS44" s="17">
        <v>20.034904658172454</v>
      </c>
      <c r="CT44" s="17">
        <v>20.258029016091715</v>
      </c>
      <c r="CU44" s="17">
        <v>20.491089751162175</v>
      </c>
      <c r="CV44" s="17">
        <v>20.723002266946033</v>
      </c>
      <c r="CW44" s="17">
        <v>22.756089672523764</v>
      </c>
      <c r="CX44" s="17">
        <v>22.968311286606312</v>
      </c>
      <c r="CY44" s="17">
        <v>23.174990779100042</v>
      </c>
      <c r="CZ44" s="17">
        <v>23.376462748573168</v>
      </c>
      <c r="DA44" s="17">
        <v>23.573030879939473</v>
      </c>
      <c r="DB44" s="17"/>
      <c r="DC44" s="17"/>
      <c r="DE44" s="16" t="s">
        <v>21</v>
      </c>
      <c r="DF44" s="17">
        <v>8.428942555926637</v>
      </c>
      <c r="DG44" s="17">
        <v>10.386643877253858</v>
      </c>
      <c r="DH44" s="17">
        <v>11.410145612412682</v>
      </c>
      <c r="DI44" s="17">
        <v>11.452076328332584</v>
      </c>
      <c r="DJ44" s="17">
        <v>11.487031686629804</v>
      </c>
      <c r="DK44" s="17">
        <v>11.516653317630503</v>
      </c>
      <c r="DL44" s="17">
        <v>8.286490657061766</v>
      </c>
      <c r="DM44" s="17">
        <v>9.966077416305518</v>
      </c>
      <c r="DN44" s="17">
        <v>11.69151232449213</v>
      </c>
      <c r="DO44" s="17">
        <v>13.482065162244751</v>
      </c>
      <c r="DP44" s="17">
        <v>15.359087711282637</v>
      </c>
      <c r="DQ44" s="17">
        <v>17.215721939400318</v>
      </c>
      <c r="DR44" s="17">
        <v>8.522257251192427</v>
      </c>
      <c r="DS44" s="17">
        <v>10.183869085834887</v>
      </c>
      <c r="DT44" s="17">
        <v>11.816914380416254</v>
      </c>
      <c r="DU44" s="17">
        <v>13.438664505192433</v>
      </c>
      <c r="DV44" s="17">
        <v>15.021742035413066</v>
      </c>
      <c r="DW44" s="17">
        <v>16.444954920722445</v>
      </c>
      <c r="DX44" s="17">
        <v>8.75118804437234</v>
      </c>
      <c r="DY44" s="17">
        <v>10.252871067940854</v>
      </c>
      <c r="DZ44" s="17">
        <v>11.542227977993742</v>
      </c>
      <c r="EA44" s="17">
        <v>12.837581905140942</v>
      </c>
      <c r="EB44" s="17">
        <v>14.121270376715106</v>
      </c>
      <c r="EC44" s="17">
        <v>15.407684828384667</v>
      </c>
    </row>
    <row r="45" spans="1:133" ht="12.75">
      <c r="A45" t="s">
        <v>76</v>
      </c>
      <c r="B45" s="182">
        <f>0.9*2*kappa*R0/A_100</f>
        <v>4.817027680409406</v>
      </c>
      <c r="C45" s="10" t="s">
        <v>39</v>
      </c>
      <c r="D45" s="10"/>
      <c r="E45" s="10"/>
      <c r="J45" s="168">
        <f>B80</f>
        <v>0.06086303019077091</v>
      </c>
      <c r="K45" s="22" t="str">
        <f>A80</f>
        <v>Beta_N_thermal</v>
      </c>
      <c r="L45" s="22">
        <v>0.03167435801677503</v>
      </c>
      <c r="M45" s="22">
        <v>0.06852306351289784</v>
      </c>
      <c r="N45" s="22">
        <v>0.07717162457589982</v>
      </c>
      <c r="O45" s="22">
        <v>0.07071543437465233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16" t="str">
        <f t="shared" si="0"/>
        <v>Beta_N_thermal</v>
      </c>
      <c r="AE45" s="22">
        <v>0.06676409979553839</v>
      </c>
      <c r="AF45" s="22">
        <v>0.06852306351289784</v>
      </c>
      <c r="AG45" s="22">
        <v>0.07717162457589982</v>
      </c>
      <c r="AH45" s="22">
        <v>0.07071543437465233</v>
      </c>
      <c r="AI45" s="22">
        <v>0.0718240281501214</v>
      </c>
      <c r="AJ45" s="22">
        <v>0.06676409979553839</v>
      </c>
      <c r="AK45" s="22">
        <v>0.06852306351289784</v>
      </c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X45" s="16" t="str">
        <f t="shared" si="1"/>
        <v>Beta_N_thermal</v>
      </c>
      <c r="AY45" s="22">
        <v>0.046796176584162685</v>
      </c>
      <c r="AZ45" s="22">
        <v>0.041002715263945264</v>
      </c>
      <c r="BA45" s="22">
        <v>0.03659995982114927</v>
      </c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>
        <v>0.0268810787147434</v>
      </c>
      <c r="BR45" s="16" t="str">
        <f t="shared" si="2"/>
        <v>Beta_N_thermal</v>
      </c>
      <c r="BS45" s="22">
        <v>0.061364782237978074</v>
      </c>
      <c r="BT45" s="22">
        <v>0.053016470549369484</v>
      </c>
      <c r="BU45" s="22">
        <v>0.04768968919011256</v>
      </c>
      <c r="BV45" s="22">
        <v>0.044700462791203266</v>
      </c>
      <c r="BW45" s="22">
        <v>0.04010461189552578</v>
      </c>
      <c r="BX45" s="22">
        <v>0.03863587405157977</v>
      </c>
      <c r="BY45" s="22">
        <v>0.036914304040222536</v>
      </c>
      <c r="BZ45" s="22">
        <v>0.03643258724321358</v>
      </c>
      <c r="CA45" s="22">
        <v>0.03622776078126505</v>
      </c>
      <c r="CB45" s="22">
        <v>0.035230457592400906</v>
      </c>
      <c r="CC45" s="22">
        <v>0.03483553031641791</v>
      </c>
      <c r="CD45" s="22">
        <v>0.03452670739211118</v>
      </c>
      <c r="CE45" s="22">
        <v>0.03408768496215828</v>
      </c>
      <c r="CF45" s="22">
        <v>0.03377269547641925</v>
      </c>
      <c r="CG45" s="22">
        <v>0.033510324479579856</v>
      </c>
      <c r="CH45" s="22">
        <v>0.033298027858362444</v>
      </c>
      <c r="CI45" s="22">
        <v>0.03304837104726718</v>
      </c>
      <c r="CJ45" s="22">
        <v>0.03283583675147549</v>
      </c>
      <c r="CL45" s="16" t="str">
        <f t="shared" si="3"/>
        <v>Beta_N_thermal</v>
      </c>
      <c r="CM45" s="22">
        <v>0.07535498638200092</v>
      </c>
      <c r="CN45" s="22">
        <v>0.0725917096154434</v>
      </c>
      <c r="CO45" s="22">
        <v>0.07002293594256481</v>
      </c>
      <c r="CP45" s="22">
        <v>0.0673342296582852</v>
      </c>
      <c r="CQ45" s="22">
        <v>0.0646972333659459</v>
      </c>
      <c r="CR45" s="22">
        <v>0.06151255543036442</v>
      </c>
      <c r="CS45" s="22">
        <v>0.07332525840245072</v>
      </c>
      <c r="CT45" s="22">
        <v>0.07324581479310605</v>
      </c>
      <c r="CU45" s="22">
        <v>0.07310425620946105</v>
      </c>
      <c r="CV45" s="22">
        <v>0.07296442714891838</v>
      </c>
      <c r="CW45" s="22">
        <v>0.06962171620578222</v>
      </c>
      <c r="CX45" s="22">
        <v>0.06962365060109099</v>
      </c>
      <c r="CY45" s="22">
        <v>0.06962553873642807</v>
      </c>
      <c r="CZ45" s="22">
        <v>0.06962738247171887</v>
      </c>
      <c r="DA45" s="22">
        <v>0.06962918338628046</v>
      </c>
      <c r="DB45" s="22"/>
      <c r="DC45" s="22"/>
      <c r="DE45" s="16" t="s">
        <v>557</v>
      </c>
      <c r="DF45" s="22">
        <v>0.0620569601002769</v>
      </c>
      <c r="DG45" s="22">
        <v>0.05937515637537627</v>
      </c>
      <c r="DH45" s="22">
        <v>0.05398206798893482</v>
      </c>
      <c r="DI45" s="22">
        <v>0.05380960319668725</v>
      </c>
      <c r="DJ45" s="22">
        <v>0.053668682254609724</v>
      </c>
      <c r="DK45" s="22">
        <v>0.05355159107179211</v>
      </c>
      <c r="DL45" s="22">
        <v>0.06973010717185354</v>
      </c>
      <c r="DM45" s="22">
        <v>0.06966736358232667</v>
      </c>
      <c r="DN45" s="22">
        <v>0.06945228979633328</v>
      </c>
      <c r="DO45" s="22">
        <v>0.06911998021545462</v>
      </c>
      <c r="DP45" s="22">
        <v>0.06870292876551422</v>
      </c>
      <c r="DQ45" s="22">
        <v>0.06825280650708665</v>
      </c>
      <c r="DR45" s="22">
        <v>0.07271477194612322</v>
      </c>
      <c r="DS45" s="22">
        <v>0.07271477194612316</v>
      </c>
      <c r="DT45" s="22">
        <v>0.07271477194612318</v>
      </c>
      <c r="DU45" s="22">
        <v>0.07271477194612325</v>
      </c>
      <c r="DV45" s="22">
        <v>0.07271477194612323</v>
      </c>
      <c r="DW45" s="22">
        <v>0.07271477194612319</v>
      </c>
      <c r="DX45" s="22">
        <v>0.07271477194612319</v>
      </c>
      <c r="DY45" s="22">
        <v>0.0705253381975787</v>
      </c>
      <c r="DZ45" s="22">
        <v>0.06692445999125063</v>
      </c>
      <c r="EA45" s="22">
        <v>0.06405992446314601</v>
      </c>
      <c r="EB45" s="22">
        <v>0.0615365616519172</v>
      </c>
      <c r="EC45" s="22">
        <v>0.05928779625291164</v>
      </c>
    </row>
    <row r="46" spans="1:133" ht="12.75">
      <c r="A46" t="s">
        <v>77</v>
      </c>
      <c r="B46" s="182">
        <f>R0/A_100*kappa+4-B45/2</f>
        <v>4.2676126489116335</v>
      </c>
      <c r="C46" s="10" t="s">
        <v>39</v>
      </c>
      <c r="D46" s="10"/>
      <c r="E46" s="10"/>
      <c r="J46" s="168">
        <f>Beta_n_total</f>
        <v>0.07595547666343773</v>
      </c>
      <c r="K46" s="22" t="str">
        <f>A83</f>
        <v>Beta_N_total</v>
      </c>
      <c r="L46" s="22">
        <v>0.04112566504857751</v>
      </c>
      <c r="M46" s="22">
        <v>0.0826063642486962</v>
      </c>
      <c r="N46" s="22">
        <v>0.08204469264711206</v>
      </c>
      <c r="O46" s="22">
        <v>0.07953661870978206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16" t="str">
        <f t="shared" si="0"/>
        <v>Beta_N_total</v>
      </c>
      <c r="AE46" s="22">
        <v>0.08260636499945852</v>
      </c>
      <c r="AF46" s="22">
        <v>0.0826063642486962</v>
      </c>
      <c r="AG46" s="22">
        <v>0.08204469264711206</v>
      </c>
      <c r="AH46" s="22">
        <v>0.07953661870978206</v>
      </c>
      <c r="AI46" s="22">
        <v>0.0800190699199866</v>
      </c>
      <c r="AJ46" s="22">
        <v>0.08260636499945852</v>
      </c>
      <c r="AK46" s="22">
        <v>0.0826063642486962</v>
      </c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X46" s="16" t="str">
        <f t="shared" si="1"/>
        <v>Beta_N_total</v>
      </c>
      <c r="AY46" s="22">
        <v>0.06138794160316166</v>
      </c>
      <c r="AZ46" s="22">
        <v>0.05359182366504189</v>
      </c>
      <c r="BA46" s="22">
        <v>0.047630305445882745</v>
      </c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>
        <v>0.0355575801960204</v>
      </c>
      <c r="BR46" s="16" t="str">
        <f t="shared" si="2"/>
        <v>Beta_N_total</v>
      </c>
      <c r="BS46" s="22">
        <v>0.081845560040198</v>
      </c>
      <c r="BT46" s="22">
        <v>0.0698359684976238</v>
      </c>
      <c r="BU46" s="22">
        <v>0.0620503488388386</v>
      </c>
      <c r="BV46" s="22">
        <v>0.05980413497780532</v>
      </c>
      <c r="BW46" s="22">
        <v>0.052890582128973136</v>
      </c>
      <c r="BX46" s="22">
        <v>0.05036695256174586</v>
      </c>
      <c r="BY46" s="22">
        <v>0.049587619910469574</v>
      </c>
      <c r="BZ46" s="22">
        <v>0.04831205585243102</v>
      </c>
      <c r="CA46" s="22">
        <v>0.04748219115255053</v>
      </c>
      <c r="CB46" s="22">
        <v>0.04766932005397182</v>
      </c>
      <c r="CC46" s="22">
        <v>0.046487212313464914</v>
      </c>
      <c r="CD46" s="22">
        <v>0.045522016394502575</v>
      </c>
      <c r="CE46" s="22">
        <v>0.046476789546198924</v>
      </c>
      <c r="CF46" s="22">
        <v>0.04536898871148768</v>
      </c>
      <c r="CG46" s="22">
        <v>0.044444629696652964</v>
      </c>
      <c r="CH46" s="22">
        <v>0.04576434639801334</v>
      </c>
      <c r="CI46" s="22">
        <v>0.04470396966603748</v>
      </c>
      <c r="CJ46" s="22">
        <v>0.04381763626918155</v>
      </c>
      <c r="CL46" s="16" t="str">
        <f t="shared" si="3"/>
        <v>Beta_N_total</v>
      </c>
      <c r="CM46" s="22">
        <v>0.08260636499921904</v>
      </c>
      <c r="CN46" s="22">
        <v>0.08001906991977557</v>
      </c>
      <c r="CO46" s="22">
        <v>0.07757906322547185</v>
      </c>
      <c r="CP46" s="22">
        <v>0.07529306149858611</v>
      </c>
      <c r="CQ46" s="22">
        <v>0.07286807892798387</v>
      </c>
      <c r="CR46" s="22">
        <v>0.06874648787011695</v>
      </c>
      <c r="CS46" s="22">
        <v>0.08001906991977767</v>
      </c>
      <c r="CT46" s="22">
        <v>0.08001906991977595</v>
      </c>
      <c r="CU46" s="22">
        <v>0.08001906991977593</v>
      </c>
      <c r="CV46" s="22">
        <v>0.08001906983688682</v>
      </c>
      <c r="CW46" s="22">
        <v>0.0800190699197759</v>
      </c>
      <c r="CX46" s="22">
        <v>0.08001906990210324</v>
      </c>
      <c r="CY46" s="22">
        <v>0.08001906990955386</v>
      </c>
      <c r="CZ46" s="22">
        <v>0.08001906981559173</v>
      </c>
      <c r="DA46" s="22">
        <v>0.08001906991100345</v>
      </c>
      <c r="DB46" s="22"/>
      <c r="DC46" s="22"/>
      <c r="DE46" s="16" t="s">
        <v>273</v>
      </c>
      <c r="DF46" s="22">
        <v>0.08260636499916402</v>
      </c>
      <c r="DG46" s="22">
        <v>0.07906715945588862</v>
      </c>
      <c r="DH46" s="22">
        <v>0.0704327469173744</v>
      </c>
      <c r="DI46" s="22">
        <v>0.06994542018949931</v>
      </c>
      <c r="DJ46" s="22">
        <v>0.0695147955982875</v>
      </c>
      <c r="DK46" s="22">
        <v>0.06912783318490712</v>
      </c>
      <c r="DL46" s="22">
        <v>0.08260636499917769</v>
      </c>
      <c r="DM46" s="22">
        <v>0.08260636499016978</v>
      </c>
      <c r="DN46" s="22">
        <v>0.08260636533539788</v>
      </c>
      <c r="DO46" s="22">
        <v>0.08260636499921892</v>
      </c>
      <c r="DP46" s="22">
        <v>0.08260636499871038</v>
      </c>
      <c r="DQ46" s="22">
        <v>0.08260636494832918</v>
      </c>
      <c r="DR46" s="22">
        <v>0.07980766787959247</v>
      </c>
      <c r="DS46" s="22">
        <v>0.079763703087191</v>
      </c>
      <c r="DT46" s="22">
        <v>0.07978138792270938</v>
      </c>
      <c r="DU46" s="22">
        <v>0.07986416031827</v>
      </c>
      <c r="DV46" s="22">
        <v>0.08001937163592972</v>
      </c>
      <c r="DW46" s="22">
        <v>0.08024176546303417</v>
      </c>
      <c r="DX46" s="22">
        <v>0.07677879473535558</v>
      </c>
      <c r="DY46" s="22">
        <v>0.0744540392163061</v>
      </c>
      <c r="DZ46" s="22">
        <v>0.07063282382642658</v>
      </c>
      <c r="EA46" s="22">
        <v>0.06758761951189873</v>
      </c>
      <c r="EB46" s="22">
        <v>0.06492976907227065</v>
      </c>
      <c r="EC46" s="22">
        <v>0.06256423501201804</v>
      </c>
    </row>
    <row r="47" spans="1:133" ht="12.75">
      <c r="A47" t="s">
        <v>95</v>
      </c>
      <c r="B47" s="182">
        <f>(B37+(1-delta)*R0/A_100)/B37</f>
        <v>2.1000853175629364</v>
      </c>
      <c r="C47" s="10"/>
      <c r="D47" s="10"/>
      <c r="E47" s="10"/>
      <c r="F47" s="6" t="s">
        <v>39</v>
      </c>
      <c r="G47" s="6"/>
      <c r="H47" s="6"/>
      <c r="I47" s="6"/>
      <c r="J47" s="165">
        <f>Beta_n_total/B77</f>
        <v>0.919486974934145</v>
      </c>
      <c r="K47" s="18" t="s">
        <v>355</v>
      </c>
      <c r="L47" s="18">
        <v>0.4978510439112812</v>
      </c>
      <c r="M47" s="18">
        <v>0.9999999909144676</v>
      </c>
      <c r="N47" s="18">
        <v>0.9932006165370881</v>
      </c>
      <c r="O47" s="18">
        <v>0.9628388649050714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6" t="str">
        <f t="shared" si="0"/>
        <v>Beta_N/Beta_N(A)</v>
      </c>
      <c r="AE47" s="18">
        <v>1.0000000000028992</v>
      </c>
      <c r="AF47" s="18">
        <v>0.9999999909144676</v>
      </c>
      <c r="AG47" s="18">
        <v>0.9932006165370881</v>
      </c>
      <c r="AH47" s="18">
        <v>0.9628388649050714</v>
      </c>
      <c r="AI47" s="18">
        <v>1.0000000000026328</v>
      </c>
      <c r="AJ47" s="18">
        <v>1.0000000000028992</v>
      </c>
      <c r="AK47" s="18">
        <v>0.9999999909144676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X47" s="16" t="str">
        <f t="shared" si="1"/>
        <v>Beta_N/Beta_N(A)</v>
      </c>
      <c r="AY47" s="18">
        <v>0.7431381541088515</v>
      </c>
      <c r="AZ47" s="18">
        <v>0.6487614321916788</v>
      </c>
      <c r="BA47" s="18">
        <v>0.5765936492464359</v>
      </c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>
        <v>0.49961324808399615</v>
      </c>
      <c r="BR47" s="16" t="str">
        <f t="shared" si="2"/>
        <v>Beta_N/Beta_N(A)</v>
      </c>
      <c r="BS47" s="18">
        <v>0.9907899959158327</v>
      </c>
      <c r="BT47" s="18">
        <v>0.8454066281488606</v>
      </c>
      <c r="BU47" s="18">
        <v>0.7511569942512933</v>
      </c>
      <c r="BV47" s="18">
        <v>0.7473735328061506</v>
      </c>
      <c r="BW47" s="18">
        <v>0.6609747174267236</v>
      </c>
      <c r="BX47" s="18">
        <v>0.6294368656401761</v>
      </c>
      <c r="BY47" s="18">
        <v>0.6391881758916145</v>
      </c>
      <c r="BZ47" s="18">
        <v>0.6227460585856692</v>
      </c>
      <c r="CA47" s="18">
        <v>0.6120490397589708</v>
      </c>
      <c r="CB47" s="18">
        <v>0.6331170376817128</v>
      </c>
      <c r="CC47" s="18">
        <v>0.617416949028403</v>
      </c>
      <c r="CD47" s="18">
        <v>0.6045977609152929</v>
      </c>
      <c r="CE47" s="18">
        <v>0.6352846588834898</v>
      </c>
      <c r="CF47" s="18">
        <v>0.6201422860504692</v>
      </c>
      <c r="CG47" s="18">
        <v>0.607507353492543</v>
      </c>
      <c r="CH47" s="18">
        <v>0.6430267083504059</v>
      </c>
      <c r="CI47" s="18">
        <v>0.6281275430997163</v>
      </c>
      <c r="CJ47" s="18">
        <v>0.6156738298591827</v>
      </c>
      <c r="CL47" s="16" t="str">
        <f t="shared" si="3"/>
        <v>Beta_N/Beta_N(A)</v>
      </c>
      <c r="CM47" s="18">
        <v>1</v>
      </c>
      <c r="CN47" s="18">
        <v>0.9999999999999954</v>
      </c>
      <c r="CO47" s="18">
        <v>1</v>
      </c>
      <c r="CP47" s="18">
        <v>1</v>
      </c>
      <c r="CQ47" s="18">
        <v>0.9960234585317954</v>
      </c>
      <c r="CR47" s="18">
        <v>0.9659446989871443</v>
      </c>
      <c r="CS47" s="18">
        <v>1.0000000000000218</v>
      </c>
      <c r="CT47" s="18">
        <v>1</v>
      </c>
      <c r="CU47" s="18">
        <v>1</v>
      </c>
      <c r="CV47" s="18">
        <v>0.999999998964133</v>
      </c>
      <c r="CW47" s="18">
        <v>1</v>
      </c>
      <c r="CX47" s="18">
        <v>0.9999999997791439</v>
      </c>
      <c r="CY47" s="18">
        <v>0.9999999998722545</v>
      </c>
      <c r="CZ47" s="18">
        <v>0.9999999986980078</v>
      </c>
      <c r="DA47" s="18">
        <v>0.9999999998903701</v>
      </c>
      <c r="DB47" s="18"/>
      <c r="DC47" s="18"/>
      <c r="DE47" s="16" t="s">
        <v>355</v>
      </c>
      <c r="DF47" s="18">
        <v>0.9999999999993342</v>
      </c>
      <c r="DG47" s="18">
        <v>0.9571557767568655</v>
      </c>
      <c r="DH47" s="18">
        <v>0.8526309917890745</v>
      </c>
      <c r="DI47" s="18">
        <v>0.8467316070639423</v>
      </c>
      <c r="DJ47" s="18">
        <v>0.8415186359906371</v>
      </c>
      <c r="DK47" s="18">
        <v>0.8368342219822973</v>
      </c>
      <c r="DL47" s="18">
        <v>0.9999999999994997</v>
      </c>
      <c r="DM47" s="18">
        <v>0.9999999998904535</v>
      </c>
      <c r="DN47" s="18">
        <v>1.0000000040696484</v>
      </c>
      <c r="DO47" s="18">
        <v>0.9999999999999988</v>
      </c>
      <c r="DP47" s="18">
        <v>0.9999999999938427</v>
      </c>
      <c r="DQ47" s="18">
        <v>0.9999999993839478</v>
      </c>
      <c r="DR47" s="18">
        <v>0.966120079007798</v>
      </c>
      <c r="DS47" s="18">
        <v>0.9655878586104728</v>
      </c>
      <c r="DT47" s="18">
        <v>0.9658019442383605</v>
      </c>
      <c r="DU47" s="18">
        <v>0.9668039541387041</v>
      </c>
      <c r="DV47" s="18">
        <v>0.9686828809945365</v>
      </c>
      <c r="DW47" s="18">
        <v>0.9713750927521482</v>
      </c>
      <c r="DX47" s="18">
        <v>0.9294537380513168</v>
      </c>
      <c r="DY47" s="18">
        <v>0.9013111667243803</v>
      </c>
      <c r="DZ47" s="18">
        <v>0.8550530437587268</v>
      </c>
      <c r="EA47" s="18">
        <v>0.8181890041104911</v>
      </c>
      <c r="EB47" s="18">
        <v>0.7860141173490023</v>
      </c>
      <c r="EC47" s="18">
        <v>0.7573778971222077</v>
      </c>
    </row>
    <row r="48" spans="1:133" ht="12.75">
      <c r="A48" t="s">
        <v>10</v>
      </c>
      <c r="B48" s="209">
        <f>IF(Mode="CTF",F48,IF(Mode="DEMO",G48,IF(Mode="NSTX",D48,IF(Mode="NSST",E48,IF(Mode="REACTOR",H48,IF(Mode="ARIES",I48,"Error"))))))</f>
        <v>0.9</v>
      </c>
      <c r="C48" s="159" t="s">
        <v>636</v>
      </c>
      <c r="D48" s="207"/>
      <c r="E48" s="207">
        <v>0.9</v>
      </c>
      <c r="F48" s="207">
        <v>0.9</v>
      </c>
      <c r="G48" s="207">
        <v>0.9</v>
      </c>
      <c r="H48" s="207">
        <v>0.9</v>
      </c>
      <c r="I48" s="207">
        <v>0.75</v>
      </c>
      <c r="J48" s="165">
        <f>B182</f>
        <v>0.0699269773621232</v>
      </c>
      <c r="K48" s="18" t="str">
        <f>A182</f>
        <v>Beta_T_alpha</v>
      </c>
      <c r="L48" s="18">
        <v>0.027018021902738828</v>
      </c>
      <c r="M48" s="18">
        <v>0.0760236409689023</v>
      </c>
      <c r="N48" s="18">
        <v>0.03139793825403963</v>
      </c>
      <c r="O48" s="18">
        <v>0.05518579392814587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6" t="str">
        <f t="shared" si="0"/>
        <v>Beta_T_alpha</v>
      </c>
      <c r="AE48" s="18">
        <v>0.06560692644466096</v>
      </c>
      <c r="AF48" s="18">
        <v>0.0760236409689023</v>
      </c>
      <c r="AG48" s="18">
        <v>0.03139793825403963</v>
      </c>
      <c r="AH48" s="18">
        <v>0.05518579392814587</v>
      </c>
      <c r="AI48" s="18">
        <v>0.046295670109632585</v>
      </c>
      <c r="AJ48" s="18">
        <v>0.06560692644466096</v>
      </c>
      <c r="AK48" s="18">
        <v>0.0760236409689023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X48" s="16" t="str">
        <f t="shared" si="1"/>
        <v>Beta_T_alpha</v>
      </c>
      <c r="AY48" s="18">
        <v>0.06363263325574542</v>
      </c>
      <c r="AZ48" s="18">
        <v>0.04890622154118659</v>
      </c>
      <c r="BA48" s="18">
        <v>0.038669034686788464</v>
      </c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>
        <v>0.01425157597709961</v>
      </c>
      <c r="BR48" s="16" t="str">
        <f t="shared" si="2"/>
        <v>Beta_T_alpha</v>
      </c>
      <c r="BS48" s="18">
        <v>0.09183908836184089</v>
      </c>
      <c r="BT48" s="18">
        <v>0.08493178240036212</v>
      </c>
      <c r="BU48" s="18">
        <v>0.06507622602857754</v>
      </c>
      <c r="BV48" s="18">
        <v>0.057992206543994985</v>
      </c>
      <c r="BW48" s="18">
        <v>0.04391247511999295</v>
      </c>
      <c r="BX48" s="18">
        <v>0.03877371750401623</v>
      </c>
      <c r="BY48" s="18">
        <v>0.03659608538853847</v>
      </c>
      <c r="BZ48" s="18">
        <v>0.033821803845526424</v>
      </c>
      <c r="CA48" s="18">
        <v>0.031831523198716995</v>
      </c>
      <c r="CB48" s="18">
        <v>0.03157707409220751</v>
      </c>
      <c r="CC48" s="18">
        <v>0.029186464737782677</v>
      </c>
      <c r="CD48" s="18">
        <v>0.027265421576125746</v>
      </c>
      <c r="CE48" s="18">
        <v>0.028223975022970485</v>
      </c>
      <c r="CF48" s="18">
        <v>0.02608802388148443</v>
      </c>
      <c r="CG48" s="18">
        <v>0.024359700318439752</v>
      </c>
      <c r="CH48" s="18">
        <v>0.02588523762140293</v>
      </c>
      <c r="CI48" s="18">
        <v>0.02391098292515196</v>
      </c>
      <c r="CJ48" s="18">
        <v>0.022319501856558285</v>
      </c>
      <c r="CL48" s="16" t="str">
        <f t="shared" si="3"/>
        <v>Beta_T_alpha</v>
      </c>
      <c r="CM48" s="18">
        <v>0.04868172831093968</v>
      </c>
      <c r="CN48" s="18">
        <v>0.0437546652428437</v>
      </c>
      <c r="CO48" s="18">
        <v>0.039403355434158835</v>
      </c>
      <c r="CP48" s="18">
        <v>0.036929313230600704</v>
      </c>
      <c r="CQ48" s="18">
        <v>0.0338641282423487</v>
      </c>
      <c r="CR48" s="18">
        <v>0.026411018224583013</v>
      </c>
      <c r="CS48" s="18">
        <v>0.0396212678128005</v>
      </c>
      <c r="CT48" s="18">
        <v>0.040085934869488256</v>
      </c>
      <c r="CU48" s="18">
        <v>0.04090228286370104</v>
      </c>
      <c r="CV48" s="18">
        <v>0.04170736688468646</v>
      </c>
      <c r="CW48" s="18">
        <v>0.059804558257392594</v>
      </c>
      <c r="CX48" s="18">
        <v>0.05981830501988381</v>
      </c>
      <c r="CY48" s="18">
        <v>0.05983170972455116</v>
      </c>
      <c r="CZ48" s="18">
        <v>0.05984478421242948</v>
      </c>
      <c r="DA48" s="18">
        <v>0.05985754337157841</v>
      </c>
      <c r="DB48" s="18"/>
      <c r="DC48" s="18"/>
      <c r="DE48" s="16" t="s">
        <v>101</v>
      </c>
      <c r="DF48" s="18">
        <v>0.09049756938390546</v>
      </c>
      <c r="DG48" s="18">
        <v>0.09718402260476744</v>
      </c>
      <c r="DH48" s="18">
        <v>0.08474469462267284</v>
      </c>
      <c r="DI48" s="18">
        <v>0.08370302954367498</v>
      </c>
      <c r="DJ48" s="18">
        <v>0.0827863324039424</v>
      </c>
      <c r="DK48" s="18">
        <v>0.08195174648307514</v>
      </c>
      <c r="DL48" s="18">
        <v>0.030178028686437146</v>
      </c>
      <c r="DM48" s="18">
        <v>0.0395740999998521</v>
      </c>
      <c r="DN48" s="18">
        <v>0.05016178863910702</v>
      </c>
      <c r="DO48" s="18">
        <v>0.06109602492955213</v>
      </c>
      <c r="DP48" s="18">
        <v>0.0717242546525413</v>
      </c>
      <c r="DQ48" s="18">
        <v>0.08094974026960844</v>
      </c>
      <c r="DR48" s="18">
        <v>0.009838234357818925</v>
      </c>
      <c r="DS48" s="18">
        <v>0.01423951889898071</v>
      </c>
      <c r="DT48" s="18">
        <v>0.019822845904657143</v>
      </c>
      <c r="DU48" s="18">
        <v>0.026258451364215136</v>
      </c>
      <c r="DV48" s="18">
        <v>0.033046940568093056</v>
      </c>
      <c r="DW48" s="18">
        <v>0.039347379746906115</v>
      </c>
      <c r="DX48" s="18">
        <v>0.0036512066302863636</v>
      </c>
      <c r="DY48" s="18">
        <v>0.0051184790533996055</v>
      </c>
      <c r="DZ48" s="18">
        <v>0.006343570532955427</v>
      </c>
      <c r="EA48" s="18">
        <v>0.007746156895216841</v>
      </c>
      <c r="EB48" s="18">
        <v>0.009184407481225714</v>
      </c>
      <c r="EC48" s="18">
        <v>0.010600465784838805</v>
      </c>
    </row>
    <row r="49" spans="1:133" ht="12.75">
      <c r="A49" t="s">
        <v>78</v>
      </c>
      <c r="B49" s="179">
        <f>TF_Heating!N47/1000000</f>
        <v>106.51710702677809</v>
      </c>
      <c r="C49" s="7"/>
      <c r="D49" s="7"/>
      <c r="E49" s="7"/>
      <c r="J49" s="165">
        <f>B188</f>
        <v>0.040075146228277875</v>
      </c>
      <c r="K49" s="16" t="str">
        <f>A188</f>
        <v>Beta_T_nbi</v>
      </c>
      <c r="L49" s="18">
        <v>0.017992052485532546</v>
      </c>
      <c r="M49" s="18">
        <v>0.0266232685898459</v>
      </c>
      <c r="N49" s="18">
        <v>0.00247554199211433</v>
      </c>
      <c r="O49" s="18">
        <v>0.003454526496598791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6" t="str">
        <f t="shared" si="0"/>
        <v>Beta_T_nbi</v>
      </c>
      <c r="AE49" s="18">
        <v>0.049860292078831484</v>
      </c>
      <c r="AF49" s="18">
        <v>0.0266232685898459</v>
      </c>
      <c r="AG49" s="18">
        <v>0.00247554199211433</v>
      </c>
      <c r="AH49" s="18">
        <v>0.003454526496598791</v>
      </c>
      <c r="AI49" s="18">
        <v>0.001754682871484158</v>
      </c>
      <c r="AJ49" s="18">
        <v>0.049860292078831484</v>
      </c>
      <c r="AK49" s="18">
        <v>0.0266232685898459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X49" s="16" t="str">
        <f t="shared" si="1"/>
        <v>Beta_T_nbi</v>
      </c>
      <c r="AY49" s="18">
        <v>0.030334705541315395</v>
      </c>
      <c r="AZ49" s="18">
        <v>0.02128758057188408</v>
      </c>
      <c r="BA49" s="18">
        <v>0.015500394084023043</v>
      </c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>
        <v>0.006746175816699761</v>
      </c>
      <c r="BR49" s="16" t="str">
        <f t="shared" si="2"/>
        <v>Beta_T_nbi</v>
      </c>
      <c r="BS49" s="18">
        <v>0.05743618355033763</v>
      </c>
      <c r="BT49" s="18">
        <v>0.036450470237717546</v>
      </c>
      <c r="BU49" s="18">
        <v>0.02628976480808932</v>
      </c>
      <c r="BV49" s="18">
        <v>0.025502004562122</v>
      </c>
      <c r="BW49" s="18">
        <v>0.0184546702021803</v>
      </c>
      <c r="BX49" s="18">
        <v>0.01560791184010181</v>
      </c>
      <c r="BY49" s="18">
        <v>0.01586736687119413</v>
      </c>
      <c r="BZ49" s="18">
        <v>0.014383282180134217</v>
      </c>
      <c r="CA49" s="18">
        <v>0.013119079329688444</v>
      </c>
      <c r="CB49" s="18">
        <v>0.013796707383166833</v>
      </c>
      <c r="CC49" s="18">
        <v>0.012611923790266294</v>
      </c>
      <c r="CD49" s="18">
        <v>0.011492306437642645</v>
      </c>
      <c r="CE49" s="18">
        <v>0.012393332097978337</v>
      </c>
      <c r="CF49" s="18">
        <v>0.011428156676857888</v>
      </c>
      <c r="CG49" s="18">
        <v>0.01047937968768301</v>
      </c>
      <c r="CH49" s="18">
        <v>0.011387805605365073</v>
      </c>
      <c r="CI49" s="18">
        <v>0.010588674459525162</v>
      </c>
      <c r="CJ49" s="18">
        <v>0.009775148880510481</v>
      </c>
      <c r="CL49" s="16" t="str">
        <f t="shared" si="3"/>
        <v>Beta_T_nbi</v>
      </c>
      <c r="CM49" s="18">
        <v>0.0032066693997374984</v>
      </c>
      <c r="CN49" s="18">
        <v>0.002747730382194994</v>
      </c>
      <c r="CO49" s="18">
        <v>0.0023773404700222424</v>
      </c>
      <c r="CP49" s="18">
        <v>0.002080064378039023</v>
      </c>
      <c r="CQ49" s="18">
        <v>0.0018181233758342644</v>
      </c>
      <c r="CR49" s="18">
        <v>0.001925466823912958</v>
      </c>
      <c r="CS49" s="18">
        <v>0.002711912007110265</v>
      </c>
      <c r="CT49" s="18">
        <v>0.0027032544705895708</v>
      </c>
      <c r="CU49" s="18">
        <v>0.0026967601755883827</v>
      </c>
      <c r="CV49" s="18">
        <v>0.0026882413970119377</v>
      </c>
      <c r="CW49" s="18">
        <v>0.0026294695041955423</v>
      </c>
      <c r="CX49" s="18">
        <v>0.002605841345452651</v>
      </c>
      <c r="CY49" s="18">
        <v>0.0025827910796858656</v>
      </c>
      <c r="CZ49" s="18">
        <v>0.002560296645882018</v>
      </c>
      <c r="DA49" s="18">
        <v>0.0025383368786115906</v>
      </c>
      <c r="DB49" s="18"/>
      <c r="DC49" s="18"/>
      <c r="DE49" s="16" t="s">
        <v>102</v>
      </c>
      <c r="DF49" s="18">
        <v>0.05927789488495347</v>
      </c>
      <c r="DG49" s="18">
        <v>0.04634222150205164</v>
      </c>
      <c r="DH49" s="18">
        <v>0.0351569806895115</v>
      </c>
      <c r="DI49" s="18">
        <v>0.03390375728773594</v>
      </c>
      <c r="DJ49" s="18">
        <v>0.03270893349715584</v>
      </c>
      <c r="DK49" s="18">
        <v>0.03157654815782191</v>
      </c>
      <c r="DL49" s="18">
        <v>0.06367128245529056</v>
      </c>
      <c r="DM49" s="18">
        <v>0.054732521168533776</v>
      </c>
      <c r="DN49" s="18">
        <v>0.04571241212656757</v>
      </c>
      <c r="DO49" s="18">
        <v>0.0372002299856528</v>
      </c>
      <c r="DP49" s="18">
        <v>0.029611702617549994</v>
      </c>
      <c r="DQ49" s="18">
        <v>0.023666957392703112</v>
      </c>
      <c r="DR49" s="18">
        <v>0.041858726535855886</v>
      </c>
      <c r="DS49" s="18">
        <v>0.037137002194816346</v>
      </c>
      <c r="DT49" s="18">
        <v>0.031682572082423054</v>
      </c>
      <c r="DU49" s="18">
        <v>0.025850257766074643</v>
      </c>
      <c r="DV49" s="18">
        <v>0.02019303476073892</v>
      </c>
      <c r="DW49" s="18">
        <v>0.015513525183975216</v>
      </c>
      <c r="DX49" s="18">
        <v>0.025969646287428462</v>
      </c>
      <c r="DY49" s="18">
        <v>0.02265389052178543</v>
      </c>
      <c r="DZ49" s="18">
        <v>0.018532741249598576</v>
      </c>
      <c r="EA49" s="18">
        <v>0.014905304764429363</v>
      </c>
      <c r="EB49" s="18">
        <v>0.011745264086519698</v>
      </c>
      <c r="EC49" s="18">
        <v>0.00887043938882923</v>
      </c>
    </row>
    <row r="50" spans="1:133" ht="12.75">
      <c r="A50" t="s">
        <v>79</v>
      </c>
      <c r="B50" s="179">
        <f>TF_outer!B15</f>
        <v>8.62274266133797</v>
      </c>
      <c r="C50" s="10" t="s">
        <v>635</v>
      </c>
      <c r="D50" s="10"/>
      <c r="E50" s="10"/>
      <c r="J50" s="165">
        <f>B84</f>
        <v>0.44360353248604123</v>
      </c>
      <c r="K50" s="16" t="s">
        <v>100</v>
      </c>
      <c r="L50" s="18">
        <v>0.15084318028592208</v>
      </c>
      <c r="M50" s="18">
        <v>0.4994341053314196</v>
      </c>
      <c r="N50" s="18">
        <v>0.5364323794444903</v>
      </c>
      <c r="O50" s="18">
        <v>0.4700928552405803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6" t="str">
        <f t="shared" si="0"/>
        <v>Beta_T_thermal</v>
      </c>
      <c r="AE50" s="18">
        <v>0.4866138018386475</v>
      </c>
      <c r="AF50" s="18">
        <v>0.4994341053314196</v>
      </c>
      <c r="AG50" s="18">
        <v>0.5364323794444903</v>
      </c>
      <c r="AH50" s="18">
        <v>0.4700928552405803</v>
      </c>
      <c r="AI50" s="18">
        <v>0.42112901947975895</v>
      </c>
      <c r="AJ50" s="18">
        <v>0.4866138018386475</v>
      </c>
      <c r="AK50" s="18">
        <v>0.4994341053314196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X50" s="16" t="str">
        <f t="shared" si="1"/>
        <v>Beta_T_thermal</v>
      </c>
      <c r="AY50" s="18">
        <v>0.30135574234958207</v>
      </c>
      <c r="AZ50" s="18">
        <v>0.22862115327287538</v>
      </c>
      <c r="BA50" s="18">
        <v>0.17974041648347835</v>
      </c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>
        <v>0.06505412579249527</v>
      </c>
      <c r="BR50" s="16" t="str">
        <f t="shared" si="2"/>
        <v>Beta_T_thermal</v>
      </c>
      <c r="BS50" s="18">
        <v>0.4472605797916971</v>
      </c>
      <c r="BT50" s="18">
        <v>0.3826070577136809</v>
      </c>
      <c r="BU50" s="18">
        <v>0.3034133397858119</v>
      </c>
      <c r="BV50" s="18">
        <v>0.24710744716378227</v>
      </c>
      <c r="BW50" s="18">
        <v>0.19562145949898999</v>
      </c>
      <c r="BX50" s="18">
        <v>0.17910388889122633</v>
      </c>
      <c r="BY50" s="18">
        <v>0.15281334794646123</v>
      </c>
      <c r="BZ50" s="18">
        <v>0.14783792608650936</v>
      </c>
      <c r="CA50" s="18">
        <v>0.14469498869775302</v>
      </c>
      <c r="CB50" s="18">
        <v>0.1285116777369014</v>
      </c>
      <c r="CC50" s="18">
        <v>0.12496642382750316</v>
      </c>
      <c r="CD50" s="18">
        <v>0.12170433173122905</v>
      </c>
      <c r="CE50" s="18">
        <v>0.11175545090915415</v>
      </c>
      <c r="CF50" s="18">
        <v>0.10926099536735102</v>
      </c>
      <c r="CG50" s="18">
        <v>0.10677119875456748</v>
      </c>
      <c r="CH50" s="18">
        <v>0.09955776661596717</v>
      </c>
      <c r="CI50" s="18">
        <v>0.09782058524358239</v>
      </c>
      <c r="CJ50" s="18">
        <v>0.09596375443741008</v>
      </c>
      <c r="CL50" s="16" t="str">
        <f t="shared" si="3"/>
        <v>Beta_T_thermal</v>
      </c>
      <c r="CM50" s="18">
        <v>0.5392146389360587</v>
      </c>
      <c r="CN50" s="18">
        <v>0.45449369107168847</v>
      </c>
      <c r="CO50" s="18">
        <v>0.3871833921527978</v>
      </c>
      <c r="CP50" s="18">
        <v>0.33003164829119</v>
      </c>
      <c r="CQ50" s="18">
        <v>0.28253415664708614</v>
      </c>
      <c r="CR50" s="18">
        <v>0.2409546428259056</v>
      </c>
      <c r="CS50" s="18">
        <v>0.46372553832109187</v>
      </c>
      <c r="CT50" s="18">
        <v>0.46272124391265873</v>
      </c>
      <c r="CU50" s="18">
        <v>0.4609344150627007</v>
      </c>
      <c r="CV50" s="18">
        <v>0.459172812781357</v>
      </c>
      <c r="CW50" s="18">
        <v>0.418064469284233</v>
      </c>
      <c r="CX50" s="18">
        <v>0.41808770091537734</v>
      </c>
      <c r="CY50" s="18">
        <v>0.41811037760646813</v>
      </c>
      <c r="CZ50" s="18">
        <v>0.4181325216315474</v>
      </c>
      <c r="DA50" s="18">
        <v>0.4181541519390859</v>
      </c>
      <c r="DB50" s="18"/>
      <c r="DC50" s="18"/>
      <c r="DE50" s="16" t="s">
        <v>100</v>
      </c>
      <c r="DF50" s="18">
        <v>0.45230555609113465</v>
      </c>
      <c r="DG50" s="18">
        <v>0.43275908260680035</v>
      </c>
      <c r="DH50" s="18">
        <v>0.3934512622150767</v>
      </c>
      <c r="DI50" s="18">
        <v>0.39219424312104395</v>
      </c>
      <c r="DJ50" s="18">
        <v>0.39116713310843176</v>
      </c>
      <c r="DK50" s="18">
        <v>0.3903137076027012</v>
      </c>
      <c r="DL50" s="18">
        <v>0.5082317092183654</v>
      </c>
      <c r="DM50" s="18">
        <v>0.5077743991260526</v>
      </c>
      <c r="DN50" s="18">
        <v>0.5062068220449778</v>
      </c>
      <c r="DO50" s="18">
        <v>0.5037847654451886</v>
      </c>
      <c r="DP50" s="18">
        <v>0.5007450630865958</v>
      </c>
      <c r="DQ50" s="18">
        <v>0.4974643223271692</v>
      </c>
      <c r="DR50" s="18">
        <v>0.5299856020660049</v>
      </c>
      <c r="DS50" s="18">
        <v>0.5299856020660045</v>
      </c>
      <c r="DT50" s="18">
        <v>0.5299856020660046</v>
      </c>
      <c r="DU50" s="18">
        <v>0.5299856020660051</v>
      </c>
      <c r="DV50" s="18">
        <v>0.529985602066005</v>
      </c>
      <c r="DW50" s="18">
        <v>0.5299856020660045</v>
      </c>
      <c r="DX50" s="18">
        <v>0.5299856020660048</v>
      </c>
      <c r="DY50" s="18">
        <v>0.49855047444473777</v>
      </c>
      <c r="DZ50" s="18">
        <v>0.4489402352675091</v>
      </c>
      <c r="EA50" s="18">
        <v>0.41133116747430615</v>
      </c>
      <c r="EB50" s="18">
        <v>0.3795641896388358</v>
      </c>
      <c r="EC50" s="18">
        <v>0.35232981406648856</v>
      </c>
    </row>
    <row r="51" spans="1:133" ht="12.75">
      <c r="A51" t="s">
        <v>20</v>
      </c>
      <c r="B51" s="179">
        <f>(B49+B50)/B48</f>
        <v>127.93316632012895</v>
      </c>
      <c r="C51" s="10" t="s">
        <v>39</v>
      </c>
      <c r="D51" s="10"/>
      <c r="E51" s="10"/>
      <c r="J51" s="165">
        <f>J48+J49+J50</f>
        <v>0.5536056560764423</v>
      </c>
      <c r="K51" s="17" t="s">
        <v>103</v>
      </c>
      <c r="L51" s="18">
        <v>0.19585325467419346</v>
      </c>
      <c r="M51" s="18">
        <v>0.6020810148901677</v>
      </c>
      <c r="N51" s="18">
        <v>0.5703058596906443</v>
      </c>
      <c r="O51" s="18">
        <v>0.528733175665325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6" t="str">
        <f t="shared" si="0"/>
        <v>Beta_T_total</v>
      </c>
      <c r="AE51" s="18">
        <v>0.60208102036214</v>
      </c>
      <c r="AF51" s="18">
        <v>0.6020810148901677</v>
      </c>
      <c r="AG51" s="18">
        <v>0.5703058596906443</v>
      </c>
      <c r="AH51" s="18">
        <v>0.528733175665325</v>
      </c>
      <c r="AI51" s="18">
        <v>0.4691793724608757</v>
      </c>
      <c r="AJ51" s="18">
        <v>0.60208102036214</v>
      </c>
      <c r="AK51" s="18">
        <v>0.6020810148901677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X51" s="16" t="str">
        <f t="shared" si="1"/>
        <v>Beta_T_total</v>
      </c>
      <c r="AY51" s="18">
        <v>0.3953230811466429</v>
      </c>
      <c r="AZ51" s="18">
        <v>0.29881495538594605</v>
      </c>
      <c r="BA51" s="18">
        <v>0.23390984525428987</v>
      </c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>
        <v>0.08605187758629464</v>
      </c>
      <c r="BR51" s="16" t="str">
        <f t="shared" si="2"/>
        <v>Beta_T_total</v>
      </c>
      <c r="BS51" s="18">
        <v>0.5965358517038756</v>
      </c>
      <c r="BT51" s="18">
        <v>0.5039893103517605</v>
      </c>
      <c r="BU51" s="18">
        <v>0.3947793306224788</v>
      </c>
      <c r="BV51" s="18">
        <v>0.3306016582698993</v>
      </c>
      <c r="BW51" s="18">
        <v>0.25798860482116326</v>
      </c>
      <c r="BX51" s="18">
        <v>0.23348551823534436</v>
      </c>
      <c r="BY51" s="18">
        <v>0.20527680020619382</v>
      </c>
      <c r="BZ51" s="18">
        <v>0.19604301211217</v>
      </c>
      <c r="CA51" s="18">
        <v>0.18964559122615846</v>
      </c>
      <c r="CB51" s="18">
        <v>0.17388545921227572</v>
      </c>
      <c r="CC51" s="18">
        <v>0.16676481235555213</v>
      </c>
      <c r="CD51" s="18">
        <v>0.16046205974499744</v>
      </c>
      <c r="CE51" s="18">
        <v>0.15237275803010297</v>
      </c>
      <c r="CF51" s="18">
        <v>0.14677717592569334</v>
      </c>
      <c r="CG51" s="18">
        <v>0.14161027876069024</v>
      </c>
      <c r="CH51" s="18">
        <v>0.13683080984273518</v>
      </c>
      <c r="CI51" s="18">
        <v>0.1323202426282595</v>
      </c>
      <c r="CJ51" s="18">
        <v>0.12805840517447886</v>
      </c>
      <c r="CL51" s="16" t="str">
        <f t="shared" si="3"/>
        <v>Beta_T_total</v>
      </c>
      <c r="CM51" s="18">
        <v>0.5911030366467359</v>
      </c>
      <c r="CN51" s="18">
        <v>0.5009960866967271</v>
      </c>
      <c r="CO51" s="18">
        <v>0.4289640880569789</v>
      </c>
      <c r="CP51" s="18">
        <v>0.36904102589982973</v>
      </c>
      <c r="CQ51" s="18">
        <v>0.3182164082652691</v>
      </c>
      <c r="CR51" s="18">
        <v>0.26929112787440157</v>
      </c>
      <c r="CS51" s="18">
        <v>0.5060587181410027</v>
      </c>
      <c r="CT51" s="18">
        <v>0.5055104332527366</v>
      </c>
      <c r="CU51" s="18">
        <v>0.5045334581019901</v>
      </c>
      <c r="CV51" s="18">
        <v>0.5035684210630554</v>
      </c>
      <c r="CW51" s="18">
        <v>0.48049849704582115</v>
      </c>
      <c r="CX51" s="18">
        <v>0.4805118472807138</v>
      </c>
      <c r="CY51" s="18">
        <v>0.4805248784107051</v>
      </c>
      <c r="CZ51" s="18">
        <v>0.4805376024898589</v>
      </c>
      <c r="DA51" s="18">
        <v>0.4805500321892759</v>
      </c>
      <c r="DB51" s="18"/>
      <c r="DC51" s="18"/>
      <c r="DE51" s="16" t="s">
        <v>103</v>
      </c>
      <c r="DF51" s="18">
        <v>0.6020810203599936</v>
      </c>
      <c r="DG51" s="18">
        <v>0.5762853267136194</v>
      </c>
      <c r="DH51" s="18">
        <v>0.5133529375272611</v>
      </c>
      <c r="DI51" s="18">
        <v>0.5098010299524549</v>
      </c>
      <c r="DJ51" s="18">
        <v>0.50666239900953</v>
      </c>
      <c r="DK51" s="18">
        <v>0.5038420022435982</v>
      </c>
      <c r="DL51" s="18">
        <v>0.602081020360093</v>
      </c>
      <c r="DM51" s="18">
        <v>0.6020810202944384</v>
      </c>
      <c r="DN51" s="18">
        <v>0.6020810228106523</v>
      </c>
      <c r="DO51" s="18">
        <v>0.6020810203603935</v>
      </c>
      <c r="DP51" s="18">
        <v>0.6020810203566871</v>
      </c>
      <c r="DQ51" s="18">
        <v>0.6020810199894807</v>
      </c>
      <c r="DR51" s="18">
        <v>0.5816825629596797</v>
      </c>
      <c r="DS51" s="18">
        <v>0.5813621231598016</v>
      </c>
      <c r="DT51" s="18">
        <v>0.5814910200530848</v>
      </c>
      <c r="DU51" s="18">
        <v>0.5820943111962948</v>
      </c>
      <c r="DV51" s="18">
        <v>0.5832255773948369</v>
      </c>
      <c r="DW51" s="18">
        <v>0.5848465069968859</v>
      </c>
      <c r="DX51" s="18">
        <v>0.5596064549837196</v>
      </c>
      <c r="DY51" s="18">
        <v>0.5263228440199228</v>
      </c>
      <c r="DZ51" s="18">
        <v>0.4738165470500631</v>
      </c>
      <c r="EA51" s="18">
        <v>0.43398262913395236</v>
      </c>
      <c r="EB51" s="18">
        <v>0.4004938612065812</v>
      </c>
      <c r="EC51" s="18">
        <v>0.37180071924015656</v>
      </c>
    </row>
    <row r="52" spans="1:133" ht="12.75">
      <c r="A52" t="s">
        <v>21</v>
      </c>
      <c r="B52" s="181">
        <f>PI()*R0*e^2*Bt*s/qcyl/mu0/1000000</f>
        <v>12.104563980668031</v>
      </c>
      <c r="C52" s="10" t="s">
        <v>39</v>
      </c>
      <c r="D52" s="10"/>
      <c r="E52" s="10"/>
      <c r="J52" s="165">
        <f>B85</f>
        <v>1.1739405812892596</v>
      </c>
      <c r="K52" s="16" t="str">
        <f>A85</f>
        <v>Beta_P</v>
      </c>
      <c r="L52" s="18">
        <v>0.9350265273889128</v>
      </c>
      <c r="M52" s="18">
        <v>1.321689123264358</v>
      </c>
      <c r="N52" s="18">
        <v>1.5607533345348672</v>
      </c>
      <c r="O52" s="18">
        <v>1.4954735846067517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6" t="str">
        <f t="shared" si="0"/>
        <v>Beta_P</v>
      </c>
      <c r="AE52" s="18">
        <v>1.287761813330046</v>
      </c>
      <c r="AF52" s="18">
        <v>1.321689123264358</v>
      </c>
      <c r="AG52" s="18">
        <v>1.5607533345348672</v>
      </c>
      <c r="AH52" s="18">
        <v>1.4954735846067517</v>
      </c>
      <c r="AI52" s="18">
        <v>1.615432463568794</v>
      </c>
      <c r="AJ52" s="18">
        <v>1.287761813330046</v>
      </c>
      <c r="AK52" s="18">
        <v>1.321689123264358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X52" s="16" t="str">
        <f t="shared" si="1"/>
        <v>Beta_P</v>
      </c>
      <c r="AY52" s="18">
        <v>1.0215867249247665</v>
      </c>
      <c r="AZ52" s="18">
        <v>1.0338149148919094</v>
      </c>
      <c r="BA52" s="18">
        <v>1.0477301549006102</v>
      </c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>
        <v>1.1946654850964475</v>
      </c>
      <c r="BR52" s="16" t="str">
        <f t="shared" si="2"/>
        <v>Beta_P</v>
      </c>
      <c r="BS52" s="18">
        <v>1.183618493941903</v>
      </c>
      <c r="BT52" s="18">
        <v>1.0327676301769089</v>
      </c>
      <c r="BU52" s="18">
        <v>1.0537759511633211</v>
      </c>
      <c r="BV52" s="18">
        <v>1.0663570969054008</v>
      </c>
      <c r="BW52" s="18">
        <v>1.0842678980352953</v>
      </c>
      <c r="BX52" s="18">
        <v>1.0991094104537784</v>
      </c>
      <c r="BY52" s="18">
        <v>1.1097861123663153</v>
      </c>
      <c r="BZ52" s="18">
        <v>1.1173915229827818</v>
      </c>
      <c r="CA52" s="18">
        <v>1.1288615976341632</v>
      </c>
      <c r="CB52" s="18">
        <v>1.1401570619997539</v>
      </c>
      <c r="CC52" s="18">
        <v>1.1463631517006587</v>
      </c>
      <c r="CD52" s="18">
        <v>1.1563119109514122</v>
      </c>
      <c r="CE52" s="18">
        <v>1.1693736350841517</v>
      </c>
      <c r="CF52" s="18">
        <v>1.174068114729519</v>
      </c>
      <c r="CG52" s="18">
        <v>1.1828512841233008</v>
      </c>
      <c r="CH52" s="18">
        <v>1.1978147474648468</v>
      </c>
      <c r="CI52" s="18">
        <v>1.2008745358544113</v>
      </c>
      <c r="CJ52" s="18">
        <v>1.208416708666706</v>
      </c>
      <c r="CL52" s="16" t="str">
        <f t="shared" si="3"/>
        <v>Beta_P</v>
      </c>
      <c r="CM52" s="18">
        <v>1.4804586683360033</v>
      </c>
      <c r="CN52" s="18">
        <v>1.529011137923671</v>
      </c>
      <c r="CO52" s="18">
        <v>1.5760686061012836</v>
      </c>
      <c r="CP52" s="18">
        <v>1.6217612162033772</v>
      </c>
      <c r="CQ52" s="18">
        <v>1.6662012584393484</v>
      </c>
      <c r="CR52" s="18">
        <v>1.6889625369626022</v>
      </c>
      <c r="CS52" s="18">
        <v>1.529011137923667</v>
      </c>
      <c r="CT52" s="18">
        <v>1.5290111379236673</v>
      </c>
      <c r="CU52" s="18">
        <v>1.5290111379236682</v>
      </c>
      <c r="CV52" s="18">
        <v>1.5290111311682306</v>
      </c>
      <c r="CW52" s="18">
        <v>1.5290111379236673</v>
      </c>
      <c r="CX52" s="18">
        <v>1.529011137941266</v>
      </c>
      <c r="CY52" s="18">
        <v>1.529011137926293</v>
      </c>
      <c r="CZ52" s="18">
        <v>1.529011137950187</v>
      </c>
      <c r="DA52" s="18">
        <v>1.5290111379331042</v>
      </c>
      <c r="DB52" s="18"/>
      <c r="DC52" s="18"/>
      <c r="DE52" s="16" t="s">
        <v>454</v>
      </c>
      <c r="DF52" s="18">
        <v>1.1969693849421648</v>
      </c>
      <c r="DG52" s="18">
        <v>1.145242117767897</v>
      </c>
      <c r="DH52" s="18">
        <v>1.0412189481117222</v>
      </c>
      <c r="DI52" s="18">
        <v>1.0378924062384631</v>
      </c>
      <c r="DJ52" s="18">
        <v>1.0351742896389475</v>
      </c>
      <c r="DK52" s="18">
        <v>1.032915807095606</v>
      </c>
      <c r="DL52" s="18">
        <v>1.3449708680311645</v>
      </c>
      <c r="DM52" s="18">
        <v>1.3437606547747676</v>
      </c>
      <c r="DN52" s="18">
        <v>1.339612260510503</v>
      </c>
      <c r="DO52" s="18">
        <v>1.33320259439099</v>
      </c>
      <c r="DP52" s="18">
        <v>1.3251584069748201</v>
      </c>
      <c r="DQ52" s="18">
        <v>1.316476341950232</v>
      </c>
      <c r="DR52" s="18">
        <v>1.4025397910551618</v>
      </c>
      <c r="DS52" s="18">
        <v>1.402539791055161</v>
      </c>
      <c r="DT52" s="18">
        <v>1.4025397910551614</v>
      </c>
      <c r="DU52" s="18">
        <v>1.4025397910551625</v>
      </c>
      <c r="DV52" s="18">
        <v>1.4025397910551622</v>
      </c>
      <c r="DW52" s="18">
        <v>1.402539791055161</v>
      </c>
      <c r="DX52" s="18">
        <v>1.4025397910551616</v>
      </c>
      <c r="DY52" s="18">
        <v>1.4025397899900964</v>
      </c>
      <c r="DZ52" s="18">
        <v>1.4025397910539334</v>
      </c>
      <c r="EA52" s="18">
        <v>1.4025398068696602</v>
      </c>
      <c r="EB52" s="18">
        <v>1.4025397903685801</v>
      </c>
      <c r="EC52" s="18">
        <v>1.4025397896754341</v>
      </c>
    </row>
    <row r="53" spans="1:133" ht="12.75">
      <c r="A53" t="s">
        <v>189</v>
      </c>
      <c r="B53" s="184">
        <v>4</v>
      </c>
      <c r="C53" s="8" t="s">
        <v>39</v>
      </c>
      <c r="D53" s="8"/>
      <c r="E53" s="8"/>
      <c r="J53" s="167">
        <f>xne</f>
        <v>1.716180338103451E+20</v>
      </c>
      <c r="K53" s="100" t="str">
        <f>A97</f>
        <v>xne[1/m^3]</v>
      </c>
      <c r="L53" s="100">
        <v>7.499999999692141E+19</v>
      </c>
      <c r="M53" s="100">
        <v>2.049477499335019E+20</v>
      </c>
      <c r="N53" s="100">
        <v>2.1240126948024464E+20</v>
      </c>
      <c r="O53" s="100">
        <v>1.595341464086714E+20</v>
      </c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6" t="str">
        <f t="shared" si="0"/>
        <v>xne[1/m^3]</v>
      </c>
      <c r="AE53" s="100">
        <v>7.49999999996037E+19</v>
      </c>
      <c r="AF53" s="100">
        <v>2.049477499335019E+20</v>
      </c>
      <c r="AG53" s="100">
        <v>2.1240126948024464E+20</v>
      </c>
      <c r="AH53" s="100">
        <v>1.595341464086714E+20</v>
      </c>
      <c r="AI53" s="100">
        <v>1.2309148070225702E+20</v>
      </c>
      <c r="AJ53" s="100">
        <v>7.49999999996037E+19</v>
      </c>
      <c r="AK53" s="100">
        <v>2.049477499335019E+20</v>
      </c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X53" s="16" t="str">
        <f t="shared" si="1"/>
        <v>xne[1/m^3]</v>
      </c>
      <c r="AY53" s="100">
        <v>8.616652403804476E+19</v>
      </c>
      <c r="AZ53" s="100">
        <v>8.444639359350417E+19</v>
      </c>
      <c r="BA53" s="100">
        <v>8.296358822695012E+19</v>
      </c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>
        <v>1.0109284266620785E+20</v>
      </c>
      <c r="BR53" s="16" t="str">
        <f t="shared" si="2"/>
        <v>xne[1/m^3]</v>
      </c>
      <c r="BS53" s="100">
        <v>1.3040871427065029E+20</v>
      </c>
      <c r="BT53" s="100">
        <v>1.2652428263455531E+20</v>
      </c>
      <c r="BU53" s="100">
        <v>1.2652432070218124E+20</v>
      </c>
      <c r="BV53" s="100">
        <v>1.3112785349229848E+20</v>
      </c>
      <c r="BW53" s="100">
        <v>1.3312798029927562E+20</v>
      </c>
      <c r="BX53" s="100">
        <v>1.3306063956964796E+20</v>
      </c>
      <c r="BY53" s="100">
        <v>1.3675216739914198E+20</v>
      </c>
      <c r="BZ53" s="100">
        <v>1.368722599567884E+20</v>
      </c>
      <c r="CA53" s="100">
        <v>1.3779356092351611E+20</v>
      </c>
      <c r="CB53" s="100">
        <v>1.409285518101222E+20</v>
      </c>
      <c r="CC53" s="100">
        <v>1.4131814817935172E+20</v>
      </c>
      <c r="CD53" s="100">
        <v>1.4118247691963823E+20</v>
      </c>
      <c r="CE53" s="100">
        <v>1.446609550447354E+20</v>
      </c>
      <c r="CF53" s="100">
        <v>1.4549275088581601E+20</v>
      </c>
      <c r="CG53" s="100">
        <v>1.4555957681269485E+20</v>
      </c>
      <c r="CH53" s="100">
        <v>1.479906573928261E+20</v>
      </c>
      <c r="CI53" s="100">
        <v>1.4930000809993925E+20</v>
      </c>
      <c r="CJ53" s="100">
        <v>1.4971905428392428E+20</v>
      </c>
      <c r="CL53" s="16" t="str">
        <f t="shared" si="3"/>
        <v>xne[1/m^3]</v>
      </c>
      <c r="CM53" s="100">
        <v>2.5509547850862487E+20</v>
      </c>
      <c r="CN53" s="100">
        <v>2.7235890345755656E+20</v>
      </c>
      <c r="CO53" s="100">
        <v>2.8985648931414878E+20</v>
      </c>
      <c r="CP53" s="100">
        <v>3.038271475001456E+20</v>
      </c>
      <c r="CQ53" s="100">
        <v>3.195950051921955E+20</v>
      </c>
      <c r="CR53" s="100">
        <v>3.354965276579752E+20</v>
      </c>
      <c r="CS53" s="100">
        <v>2.835258270830855E+20</v>
      </c>
      <c r="CT53" s="100">
        <v>2.6351339255016414E+20</v>
      </c>
      <c r="CU53" s="100">
        <v>2.4479567897878748E+20</v>
      </c>
      <c r="CV53" s="100">
        <v>2.2815701832423198E+20</v>
      </c>
      <c r="CW53" s="100">
        <v>1.950391922565274E+20</v>
      </c>
      <c r="CX53" s="100">
        <v>1.842468409774456E+20</v>
      </c>
      <c r="CY53" s="100">
        <v>1.7441701074735746E+20</v>
      </c>
      <c r="CZ53" s="100">
        <v>1.6543364489126432E+20</v>
      </c>
      <c r="DA53" s="100">
        <v>1.5719807186255826E+20</v>
      </c>
      <c r="DB53" s="100"/>
      <c r="DC53" s="100"/>
      <c r="DE53" s="16" t="s">
        <v>0</v>
      </c>
      <c r="DF53" s="100">
        <v>1.341507872813359E+20</v>
      </c>
      <c r="DG53" s="100">
        <v>1.3661865414877032E+20</v>
      </c>
      <c r="DH53" s="100">
        <v>1.2610979691762359E+20</v>
      </c>
      <c r="DI53" s="100">
        <v>1.0784938203075825E+20</v>
      </c>
      <c r="DJ53" s="100">
        <v>9.327642216226354E+19</v>
      </c>
      <c r="DK53" s="100">
        <v>8.146365792784758E+19</v>
      </c>
      <c r="DL53" s="100">
        <v>2.6376718979123757E+20</v>
      </c>
      <c r="DM53" s="100">
        <v>2.621736337258724E+20</v>
      </c>
      <c r="DN53" s="100">
        <v>2.5843916370315805E+20</v>
      </c>
      <c r="DO53" s="100">
        <v>2.5393340990038914E+20</v>
      </c>
      <c r="DP53" s="100">
        <v>2.4943619700332832E+20</v>
      </c>
      <c r="DQ53" s="100">
        <v>2.4355264404899126E+20</v>
      </c>
      <c r="DR53" s="100">
        <v>4.0690781034840687E+20</v>
      </c>
      <c r="DS53" s="100">
        <v>4.018544887962059E+20</v>
      </c>
      <c r="DT53" s="100">
        <v>3.918167366118643E+20</v>
      </c>
      <c r="DU53" s="100">
        <v>3.796739440038419E+20</v>
      </c>
      <c r="DV53" s="100">
        <v>3.6593640287560696E+20</v>
      </c>
      <c r="DW53" s="100">
        <v>3.4897278194084866E+20</v>
      </c>
      <c r="DX53" s="100">
        <v>5.5711793407542185E+20</v>
      </c>
      <c r="DY53" s="100">
        <v>5.3943640044517904E+20</v>
      </c>
      <c r="DZ53" s="100">
        <v>5.102785102753545E+20</v>
      </c>
      <c r="EA53" s="100">
        <v>4.8358925859177575E+20</v>
      </c>
      <c r="EB53" s="100">
        <v>4.5866734350844094E+20</v>
      </c>
      <c r="EC53" s="100">
        <v>4.35948302584786E+20</v>
      </c>
    </row>
    <row r="54" spans="1:133" ht="12.75">
      <c r="A54" t="s">
        <v>22</v>
      </c>
      <c r="B54" s="184">
        <f>TF_outer!B4+TF_outer!B6/2+0.4+Base!B62/2</f>
        <v>4.7610691485696925</v>
      </c>
      <c r="C54" s="7" t="s">
        <v>571</v>
      </c>
      <c r="D54" s="7"/>
      <c r="E54" s="7"/>
      <c r="J54" s="165">
        <f>B96</f>
        <v>0.2993180570810607</v>
      </c>
      <c r="K54" s="16" t="str">
        <f>A96</f>
        <v>fGW</v>
      </c>
      <c r="L54" s="18">
        <v>0.1820929182952086</v>
      </c>
      <c r="M54" s="18">
        <v>0.38298024575203254</v>
      </c>
      <c r="N54" s="18">
        <v>0.949649109825356</v>
      </c>
      <c r="O54" s="18">
        <v>0.9097348275891695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6" t="str">
        <f t="shared" si="0"/>
        <v>fGW</v>
      </c>
      <c r="AE54" s="18">
        <v>0.21376146789807876</v>
      </c>
      <c r="AF54" s="18">
        <v>0.38298024575203254</v>
      </c>
      <c r="AG54" s="18">
        <v>0.949649109825356</v>
      </c>
      <c r="AH54" s="18">
        <v>0.9097348275891695</v>
      </c>
      <c r="AI54" s="18">
        <v>0.926546145540621</v>
      </c>
      <c r="AJ54" s="18">
        <v>0.21376146789807876</v>
      </c>
      <c r="AK54" s="18">
        <v>0.38298024575203254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X54" s="16" t="str">
        <f t="shared" si="1"/>
        <v>fGW</v>
      </c>
      <c r="AY54" s="18">
        <v>0.17007979395246037</v>
      </c>
      <c r="AZ54" s="18">
        <v>0.1864307437159222</v>
      </c>
      <c r="BA54" s="18">
        <v>0.20305817365917248</v>
      </c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>
        <v>0.20512271707813387</v>
      </c>
      <c r="BR54" s="16" t="str">
        <f t="shared" si="2"/>
        <v>fGW</v>
      </c>
      <c r="BS54" s="18">
        <v>0.24216395601053153</v>
      </c>
      <c r="BT54" s="18">
        <v>0.22849327671584577</v>
      </c>
      <c r="BU54" s="18">
        <v>0.2519483278890929</v>
      </c>
      <c r="BV54" s="18">
        <v>0.2078864864717428</v>
      </c>
      <c r="BW54" s="18">
        <v>0.2324876048272931</v>
      </c>
      <c r="BX54" s="18">
        <v>0.2554319485174135</v>
      </c>
      <c r="BY54" s="18">
        <v>0.20984344468516627</v>
      </c>
      <c r="BZ54" s="18">
        <v>0.23182762030945053</v>
      </c>
      <c r="CA54" s="18">
        <v>0.25518857924412575</v>
      </c>
      <c r="CB54" s="18">
        <v>0.2093724574296293</v>
      </c>
      <c r="CC54" s="18">
        <v>0.23135464086998273</v>
      </c>
      <c r="CD54" s="18">
        <v>0.25347632930694824</v>
      </c>
      <c r="CE54" s="18">
        <v>0.20850472397994496</v>
      </c>
      <c r="CF54" s="18">
        <v>0.23056685277642822</v>
      </c>
      <c r="CG54" s="18">
        <v>0.25263462781823254</v>
      </c>
      <c r="CH54" s="18">
        <v>0.2073422707461459</v>
      </c>
      <c r="CI54" s="18">
        <v>0.2294593549586881</v>
      </c>
      <c r="CJ54" s="18">
        <v>0.25155875495956875</v>
      </c>
      <c r="CL54" s="16" t="str">
        <f t="shared" si="3"/>
        <v>fGW</v>
      </c>
      <c r="CM54" s="18">
        <v>0.9</v>
      </c>
      <c r="CN54" s="18">
        <v>0.9</v>
      </c>
      <c r="CO54" s="18">
        <v>0.9</v>
      </c>
      <c r="CP54" s="18">
        <v>0.8830583407277409</v>
      </c>
      <c r="CQ54" s="18">
        <v>0.873254936571066</v>
      </c>
      <c r="CR54" s="18">
        <v>0.9</v>
      </c>
      <c r="CS54" s="18">
        <v>0.945612353978158</v>
      </c>
      <c r="CT54" s="18">
        <v>0.95</v>
      </c>
      <c r="CU54" s="18">
        <v>0.95</v>
      </c>
      <c r="CV54" s="18">
        <v>0.95</v>
      </c>
      <c r="CW54" s="18">
        <v>0.7998957309590052</v>
      </c>
      <c r="CX54" s="18">
        <v>0.8073483146865273</v>
      </c>
      <c r="CY54" s="18">
        <v>0.8146062944329184</v>
      </c>
      <c r="CZ54" s="18">
        <v>0.8216814228610514</v>
      </c>
      <c r="DA54" s="18">
        <v>0.8285843552318989</v>
      </c>
      <c r="DB54" s="18"/>
      <c r="DC54" s="18"/>
      <c r="DE54" s="16" t="s">
        <v>455</v>
      </c>
      <c r="DF54" s="18">
        <v>0.25</v>
      </c>
      <c r="DG54" s="18">
        <v>0.25</v>
      </c>
      <c r="DH54" s="18">
        <v>0.25</v>
      </c>
      <c r="DI54" s="18">
        <v>0.25</v>
      </c>
      <c r="DJ54" s="18">
        <v>0.25</v>
      </c>
      <c r="DK54" s="18">
        <v>0.25</v>
      </c>
      <c r="DL54" s="18">
        <v>0.5</v>
      </c>
      <c r="DM54" s="18">
        <v>0.5</v>
      </c>
      <c r="DN54" s="18">
        <v>0.5</v>
      </c>
      <c r="DO54" s="18">
        <v>0.5</v>
      </c>
      <c r="DP54" s="18">
        <v>0.5</v>
      </c>
      <c r="DQ54" s="18">
        <v>0.5</v>
      </c>
      <c r="DR54" s="18">
        <v>0.75</v>
      </c>
      <c r="DS54" s="18">
        <v>0.75</v>
      </c>
      <c r="DT54" s="18">
        <v>0.75</v>
      </c>
      <c r="DU54" s="18">
        <v>0.75</v>
      </c>
      <c r="DV54" s="18">
        <v>0.75</v>
      </c>
      <c r="DW54" s="18">
        <v>0.75</v>
      </c>
      <c r="DX54" s="18">
        <v>1</v>
      </c>
      <c r="DY54" s="18">
        <v>1</v>
      </c>
      <c r="DZ54" s="18">
        <v>1</v>
      </c>
      <c r="EA54" s="18">
        <v>1</v>
      </c>
      <c r="EB54" s="18">
        <v>1</v>
      </c>
      <c r="EC54" s="18">
        <v>1</v>
      </c>
    </row>
    <row r="55" spans="1:133" ht="12.75">
      <c r="A55" t="s">
        <v>190</v>
      </c>
      <c r="B55" s="184">
        <v>0.5</v>
      </c>
      <c r="C55" s="9" t="s">
        <v>39</v>
      </c>
      <c r="J55" s="163">
        <f>B70</f>
        <v>0.1</v>
      </c>
      <c r="K55" s="16" t="str">
        <f>A70</f>
        <v>alpha_n</v>
      </c>
      <c r="L55" s="17">
        <v>0.25</v>
      </c>
      <c r="M55" s="17">
        <v>0.25</v>
      </c>
      <c r="N55" s="17">
        <v>0.22</v>
      </c>
      <c r="O55" s="17">
        <v>0.22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 t="str">
        <f t="shared" si="0"/>
        <v>alpha_n</v>
      </c>
      <c r="AE55" s="17">
        <v>0.25</v>
      </c>
      <c r="AF55" s="17">
        <v>0.25</v>
      </c>
      <c r="AG55" s="17">
        <v>0.22</v>
      </c>
      <c r="AH55" s="17">
        <v>0.22</v>
      </c>
      <c r="AI55" s="17">
        <v>0.22625</v>
      </c>
      <c r="AJ55" s="17">
        <v>0.25</v>
      </c>
      <c r="AK55" s="17">
        <v>0.25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X55" s="16" t="str">
        <f t="shared" si="1"/>
        <v>alpha_n</v>
      </c>
      <c r="AY55" s="17">
        <v>0.25</v>
      </c>
      <c r="AZ55" s="17">
        <v>0.25</v>
      </c>
      <c r="BA55" s="17">
        <v>0.25</v>
      </c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>
        <v>0.25</v>
      </c>
      <c r="BR55" s="16" t="str">
        <f t="shared" si="2"/>
        <v>alpha_n</v>
      </c>
      <c r="BS55" s="17">
        <v>0.25</v>
      </c>
      <c r="BT55" s="17">
        <v>0.25</v>
      </c>
      <c r="BU55" s="17">
        <v>0.25</v>
      </c>
      <c r="BV55" s="17">
        <v>0.25</v>
      </c>
      <c r="BW55" s="17">
        <v>0.25</v>
      </c>
      <c r="BX55" s="17">
        <v>0.25</v>
      </c>
      <c r="BY55" s="17">
        <v>0.25</v>
      </c>
      <c r="BZ55" s="17">
        <v>0.25</v>
      </c>
      <c r="CA55" s="17">
        <v>0.25</v>
      </c>
      <c r="CB55" s="17">
        <v>0.25</v>
      </c>
      <c r="CC55" s="17">
        <v>0.25</v>
      </c>
      <c r="CD55" s="17">
        <v>0.25</v>
      </c>
      <c r="CE55" s="17">
        <v>0.25</v>
      </c>
      <c r="CF55" s="17">
        <v>0.25</v>
      </c>
      <c r="CG55" s="17">
        <v>0.25</v>
      </c>
      <c r="CH55" s="17">
        <v>0.25</v>
      </c>
      <c r="CI55" s="17">
        <v>0.25</v>
      </c>
      <c r="CJ55" s="17">
        <v>0.25</v>
      </c>
      <c r="CL55" s="16" t="str">
        <f t="shared" si="3"/>
        <v>alpha_n</v>
      </c>
      <c r="CM55" s="17">
        <v>0.25</v>
      </c>
      <c r="CN55" s="17">
        <v>0.25</v>
      </c>
      <c r="CO55" s="17">
        <v>0.25</v>
      </c>
      <c r="CP55" s="17">
        <v>0.25</v>
      </c>
      <c r="CQ55" s="17">
        <v>0.25</v>
      </c>
      <c r="CR55" s="17">
        <v>0.25</v>
      </c>
      <c r="CS55" s="17">
        <v>0.25</v>
      </c>
      <c r="CT55" s="17">
        <v>0.25</v>
      </c>
      <c r="CU55" s="17">
        <v>0.25</v>
      </c>
      <c r="CV55" s="17">
        <v>0.25</v>
      </c>
      <c r="CW55" s="17">
        <v>0.25</v>
      </c>
      <c r="CX55" s="17">
        <v>0.25</v>
      </c>
      <c r="CY55" s="17">
        <v>0.25</v>
      </c>
      <c r="CZ55" s="17">
        <v>0.25</v>
      </c>
      <c r="DA55" s="17">
        <v>0.25</v>
      </c>
      <c r="DB55" s="17"/>
      <c r="DC55" s="17"/>
      <c r="DE55" s="16" t="s">
        <v>34</v>
      </c>
      <c r="DF55" s="17">
        <v>0.25</v>
      </c>
      <c r="DG55" s="17">
        <v>0.25</v>
      </c>
      <c r="DH55" s="17">
        <v>0.25</v>
      </c>
      <c r="DI55" s="17">
        <v>0.25</v>
      </c>
      <c r="DJ55" s="17">
        <v>0.25</v>
      </c>
      <c r="DK55" s="17">
        <v>0.25</v>
      </c>
      <c r="DL55" s="17">
        <v>0.25</v>
      </c>
      <c r="DM55" s="17">
        <v>0.25</v>
      </c>
      <c r="DN55" s="17">
        <v>0.25</v>
      </c>
      <c r="DO55" s="17">
        <v>0.25</v>
      </c>
      <c r="DP55" s="17">
        <v>0.25</v>
      </c>
      <c r="DQ55" s="17">
        <v>0.25</v>
      </c>
      <c r="DR55" s="17">
        <v>0.25</v>
      </c>
      <c r="DS55" s="17">
        <v>0.25</v>
      </c>
      <c r="DT55" s="17">
        <v>0.25</v>
      </c>
      <c r="DU55" s="17">
        <v>0.25</v>
      </c>
      <c r="DV55" s="17">
        <v>0.25</v>
      </c>
      <c r="DW55" s="17">
        <v>0.25</v>
      </c>
      <c r="DX55" s="17">
        <v>0.25</v>
      </c>
      <c r="DY55" s="17">
        <v>0.25</v>
      </c>
      <c r="DZ55" s="17">
        <v>0.25</v>
      </c>
      <c r="EA55" s="17">
        <v>0.25</v>
      </c>
      <c r="EB55" s="17">
        <v>0.25</v>
      </c>
      <c r="EC55" s="17">
        <v>0.25</v>
      </c>
    </row>
    <row r="56" spans="1:133" ht="12.75">
      <c r="A56" t="s">
        <v>23</v>
      </c>
      <c r="B56" s="184">
        <f>Ip*B55*1000000</f>
        <v>6052281.990334015</v>
      </c>
      <c r="J56" s="163">
        <f>B73</f>
        <v>0.7</v>
      </c>
      <c r="K56" s="16" t="str">
        <f>A73</f>
        <v>alpha_T</v>
      </c>
      <c r="L56" s="17">
        <v>1</v>
      </c>
      <c r="M56" s="17">
        <v>1</v>
      </c>
      <c r="N56" s="17">
        <v>0.22</v>
      </c>
      <c r="O56" s="17">
        <v>0.22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 t="str">
        <f t="shared" si="0"/>
        <v>alpha_T</v>
      </c>
      <c r="AE56" s="17">
        <v>1</v>
      </c>
      <c r="AF56" s="17">
        <v>1</v>
      </c>
      <c r="AG56" s="17">
        <v>0.22</v>
      </c>
      <c r="AH56" s="17">
        <v>0.22</v>
      </c>
      <c r="AI56" s="17">
        <v>0.22625</v>
      </c>
      <c r="AJ56" s="17">
        <v>1</v>
      </c>
      <c r="AK56" s="17">
        <v>1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X56" s="16" t="str">
        <f t="shared" si="1"/>
        <v>alpha_T</v>
      </c>
      <c r="AY56" s="17">
        <v>1</v>
      </c>
      <c r="AZ56" s="17">
        <v>1</v>
      </c>
      <c r="BA56" s="17">
        <v>1</v>
      </c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>
        <v>1</v>
      </c>
      <c r="BR56" s="16" t="str">
        <f t="shared" si="2"/>
        <v>alpha_T</v>
      </c>
      <c r="BS56" s="17">
        <v>1</v>
      </c>
      <c r="BT56" s="17">
        <v>1</v>
      </c>
      <c r="BU56" s="17">
        <v>1</v>
      </c>
      <c r="BV56" s="17">
        <v>1</v>
      </c>
      <c r="BW56" s="17">
        <v>1</v>
      </c>
      <c r="BX56" s="17">
        <v>1</v>
      </c>
      <c r="BY56" s="17">
        <v>1</v>
      </c>
      <c r="BZ56" s="17">
        <v>1</v>
      </c>
      <c r="CA56" s="17">
        <v>1</v>
      </c>
      <c r="CB56" s="17">
        <v>1</v>
      </c>
      <c r="CC56" s="17">
        <v>1</v>
      </c>
      <c r="CD56" s="17">
        <v>1</v>
      </c>
      <c r="CE56" s="17">
        <v>1</v>
      </c>
      <c r="CF56" s="17">
        <v>1</v>
      </c>
      <c r="CG56" s="17">
        <v>1</v>
      </c>
      <c r="CH56" s="17">
        <v>1</v>
      </c>
      <c r="CI56" s="17">
        <v>1</v>
      </c>
      <c r="CJ56" s="17">
        <v>1</v>
      </c>
      <c r="CL56" s="16" t="str">
        <f t="shared" si="3"/>
        <v>alpha_T</v>
      </c>
      <c r="CM56" s="17">
        <v>1</v>
      </c>
      <c r="CN56" s="17">
        <v>1</v>
      </c>
      <c r="CO56" s="17">
        <v>1</v>
      </c>
      <c r="CP56" s="17">
        <v>1</v>
      </c>
      <c r="CQ56" s="17">
        <v>1</v>
      </c>
      <c r="CR56" s="17">
        <v>1</v>
      </c>
      <c r="CS56" s="17">
        <v>1</v>
      </c>
      <c r="CT56" s="17">
        <v>1</v>
      </c>
      <c r="CU56" s="17">
        <v>1</v>
      </c>
      <c r="CV56" s="17">
        <v>1</v>
      </c>
      <c r="CW56" s="17">
        <v>1</v>
      </c>
      <c r="CX56" s="17">
        <v>1</v>
      </c>
      <c r="CY56" s="17">
        <v>1</v>
      </c>
      <c r="CZ56" s="17">
        <v>1</v>
      </c>
      <c r="DA56" s="17">
        <v>1</v>
      </c>
      <c r="DB56" s="17"/>
      <c r="DC56" s="17"/>
      <c r="DE56" s="16" t="s">
        <v>35</v>
      </c>
      <c r="DF56" s="17">
        <v>1</v>
      </c>
      <c r="DG56" s="17">
        <v>1</v>
      </c>
      <c r="DH56" s="17">
        <v>1</v>
      </c>
      <c r="DI56" s="17">
        <v>1</v>
      </c>
      <c r="DJ56" s="17">
        <v>1</v>
      </c>
      <c r="DK56" s="17">
        <v>1</v>
      </c>
      <c r="DL56" s="17">
        <v>1</v>
      </c>
      <c r="DM56" s="17">
        <v>1</v>
      </c>
      <c r="DN56" s="17">
        <v>1</v>
      </c>
      <c r="DO56" s="17">
        <v>1</v>
      </c>
      <c r="DP56" s="17">
        <v>1</v>
      </c>
      <c r="DQ56" s="17">
        <v>1</v>
      </c>
      <c r="DR56" s="17">
        <v>1</v>
      </c>
      <c r="DS56" s="17">
        <v>1</v>
      </c>
      <c r="DT56" s="17">
        <v>1</v>
      </c>
      <c r="DU56" s="17">
        <v>1</v>
      </c>
      <c r="DV56" s="17">
        <v>1</v>
      </c>
      <c r="DW56" s="17">
        <v>1</v>
      </c>
      <c r="DX56" s="17">
        <v>1</v>
      </c>
      <c r="DY56" s="17">
        <v>1</v>
      </c>
      <c r="DZ56" s="17">
        <v>1</v>
      </c>
      <c r="EA56" s="17">
        <v>1</v>
      </c>
      <c r="EB56" s="17">
        <v>1</v>
      </c>
      <c r="EC56" s="17">
        <v>1</v>
      </c>
    </row>
    <row r="57" spans="1:133" ht="12.75">
      <c r="A57" t="s">
        <v>24</v>
      </c>
      <c r="B57" s="184">
        <v>5000000</v>
      </c>
      <c r="J57" s="165">
        <f>B88</f>
        <v>0.7323539862974283</v>
      </c>
      <c r="K57" s="16" t="str">
        <f>A88</f>
        <v>fBS</v>
      </c>
      <c r="L57" s="18">
        <v>0.600000000012067</v>
      </c>
      <c r="M57" s="18">
        <v>0.8481186904815157</v>
      </c>
      <c r="N57" s="18">
        <v>0.9469395507596768</v>
      </c>
      <c r="O57" s="18">
        <v>0.907333050678704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6" t="str">
        <f t="shared" si="0"/>
        <v>fBS</v>
      </c>
      <c r="AE57" s="18">
        <v>0.8263477723688046</v>
      </c>
      <c r="AF57" s="18">
        <v>0.8481186904815157</v>
      </c>
      <c r="AG57" s="18">
        <v>0.9469395507596768</v>
      </c>
      <c r="AH57" s="18">
        <v>0.907333050678704</v>
      </c>
      <c r="AI57" s="18">
        <v>0.9499999999997845</v>
      </c>
      <c r="AJ57" s="18">
        <v>0.8263477723688046</v>
      </c>
      <c r="AK57" s="18">
        <v>0.8481186904815157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X57" s="16" t="str">
        <f t="shared" si="1"/>
        <v>fBS</v>
      </c>
      <c r="AY57" s="18">
        <v>0.6555450749390747</v>
      </c>
      <c r="AZ57" s="18">
        <v>0.6633918191388588</v>
      </c>
      <c r="BA57" s="18">
        <v>0.6723211315816872</v>
      </c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>
        <v>0.6639024426577306</v>
      </c>
      <c r="BR57" s="16" t="str">
        <f t="shared" si="2"/>
        <v>fBS</v>
      </c>
      <c r="BS57" s="18">
        <v>0.7595197308065653</v>
      </c>
      <c r="BT57" s="18">
        <v>0.6627197838429536</v>
      </c>
      <c r="BU57" s="18">
        <v>0.6762006768688452</v>
      </c>
      <c r="BV57" s="18">
        <v>0.6625453647354036</v>
      </c>
      <c r="BW57" s="18">
        <v>0.6736736427782345</v>
      </c>
      <c r="BX57" s="18">
        <v>0.6828949207976381</v>
      </c>
      <c r="BY57" s="18">
        <v>0.6689409348467454</v>
      </c>
      <c r="BZ57" s="18">
        <v>0.6735252150345958</v>
      </c>
      <c r="CA57" s="18">
        <v>0.6804389819078331</v>
      </c>
      <c r="CB57" s="18">
        <v>0.6678845184345151</v>
      </c>
      <c r="CC57" s="18">
        <v>0.67151993970181</v>
      </c>
      <c r="CD57" s="18">
        <v>0.6773477528186767</v>
      </c>
      <c r="CE57" s="18">
        <v>0.6667291527378124</v>
      </c>
      <c r="CF57" s="18">
        <v>0.669405753562899</v>
      </c>
      <c r="CG57" s="18">
        <v>0.6744135585215316</v>
      </c>
      <c r="CH57" s="18">
        <v>0.6656525584893448</v>
      </c>
      <c r="CI57" s="18">
        <v>0.6673529516213048</v>
      </c>
      <c r="CJ57" s="18">
        <v>0.6715443064528415</v>
      </c>
      <c r="CL57" s="16" t="str">
        <f t="shared" si="3"/>
        <v>fBS</v>
      </c>
      <c r="CM57" s="18">
        <v>0.95</v>
      </c>
      <c r="CN57" s="18">
        <v>0.9500000000000022</v>
      </c>
      <c r="CO57" s="18">
        <v>0.95</v>
      </c>
      <c r="CP57" s="18">
        <v>0.95</v>
      </c>
      <c r="CQ57" s="18">
        <v>0.95</v>
      </c>
      <c r="CR57" s="18">
        <v>0.9385944164582138</v>
      </c>
      <c r="CS57" s="18">
        <v>0.95</v>
      </c>
      <c r="CT57" s="18">
        <v>0.95</v>
      </c>
      <c r="CU57" s="18">
        <v>0.95</v>
      </c>
      <c r="CV57" s="18">
        <v>0.9499999958027351</v>
      </c>
      <c r="CW57" s="18">
        <v>0.95</v>
      </c>
      <c r="CX57" s="18">
        <v>0.9500000000109343</v>
      </c>
      <c r="CY57" s="18">
        <v>0.9500000000016313</v>
      </c>
      <c r="CZ57" s="18">
        <v>0.9500000000164769</v>
      </c>
      <c r="DA57" s="18">
        <v>0.9500000000058632</v>
      </c>
      <c r="DB57" s="18"/>
      <c r="DC57" s="18"/>
      <c r="DE57" s="16" t="s">
        <v>247</v>
      </c>
      <c r="DF57" s="18">
        <v>0.7680869044274976</v>
      </c>
      <c r="DG57" s="18">
        <v>0.7348938779239024</v>
      </c>
      <c r="DH57" s="18">
        <v>0.6681429356065195</v>
      </c>
      <c r="DI57" s="18">
        <v>0.6660083168919368</v>
      </c>
      <c r="DJ57" s="18">
        <v>0.6642641204312263</v>
      </c>
      <c r="DK57" s="18">
        <v>0.6628148679380202</v>
      </c>
      <c r="DL57" s="18">
        <v>0.8630584236882021</v>
      </c>
      <c r="DM57" s="18">
        <v>0.8622818382838495</v>
      </c>
      <c r="DN57" s="18">
        <v>0.8596198426230851</v>
      </c>
      <c r="DO57" s="18">
        <v>0.8555068045871219</v>
      </c>
      <c r="DP57" s="18">
        <v>0.8503449056372845</v>
      </c>
      <c r="DQ57" s="18">
        <v>0.8447736850758697</v>
      </c>
      <c r="DR57" s="18">
        <v>0.9</v>
      </c>
      <c r="DS57" s="18">
        <v>0.9</v>
      </c>
      <c r="DT57" s="18">
        <v>0.9</v>
      </c>
      <c r="DU57" s="18">
        <v>0.9000000000000007</v>
      </c>
      <c r="DV57" s="18">
        <v>0.9</v>
      </c>
      <c r="DW57" s="18">
        <v>0.9</v>
      </c>
      <c r="DX57" s="18">
        <v>0.9</v>
      </c>
      <c r="DY57" s="18">
        <v>0.8999999993165553</v>
      </c>
      <c r="DZ57" s="18">
        <v>0.899999999999212</v>
      </c>
      <c r="EA57" s="18">
        <v>0.9000000101480536</v>
      </c>
      <c r="EB57" s="18">
        <v>0.8999999995594256</v>
      </c>
      <c r="EC57" s="18">
        <v>0.8999999991146386</v>
      </c>
    </row>
    <row r="58" spans="1:133" ht="12.75">
      <c r="A58" t="s">
        <v>283</v>
      </c>
      <c r="B58" s="184">
        <f>B56/B57</f>
        <v>1.210456398066803</v>
      </c>
      <c r="J58" s="166">
        <f>B114</f>
        <v>14.792736466838837</v>
      </c>
      <c r="K58" s="19" t="str">
        <f>A114</f>
        <v>Tempavg[keV]</v>
      </c>
      <c r="L58" s="19">
        <v>16.666666668651374</v>
      </c>
      <c r="M58" s="19">
        <v>14.708539011017097</v>
      </c>
      <c r="N58" s="19">
        <v>12.473525603274421</v>
      </c>
      <c r="O58" s="19">
        <v>12.64164060091367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6" t="str">
        <f t="shared" si="0"/>
        <v>Tempavg[keV]</v>
      </c>
      <c r="AE58" s="19">
        <v>16.666666666504312</v>
      </c>
      <c r="AF58" s="19">
        <v>14.708539011017097</v>
      </c>
      <c r="AG58" s="19">
        <v>12.473525603274421</v>
      </c>
      <c r="AH58" s="19">
        <v>12.64164060091367</v>
      </c>
      <c r="AI58" s="19">
        <v>12.292386457980045</v>
      </c>
      <c r="AJ58" s="19">
        <v>16.666666666504312</v>
      </c>
      <c r="AK58" s="19">
        <v>14.708539011017097</v>
      </c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X58" s="16" t="str">
        <f t="shared" si="1"/>
        <v>Tempavg[keV]</v>
      </c>
      <c r="AY58" s="19">
        <v>16.666666925819655</v>
      </c>
      <c r="AZ58" s="19">
        <v>16.666666666272775</v>
      </c>
      <c r="BA58" s="19">
        <v>16.666666707518292</v>
      </c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>
        <v>16.6666666627666</v>
      </c>
      <c r="BR58" s="16" t="str">
        <f t="shared" si="2"/>
        <v>Tempavg[keV]</v>
      </c>
      <c r="BS58" s="19">
        <v>14.413193162256055</v>
      </c>
      <c r="BT58" s="19">
        <v>16.66666632849187</v>
      </c>
      <c r="BU58" s="19">
        <v>16.66666666386897</v>
      </c>
      <c r="BV58" s="19">
        <v>16.666666896204248</v>
      </c>
      <c r="BW58" s="19">
        <v>16.666666667106313</v>
      </c>
      <c r="BX58" s="19">
        <v>16.666666666663254</v>
      </c>
      <c r="BY58" s="19">
        <v>16.66666666642879</v>
      </c>
      <c r="BZ58" s="19">
        <v>16.666666670635397</v>
      </c>
      <c r="CA58" s="19">
        <v>16.666666666651537</v>
      </c>
      <c r="CB58" s="19">
        <v>16.666666663962864</v>
      </c>
      <c r="CC58" s="19">
        <v>16.666666666659616</v>
      </c>
      <c r="CD58" s="19">
        <v>16.666666157855992</v>
      </c>
      <c r="CE58" s="19">
        <v>16.66666666480603</v>
      </c>
      <c r="CF58" s="19">
        <v>16.66666666653314</v>
      </c>
      <c r="CG58" s="19">
        <v>16.666666663907062</v>
      </c>
      <c r="CH58" s="19">
        <v>16.666666663488733</v>
      </c>
      <c r="CI58" s="19">
        <v>16.666666666465527</v>
      </c>
      <c r="CJ58" s="19">
        <v>16.666666664695622</v>
      </c>
      <c r="CL58" s="16" t="str">
        <f t="shared" si="3"/>
        <v>Tempavg[keV]</v>
      </c>
      <c r="CM58" s="19">
        <v>12.636184914693807</v>
      </c>
      <c r="CN58" s="19">
        <v>13.06532374027716</v>
      </c>
      <c r="CO58" s="19">
        <v>13.46332380327212</v>
      </c>
      <c r="CP58" s="19">
        <v>14.204924768693802</v>
      </c>
      <c r="CQ58" s="19">
        <v>14.807389122927562</v>
      </c>
      <c r="CR58" s="19">
        <v>13.964137459053406</v>
      </c>
      <c r="CS58" s="19">
        <v>12.305751560001253</v>
      </c>
      <c r="CT58" s="19">
        <v>12.386570702391621</v>
      </c>
      <c r="CU58" s="19">
        <v>12.531600627061906</v>
      </c>
      <c r="CV58" s="19">
        <v>12.67609677055023</v>
      </c>
      <c r="CW58" s="19">
        <v>16.666666666666664</v>
      </c>
      <c r="CX58" s="19">
        <v>16.66666665713702</v>
      </c>
      <c r="CY58" s="19">
        <v>16.66666666066543</v>
      </c>
      <c r="CZ58" s="19">
        <v>16.66666660558499</v>
      </c>
      <c r="DA58" s="19">
        <v>16.666666661925024</v>
      </c>
      <c r="DB58" s="19"/>
      <c r="DC58" s="19"/>
      <c r="DE58" s="16" t="s">
        <v>215</v>
      </c>
      <c r="DF58" s="19">
        <v>14.063497286117773</v>
      </c>
      <c r="DG58" s="19">
        <v>16.666666668788068</v>
      </c>
      <c r="DH58" s="19">
        <v>16.66666670616827</v>
      </c>
      <c r="DI58" s="19">
        <v>16.666666666666526</v>
      </c>
      <c r="DJ58" s="19">
        <v>16.666666739678934</v>
      </c>
      <c r="DK58" s="19">
        <v>16.6666666809133</v>
      </c>
      <c r="DL58" s="19">
        <v>7.707012709014766</v>
      </c>
      <c r="DM58" s="19">
        <v>9.29313493806309</v>
      </c>
      <c r="DN58" s="19">
        <v>10.91598445868503</v>
      </c>
      <c r="DO58" s="19">
        <v>12.591505091726644</v>
      </c>
      <c r="DP58" s="19">
        <v>14.339048037587048</v>
      </c>
      <c r="DQ58" s="19">
        <v>16.057684444035043</v>
      </c>
      <c r="DR58" s="19">
        <v>5.494360282745725</v>
      </c>
      <c r="DS58" s="19">
        <v>6.582578870886624</v>
      </c>
      <c r="DT58" s="19">
        <v>7.665403493177754</v>
      </c>
      <c r="DU58" s="19">
        <v>8.756055351063495</v>
      </c>
      <c r="DV58" s="19">
        <v>9.835921671000223</v>
      </c>
      <c r="DW58" s="19">
        <v>10.81829155318262</v>
      </c>
      <c r="DX58" s="19">
        <v>4.225437530185768</v>
      </c>
      <c r="DY58" s="19">
        <v>4.9588598466367175</v>
      </c>
      <c r="DZ58" s="19">
        <v>5.594484820380888</v>
      </c>
      <c r="EA58" s="19">
        <v>6.240356780375271</v>
      </c>
      <c r="EB58" s="19">
        <v>6.888387370249998</v>
      </c>
      <c r="EC58" s="19">
        <v>7.547104503058923</v>
      </c>
    </row>
    <row r="59" spans="1:133" ht="12.75">
      <c r="A59" t="s">
        <v>135</v>
      </c>
      <c r="B59" s="184">
        <f>2*2*PI()*B54*B58*DensCu</f>
        <v>647442.2284983246</v>
      </c>
      <c r="J59" s="166">
        <f>Tavgi</f>
        <v>19.027428803962422</v>
      </c>
      <c r="K59" s="19" t="str">
        <f>A109</f>
        <v>Tavgi[keV]</v>
      </c>
      <c r="L59" s="19">
        <v>25.987448450937606</v>
      </c>
      <c r="M59" s="19">
        <v>18.833303279797008</v>
      </c>
      <c r="N59" s="19">
        <v>13.334793289305104</v>
      </c>
      <c r="O59" s="19">
        <v>14.188667089363499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6" t="str">
        <f t="shared" si="0"/>
        <v>Tavgi[keV]</v>
      </c>
      <c r="AE59" s="19">
        <v>28.01777524600232</v>
      </c>
      <c r="AF59" s="19">
        <v>18.833303279797008</v>
      </c>
      <c r="AG59" s="19">
        <v>13.334793289305104</v>
      </c>
      <c r="AH59" s="19">
        <v>14.188667089363499</v>
      </c>
      <c r="AI59" s="19">
        <v>13.794444671359877</v>
      </c>
      <c r="AJ59" s="19">
        <v>28.01777524600232</v>
      </c>
      <c r="AK59" s="19">
        <v>18.833303279797008</v>
      </c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X59" s="16" t="str">
        <f t="shared" si="1"/>
        <v>Tavgi[keV]</v>
      </c>
      <c r="AY59" s="19">
        <v>23.789998605604378</v>
      </c>
      <c r="AZ59" s="19">
        <v>23.189830313249008</v>
      </c>
      <c r="BA59" s="19">
        <v>22.651564765333337</v>
      </c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>
        <v>23.042550515492216</v>
      </c>
      <c r="BR59" s="16" t="str">
        <f t="shared" si="2"/>
        <v>Tavgi[keV]</v>
      </c>
      <c r="BS59" s="19">
        <v>19.035007658853115</v>
      </c>
      <c r="BT59" s="19">
        <v>21.712152065112235</v>
      </c>
      <c r="BU59" s="19">
        <v>21.160789596645916</v>
      </c>
      <c r="BV59" s="19">
        <v>22.301877858309</v>
      </c>
      <c r="BW59" s="19">
        <v>21.619824560085284</v>
      </c>
      <c r="BX59" s="19">
        <v>21.12111567423486</v>
      </c>
      <c r="BY59" s="19">
        <v>22.28316360467368</v>
      </c>
      <c r="BZ59" s="19">
        <v>21.727410096451997</v>
      </c>
      <c r="CA59" s="19">
        <v>21.219211564145883</v>
      </c>
      <c r="CB59" s="19">
        <v>22.40039639394349</v>
      </c>
      <c r="CC59" s="19">
        <v>21.83557164457754</v>
      </c>
      <c r="CD59" s="19">
        <v>21.350716860849143</v>
      </c>
      <c r="CE59" s="19">
        <v>22.525856545645453</v>
      </c>
      <c r="CF59" s="19">
        <v>21.947714686691576</v>
      </c>
      <c r="CG59" s="19">
        <v>21.45472469242112</v>
      </c>
      <c r="CH59" s="19">
        <v>22.65631171637625</v>
      </c>
      <c r="CI59" s="19">
        <v>22.064383498082165</v>
      </c>
      <c r="CJ59" s="19">
        <v>21.559883371383663</v>
      </c>
      <c r="CL59" s="16" t="str">
        <f t="shared" si="3"/>
        <v>Tavgi[keV]</v>
      </c>
      <c r="CM59" s="19">
        <v>13.070205937076373</v>
      </c>
      <c r="CN59" s="19">
        <v>13.553201737514236</v>
      </c>
      <c r="CO59" s="19">
        <v>14.003888393872936</v>
      </c>
      <c r="CP59" s="19">
        <v>14.857013752949937</v>
      </c>
      <c r="CQ59" s="19">
        <v>15.556080061052274</v>
      </c>
      <c r="CR59" s="19">
        <v>14.581959797054497</v>
      </c>
      <c r="CS59" s="19">
        <v>12.690750240726484</v>
      </c>
      <c r="CT59" s="19">
        <v>12.784212717094249</v>
      </c>
      <c r="CU59" s="19">
        <v>12.950493157423828</v>
      </c>
      <c r="CV59" s="19">
        <v>13.11662687694861</v>
      </c>
      <c r="CW59" s="19">
        <v>17.81187804330301</v>
      </c>
      <c r="CX59" s="19">
        <v>17.814809690428433</v>
      </c>
      <c r="CY59" s="19">
        <v>17.817603442997882</v>
      </c>
      <c r="CZ59" s="19">
        <v>17.820270021548218</v>
      </c>
      <c r="DA59" s="19">
        <v>17.822819260214022</v>
      </c>
      <c r="DB59" s="19"/>
      <c r="DC59" s="19"/>
      <c r="DE59" s="16" t="s">
        <v>491</v>
      </c>
      <c r="DF59" s="19">
        <v>18.41786177342534</v>
      </c>
      <c r="DG59" s="19">
        <v>21.776315536227738</v>
      </c>
      <c r="DH59" s="19">
        <v>21.259699106627203</v>
      </c>
      <c r="DI59" s="19">
        <v>21.421938371390983</v>
      </c>
      <c r="DJ59" s="19">
        <v>21.574767835059568</v>
      </c>
      <c r="DK59" s="19">
        <v>21.71908014263735</v>
      </c>
      <c r="DL59" s="19">
        <v>8.274230415770242</v>
      </c>
      <c r="DM59" s="19">
        <v>10.04873802341522</v>
      </c>
      <c r="DN59" s="19">
        <v>11.878321912595304</v>
      </c>
      <c r="DO59" s="19">
        <v>13.78704378053384</v>
      </c>
      <c r="DP59" s="19">
        <v>15.804983236454717</v>
      </c>
      <c r="DQ59" s="19">
        <v>17.826991199022768</v>
      </c>
      <c r="DR59" s="19">
        <v>5.569372729819279</v>
      </c>
      <c r="DS59" s="19">
        <v>6.700725052966646</v>
      </c>
      <c r="DT59" s="19">
        <v>7.8317737881528116</v>
      </c>
      <c r="DU59" s="19">
        <v>8.977325643062683</v>
      </c>
      <c r="DV59" s="19">
        <v>10.119996078166874</v>
      </c>
      <c r="DW59" s="19">
        <v>11.170400743407944</v>
      </c>
      <c r="DX59" s="19">
        <v>4.224005403851266</v>
      </c>
      <c r="DY59" s="19">
        <v>4.96852628099017</v>
      </c>
      <c r="DZ59" s="19">
        <v>5.615883679929415</v>
      </c>
      <c r="EA59" s="19">
        <v>6.27533430468628</v>
      </c>
      <c r="EB59" s="19">
        <v>6.938275215267944</v>
      </c>
      <c r="EC59" s="19">
        <v>7.614138767163096</v>
      </c>
    </row>
    <row r="60" spans="1:133" ht="12.75">
      <c r="A60" t="s">
        <v>693</v>
      </c>
      <c r="B60" s="28">
        <v>2</v>
      </c>
      <c r="J60" s="166">
        <f>Tavge</f>
        <v>11.097285221423858</v>
      </c>
      <c r="K60" s="19" t="str">
        <f>A112</f>
        <v>Tavge[keV]</v>
      </c>
      <c r="L60" s="19">
        <v>9.26138938732197</v>
      </c>
      <c r="M60" s="19">
        <v>11.509439256267845</v>
      </c>
      <c r="N60" s="19">
        <v>11.818220118211002</v>
      </c>
      <c r="O60" s="19">
        <v>11.153315877721246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6" t="str">
        <f t="shared" si="0"/>
        <v>Tavge[keV]</v>
      </c>
      <c r="AE60" s="19">
        <v>7.66055665398411</v>
      </c>
      <c r="AF60" s="19">
        <v>11.509439256267845</v>
      </c>
      <c r="AG60" s="19">
        <v>11.818220118211002</v>
      </c>
      <c r="AH60" s="19">
        <v>11.153315877721246</v>
      </c>
      <c r="AI60" s="19">
        <v>10.847211882108194</v>
      </c>
      <c r="AJ60" s="19">
        <v>7.66055665398411</v>
      </c>
      <c r="AK60" s="19">
        <v>11.509439256267845</v>
      </c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X60" s="16" t="str">
        <f t="shared" si="1"/>
        <v>Tavge[keV]</v>
      </c>
      <c r="AY60" s="19">
        <v>11.01763590996808</v>
      </c>
      <c r="AZ60" s="19">
        <v>11.507965105419478</v>
      </c>
      <c r="BA60" s="19">
        <v>11.946360018150143</v>
      </c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>
        <v>11.625589346404915</v>
      </c>
      <c r="BR60" s="16" t="str">
        <f t="shared" si="2"/>
        <v>Tavge[keV]</v>
      </c>
      <c r="BS60" s="19">
        <v>10.746428043680528</v>
      </c>
      <c r="BT60" s="19">
        <v>12.708934984017198</v>
      </c>
      <c r="BU60" s="19">
        <v>13.151638500304534</v>
      </c>
      <c r="BV60" s="19">
        <v>12.236106885531793</v>
      </c>
      <c r="BW60" s="19">
        <v>12.783622194771313</v>
      </c>
      <c r="BX60" s="19">
        <v>13.183531236304479</v>
      </c>
      <c r="BY60" s="19">
        <v>12.252368349766574</v>
      </c>
      <c r="BZ60" s="19">
        <v>12.697627491569689</v>
      </c>
      <c r="CA60" s="19">
        <v>13.104912070158555</v>
      </c>
      <c r="CB60" s="19">
        <v>12.159398685001149</v>
      </c>
      <c r="CC60" s="19">
        <v>12.611384100784882</v>
      </c>
      <c r="CD60" s="19">
        <v>12.999580949321425</v>
      </c>
      <c r="CE60" s="19">
        <v>12.060057326774924</v>
      </c>
      <c r="CF60" s="19">
        <v>12.522128019975671</v>
      </c>
      <c r="CG60" s="19">
        <v>12.916470692432664</v>
      </c>
      <c r="CH60" s="19">
        <v>11.956952430226304</v>
      </c>
      <c r="CI60" s="19">
        <v>12.429425441399777</v>
      </c>
      <c r="CJ60" s="19">
        <v>12.83257551717203</v>
      </c>
      <c r="CL60" s="16" t="str">
        <f t="shared" si="3"/>
        <v>Tavge[keV]</v>
      </c>
      <c r="CM60" s="19">
        <v>12.309034218344179</v>
      </c>
      <c r="CN60" s="19">
        <v>12.698244979464189</v>
      </c>
      <c r="CO60" s="19">
        <v>13.057325031970317</v>
      </c>
      <c r="CP60" s="19">
        <v>13.716823796985777</v>
      </c>
      <c r="CQ60" s="19">
        <v>14.248628706314268</v>
      </c>
      <c r="CR60" s="19">
        <v>13.500338922472533</v>
      </c>
      <c r="CS60" s="19">
        <v>12.015267924242329</v>
      </c>
      <c r="CT60" s="19">
        <v>12.086617480909318</v>
      </c>
      <c r="CU60" s="19">
        <v>12.21576571097614</v>
      </c>
      <c r="CV60" s="19">
        <v>12.344110209455913</v>
      </c>
      <c r="CW60" s="19">
        <v>15.819875426463623</v>
      </c>
      <c r="CX60" s="19">
        <v>15.817689919757647</v>
      </c>
      <c r="CY60" s="19">
        <v>15.815607137141654</v>
      </c>
      <c r="CZ60" s="19">
        <v>15.813618975253139</v>
      </c>
      <c r="DA60" s="19">
        <v>15.811718411923467</v>
      </c>
      <c r="DB60" s="19"/>
      <c r="DC60" s="19"/>
      <c r="DE60" s="16" t="s">
        <v>213</v>
      </c>
      <c r="DF60" s="19">
        <v>10.605971106344766</v>
      </c>
      <c r="DG60" s="19">
        <v>12.656555021483163</v>
      </c>
      <c r="DH60" s="19">
        <v>13.07217518079642</v>
      </c>
      <c r="DI60" s="19">
        <v>12.941237808070888</v>
      </c>
      <c r="DJ60" s="19">
        <v>12.817782583891542</v>
      </c>
      <c r="DK60" s="19">
        <v>12.701086496299167</v>
      </c>
      <c r="DL60" s="19">
        <v>7.248612010965699</v>
      </c>
      <c r="DM60" s="19">
        <v>8.687242445527101</v>
      </c>
      <c r="DN60" s="19">
        <v>10.151876449193532</v>
      </c>
      <c r="DO60" s="19">
        <v>11.653128664310172</v>
      </c>
      <c r="DP60" s="19">
        <v>13.203229132198217</v>
      </c>
      <c r="DQ60" s="19">
        <v>14.704529691135445</v>
      </c>
      <c r="DR60" s="19">
        <v>5.433343152184719</v>
      </c>
      <c r="DS60" s="19">
        <v>6.48702780021169</v>
      </c>
      <c r="DT60" s="19">
        <v>7.531921500907759</v>
      </c>
      <c r="DU60" s="19">
        <v>8.580286583599808</v>
      </c>
      <c r="DV60" s="19">
        <v>9.612772004230436</v>
      </c>
      <c r="DW60" s="19">
        <v>10.544631985078283</v>
      </c>
      <c r="DX60" s="19">
        <v>4.226606164800541</v>
      </c>
      <c r="DY60" s="19">
        <v>4.951001453891088</v>
      </c>
      <c r="DZ60" s="19">
        <v>5.577171827756884</v>
      </c>
      <c r="EA60" s="19">
        <v>6.212240509264852</v>
      </c>
      <c r="EB60" s="19">
        <v>6.84859952569921</v>
      </c>
      <c r="EC60" s="19">
        <v>7.494139762891587</v>
      </c>
    </row>
    <row r="61" spans="1:133" ht="12.75">
      <c r="A61" t="s">
        <v>694</v>
      </c>
      <c r="B61" s="185">
        <v>2</v>
      </c>
      <c r="J61" s="164">
        <f>B203</f>
        <v>1.9257029402271157</v>
      </c>
      <c r="K61" s="21" t="str">
        <f>A203</f>
        <v>HH98 (global)</v>
      </c>
      <c r="L61" s="21">
        <v>2.0712511519644465</v>
      </c>
      <c r="M61" s="21">
        <v>2.1150397302671045</v>
      </c>
      <c r="N61" s="21">
        <v>1.6770060104416713</v>
      </c>
      <c r="O61" s="21">
        <v>1.2511099467917883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16" t="str">
        <f aca="true" t="shared" si="4" ref="AD61:AD92">K61</f>
        <v>HH98 (global)</v>
      </c>
      <c r="AE61" s="21">
        <v>2.6547077853056953</v>
      </c>
      <c r="AF61" s="21">
        <v>2.1150397302671045</v>
      </c>
      <c r="AG61" s="21">
        <v>1.6770060104416713</v>
      </c>
      <c r="AH61" s="21">
        <v>1.2511099467917883</v>
      </c>
      <c r="AI61" s="21">
        <v>1.4124773590230848</v>
      </c>
      <c r="AJ61" s="21">
        <v>2.6547077853056953</v>
      </c>
      <c r="AK61" s="21">
        <v>2.1150397302671045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X61" s="16" t="str">
        <f aca="true" t="shared" si="5" ref="AX61:AX92">K61</f>
        <v>HH98 (global)</v>
      </c>
      <c r="AY61" s="21">
        <v>2.5457484428998542</v>
      </c>
      <c r="AZ61" s="21">
        <v>2.4409640525402283</v>
      </c>
      <c r="BA61" s="21">
        <v>2.353864436281444</v>
      </c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>
        <v>2.3755366879311524</v>
      </c>
      <c r="BR61" s="16" t="str">
        <f aca="true" t="shared" si="6" ref="BR61:BR92">AD61</f>
        <v>HH98 (global)</v>
      </c>
      <c r="BS61" s="21">
        <v>2.254163640894019</v>
      </c>
      <c r="BT61" s="21">
        <v>2.2188473518145546</v>
      </c>
      <c r="BU61" s="21">
        <v>2.1440606184990503</v>
      </c>
      <c r="BV61" s="21">
        <v>2.28831673463327</v>
      </c>
      <c r="BW61" s="21">
        <v>2.1920829521472673</v>
      </c>
      <c r="BX61" s="21">
        <v>2.127973454780145</v>
      </c>
      <c r="BY61" s="21">
        <v>2.2727353210500167</v>
      </c>
      <c r="BZ61" s="21">
        <v>2.1986870782324783</v>
      </c>
      <c r="CA61" s="21">
        <v>2.134280908512915</v>
      </c>
      <c r="CB61" s="21">
        <v>2.2823502729234084</v>
      </c>
      <c r="CC61" s="21">
        <v>2.2069141804861174</v>
      </c>
      <c r="CD61" s="21">
        <v>2.1454490470858265</v>
      </c>
      <c r="CE61" s="21">
        <v>2.2936484504869115</v>
      </c>
      <c r="CF61" s="21">
        <v>2.2161106128902066</v>
      </c>
      <c r="CG61" s="21">
        <v>2.1534497963649635</v>
      </c>
      <c r="CH61" s="21">
        <v>2.3060710391231454</v>
      </c>
      <c r="CI61" s="21">
        <v>2.2262581891610744</v>
      </c>
      <c r="CJ61" s="21">
        <v>2.161890030841111</v>
      </c>
      <c r="CL61" s="16" t="str">
        <f aca="true" t="shared" si="7" ref="CL61:CL92">BR61</f>
        <v>HH98 (global)</v>
      </c>
      <c r="CM61" s="21">
        <v>1.680033808983938</v>
      </c>
      <c r="CN61" s="21">
        <v>1.6831240498290274</v>
      </c>
      <c r="CO61" s="21">
        <v>1.6855049334339542</v>
      </c>
      <c r="CP61" s="21">
        <v>1.6948360598865233</v>
      </c>
      <c r="CQ61" s="21">
        <v>1.700649530194426</v>
      </c>
      <c r="CR61" s="21">
        <v>1.6820371568214778</v>
      </c>
      <c r="CS61" s="21">
        <v>1.6654900440379683</v>
      </c>
      <c r="CT61" s="21">
        <v>1.6703800691458586</v>
      </c>
      <c r="CU61" s="21">
        <v>1.6765914909098107</v>
      </c>
      <c r="CV61" s="21">
        <v>1.6824874285746072</v>
      </c>
      <c r="CW61" s="21">
        <v>1.7545065886084283</v>
      </c>
      <c r="CX61" s="21">
        <v>1.7561692487973388</v>
      </c>
      <c r="CY61" s="21">
        <v>1.757747804907656</v>
      </c>
      <c r="CZ61" s="21">
        <v>1.7592491903108154</v>
      </c>
      <c r="DA61" s="21">
        <v>1.7606795627302616</v>
      </c>
      <c r="DB61" s="21"/>
      <c r="DC61" s="21"/>
      <c r="DE61" s="16" t="s">
        <v>749</v>
      </c>
      <c r="DF61" s="21">
        <v>2.2267158243580325</v>
      </c>
      <c r="DG61" s="21">
        <v>2.228835837532569</v>
      </c>
      <c r="DH61" s="21">
        <v>2.160950885777025</v>
      </c>
      <c r="DI61" s="21">
        <v>2.1872217113754195</v>
      </c>
      <c r="DJ61" s="21">
        <v>2.212290229836881</v>
      </c>
      <c r="DK61" s="21">
        <v>2.236278485444019</v>
      </c>
      <c r="DL61" s="21">
        <v>1.6978514131013775</v>
      </c>
      <c r="DM61" s="21">
        <v>1.7432987079054556</v>
      </c>
      <c r="DN61" s="21">
        <v>1.776343623560173</v>
      </c>
      <c r="DO61" s="21">
        <v>1.8008073935126636</v>
      </c>
      <c r="DP61" s="21">
        <v>1.819495745715128</v>
      </c>
      <c r="DQ61" s="21">
        <v>1.8344160856290606</v>
      </c>
      <c r="DR61" s="21">
        <v>1.4955078213489343</v>
      </c>
      <c r="DS61" s="21">
        <v>1.5469456489033593</v>
      </c>
      <c r="DT61" s="21">
        <v>1.5869649324058352</v>
      </c>
      <c r="DU61" s="21">
        <v>1.6183030429045593</v>
      </c>
      <c r="DV61" s="21">
        <v>1.6427243979519</v>
      </c>
      <c r="DW61" s="21">
        <v>1.6614783282585157</v>
      </c>
      <c r="DX61" s="21">
        <v>1.350690071798545</v>
      </c>
      <c r="DY61" s="21">
        <v>1.399763117583717</v>
      </c>
      <c r="DZ61" s="21">
        <v>1.4358758460842158</v>
      </c>
      <c r="EA61" s="21">
        <v>1.4688650659030504</v>
      </c>
      <c r="EB61" s="21">
        <v>1.4939657209444448</v>
      </c>
      <c r="EC61" s="21">
        <v>1.5167590330007215</v>
      </c>
    </row>
    <row r="62" spans="1:133" ht="12.75">
      <c r="A62" t="s">
        <v>136</v>
      </c>
      <c r="B62" s="181">
        <f>SQRT(B58/B61/B60)</f>
        <v>0.5501037170540668</v>
      </c>
      <c r="F62" s="4" t="s">
        <v>39</v>
      </c>
      <c r="G62" s="4"/>
      <c r="H62" s="4"/>
      <c r="I62" s="4"/>
      <c r="J62" s="42">
        <f>B196</f>
        <v>0.9999999014013425</v>
      </c>
      <c r="K62" s="21" t="str">
        <f>A196</f>
        <v>HHi</v>
      </c>
      <c r="L62" s="21">
        <v>0.12650595645520113</v>
      </c>
      <c r="M62" s="21">
        <v>1.0000005156722038</v>
      </c>
      <c r="N62" s="21">
        <v>0.9999404927550634</v>
      </c>
      <c r="O62" s="21">
        <v>0.5041296924444274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16" t="str">
        <f t="shared" si="4"/>
        <v>HHi</v>
      </c>
      <c r="AE62" s="21">
        <v>1.0000002594968738</v>
      </c>
      <c r="AF62" s="21">
        <v>1.0000005156722038</v>
      </c>
      <c r="AG62" s="21">
        <v>0.9999404927550634</v>
      </c>
      <c r="AH62" s="21">
        <v>0.5041296924444274</v>
      </c>
      <c r="AI62" s="21">
        <v>1.0000000000531826</v>
      </c>
      <c r="AJ62" s="21">
        <v>1.0000002594968738</v>
      </c>
      <c r="AK62" s="21">
        <v>1.0000005156722038</v>
      </c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X62" s="16" t="str">
        <f t="shared" si="5"/>
        <v>HHi</v>
      </c>
      <c r="AY62" s="21">
        <v>1.0000004327775536</v>
      </c>
      <c r="AZ62" s="21">
        <v>0.9999999668078212</v>
      </c>
      <c r="BA62" s="21">
        <v>1.0000000351864062</v>
      </c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>
        <v>0.9999999963785862</v>
      </c>
      <c r="BR62" s="16" t="str">
        <f t="shared" si="6"/>
        <v>HHi</v>
      </c>
      <c r="BS62" s="21">
        <v>0.9999999987467665</v>
      </c>
      <c r="BT62" s="21">
        <v>0.9999998232145628</v>
      </c>
      <c r="BU62" s="21">
        <v>0.9999997642060491</v>
      </c>
      <c r="BV62" s="21">
        <v>1.0000001712231594</v>
      </c>
      <c r="BW62" s="21">
        <v>0.9999999952749732</v>
      </c>
      <c r="BX62" s="21">
        <v>0.9999999999985956</v>
      </c>
      <c r="BY62" s="21">
        <v>0.9999999996099775</v>
      </c>
      <c r="BZ62" s="21">
        <v>1.0000000059263137</v>
      </c>
      <c r="CA62" s="21">
        <v>0.9999999993095361</v>
      </c>
      <c r="CB62" s="21">
        <v>0.9999998126142478</v>
      </c>
      <c r="CC62" s="21">
        <v>0.9999999995325706</v>
      </c>
      <c r="CD62" s="21">
        <v>0.9999994702179904</v>
      </c>
      <c r="CE62" s="21">
        <v>0.999999999436999</v>
      </c>
      <c r="CF62" s="21">
        <v>0.999999999835189</v>
      </c>
      <c r="CG62" s="21">
        <v>0.9999998076014244</v>
      </c>
      <c r="CH62" s="21">
        <v>0.999999792658424</v>
      </c>
      <c r="CI62" s="21">
        <v>0.9999999869522262</v>
      </c>
      <c r="CJ62" s="21">
        <v>0.9999998612868465</v>
      </c>
      <c r="CL62" s="16" t="str">
        <f t="shared" si="7"/>
        <v>HHi</v>
      </c>
      <c r="CM62" s="21">
        <v>0.999999999999984</v>
      </c>
      <c r="CN62" s="21">
        <v>1.0000000000007139</v>
      </c>
      <c r="CO62" s="21">
        <v>1.000000000000078</v>
      </c>
      <c r="CP62" s="21">
        <v>0.9999999999999303</v>
      </c>
      <c r="CQ62" s="21">
        <v>1.0000000000000886</v>
      </c>
      <c r="CR62" s="21">
        <v>1.000000026073755</v>
      </c>
      <c r="CS62" s="21">
        <v>0.99999999999919</v>
      </c>
      <c r="CT62" s="21">
        <v>0.999999999999984</v>
      </c>
      <c r="CU62" s="21">
        <v>0.9999999999999871</v>
      </c>
      <c r="CV62" s="21">
        <v>0.9999998975062497</v>
      </c>
      <c r="CW62" s="21">
        <v>1.0000000000000238</v>
      </c>
      <c r="CX62" s="21">
        <v>1.0000000097626918</v>
      </c>
      <c r="CY62" s="21">
        <v>1.0000000038916168</v>
      </c>
      <c r="CZ62" s="21">
        <v>1.0000000406467984</v>
      </c>
      <c r="DA62" s="21">
        <v>1.0000000051930737</v>
      </c>
      <c r="DB62" s="21"/>
      <c r="DC62" s="21"/>
      <c r="DE62" s="16" t="s">
        <v>201</v>
      </c>
      <c r="DF62" s="21">
        <v>1.000000000065376</v>
      </c>
      <c r="DG62" s="21">
        <v>1.0000001779326309</v>
      </c>
      <c r="DH62" s="21">
        <v>1.0000001727278178</v>
      </c>
      <c r="DI62" s="21">
        <v>1.0000000000000266</v>
      </c>
      <c r="DJ62" s="21">
        <v>0.9999999893675028</v>
      </c>
      <c r="DK62" s="21">
        <v>1.0000000625010432</v>
      </c>
      <c r="DL62" s="21">
        <v>1.0000000000210896</v>
      </c>
      <c r="DM62" s="21">
        <v>1.0000000057335705</v>
      </c>
      <c r="DN62" s="21">
        <v>0.9999997357479643</v>
      </c>
      <c r="DO62" s="21">
        <v>1.000000000000124</v>
      </c>
      <c r="DP62" s="21">
        <v>1.0000000006410747</v>
      </c>
      <c r="DQ62" s="21">
        <v>1.00000008483205</v>
      </c>
      <c r="DR62" s="21">
        <v>1.000000064395774</v>
      </c>
      <c r="DS62" s="21">
        <v>1.0000000180005484</v>
      </c>
      <c r="DT62" s="21">
        <v>1.0000000025091054</v>
      </c>
      <c r="DU62" s="21">
        <v>1.000000037756609</v>
      </c>
      <c r="DV62" s="21">
        <v>1.0000000000000147</v>
      </c>
      <c r="DW62" s="21">
        <v>1.000000000001804</v>
      </c>
      <c r="DX62" s="21">
        <v>1.0000000000131413</v>
      </c>
      <c r="DY62" s="21">
        <v>0.9999999777700668</v>
      </c>
      <c r="DZ62" s="21">
        <v>0.9999999999609557</v>
      </c>
      <c r="EA62" s="21">
        <v>1.0082552745355169</v>
      </c>
      <c r="EB62" s="21">
        <v>0.9999999769558404</v>
      </c>
      <c r="EC62" s="21">
        <v>0.9999999471278141</v>
      </c>
    </row>
    <row r="63" spans="1:133" ht="12.75">
      <c r="A63" t="s">
        <v>137</v>
      </c>
      <c r="B63" s="181">
        <f>B58/B61/B62</f>
        <v>1.1002074341081336</v>
      </c>
      <c r="F63" s="4" t="s">
        <v>39</v>
      </c>
      <c r="G63" s="4"/>
      <c r="H63" s="4"/>
      <c r="I63" s="4"/>
      <c r="J63" s="5">
        <f>B199</f>
        <v>0.8000000065026739</v>
      </c>
      <c r="K63" s="21" t="str">
        <f>A199</f>
        <v>HHe</v>
      </c>
      <c r="L63" s="21">
        <v>0.9327336420599012</v>
      </c>
      <c r="M63" s="21">
        <v>0.9999999774431364</v>
      </c>
      <c r="N63" s="21">
        <v>0.9614644702049476</v>
      </c>
      <c r="O63" s="21">
        <v>0.598989180445238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16" t="str">
        <f t="shared" si="4"/>
        <v>HHe</v>
      </c>
      <c r="AE63" s="21">
        <v>0.7204506012619152</v>
      </c>
      <c r="AF63" s="21">
        <v>0.9999999774431364</v>
      </c>
      <c r="AG63" s="21">
        <v>0.9614644702049476</v>
      </c>
      <c r="AH63" s="21">
        <v>0.598989180445238</v>
      </c>
      <c r="AI63" s="21">
        <v>0.6621835981452597</v>
      </c>
      <c r="AJ63" s="21">
        <v>0.7204506012619152</v>
      </c>
      <c r="AK63" s="21">
        <v>0.9999999774431364</v>
      </c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X63" s="16" t="str">
        <f t="shared" si="5"/>
        <v>HHe</v>
      </c>
      <c r="AY63" s="21">
        <v>0.999999978987069</v>
      </c>
      <c r="AZ63" s="21">
        <v>1.0000000014541999</v>
      </c>
      <c r="BA63" s="21">
        <v>1.000000000515857</v>
      </c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>
        <v>1.000000000023786</v>
      </c>
      <c r="BR63" s="16" t="str">
        <f t="shared" si="6"/>
        <v>HHe</v>
      </c>
      <c r="BS63" s="21">
        <v>1.0000000094690522</v>
      </c>
      <c r="BT63" s="21">
        <v>0.9999999897793194</v>
      </c>
      <c r="BU63" s="21">
        <v>1.0000000061196461</v>
      </c>
      <c r="BV63" s="21">
        <v>1.000000006468226</v>
      </c>
      <c r="BW63" s="21">
        <v>0.9999999987304491</v>
      </c>
      <c r="BX63" s="21">
        <v>0.999999999999887</v>
      </c>
      <c r="BY63" s="21">
        <v>1.0000000000180675</v>
      </c>
      <c r="BZ63" s="21">
        <v>0.9999999997803783</v>
      </c>
      <c r="CA63" s="21">
        <v>0.9999999999626137</v>
      </c>
      <c r="CB63" s="21">
        <v>1.0000000062567862</v>
      </c>
      <c r="CC63" s="21">
        <v>1.000000000023006</v>
      </c>
      <c r="CD63" s="21">
        <v>1.0000000028693343</v>
      </c>
      <c r="CE63" s="21">
        <v>0.9999999999495834</v>
      </c>
      <c r="CF63" s="21">
        <v>1.0000000000046345</v>
      </c>
      <c r="CG63" s="21">
        <v>1.0000000057855345</v>
      </c>
      <c r="CH63" s="21">
        <v>1.00000001057654</v>
      </c>
      <c r="CI63" s="21">
        <v>1.0000000004580285</v>
      </c>
      <c r="CJ63" s="21">
        <v>1.00000000374355</v>
      </c>
      <c r="CL63" s="16" t="str">
        <f t="shared" si="7"/>
        <v>HHe</v>
      </c>
      <c r="CM63" s="21">
        <v>1</v>
      </c>
      <c r="CN63" s="21">
        <v>0.9999999999998639</v>
      </c>
      <c r="CO63" s="21">
        <v>0.999999999999994</v>
      </c>
      <c r="CP63" s="21">
        <v>1</v>
      </c>
      <c r="CQ63" s="21">
        <v>0.9999999999999887</v>
      </c>
      <c r="CR63" s="21">
        <v>0.9999999984167547</v>
      </c>
      <c r="CS63" s="21">
        <v>1.0000000000000666</v>
      </c>
      <c r="CT63" s="21">
        <v>1</v>
      </c>
      <c r="CU63" s="21">
        <v>1</v>
      </c>
      <c r="CV63" s="21">
        <v>0.9999999960385058</v>
      </c>
      <c r="CW63" s="21">
        <v>0.9999999999999984</v>
      </c>
      <c r="CX63" s="21">
        <v>0.9999999995446869</v>
      </c>
      <c r="CY63" s="21">
        <v>0.9999999998157239</v>
      </c>
      <c r="CZ63" s="21">
        <v>0.9999999981177967</v>
      </c>
      <c r="DA63" s="21">
        <v>0.9999999997745921</v>
      </c>
      <c r="DB63" s="21"/>
      <c r="DC63" s="21"/>
      <c r="DE63" s="16" t="s">
        <v>202</v>
      </c>
      <c r="DF63" s="21">
        <v>0.9999999999974443</v>
      </c>
      <c r="DG63" s="21">
        <v>0.9999999946167211</v>
      </c>
      <c r="DH63" s="21">
        <v>0.9999999861369087</v>
      </c>
      <c r="DI63" s="21">
        <v>1.0000000000000056</v>
      </c>
      <c r="DJ63" s="21">
        <v>1.000000001890609</v>
      </c>
      <c r="DK63" s="21">
        <v>0.9999999989987436</v>
      </c>
      <c r="DL63" s="21">
        <v>0.9999999999992342</v>
      </c>
      <c r="DM63" s="21">
        <v>0.9999999997897633</v>
      </c>
      <c r="DN63" s="21">
        <v>1.0000000085580132</v>
      </c>
      <c r="DO63" s="21">
        <v>0.999999999999996</v>
      </c>
      <c r="DP63" s="21">
        <v>0.9999999999827802</v>
      </c>
      <c r="DQ63" s="21">
        <v>0.9999999978475698</v>
      </c>
      <c r="DR63" s="21">
        <v>1.0000000008128958</v>
      </c>
      <c r="DS63" s="21">
        <v>1.0000000018154593</v>
      </c>
      <c r="DT63" s="21">
        <v>1.0000000000489226</v>
      </c>
      <c r="DU63" s="21">
        <v>0.999999999352253</v>
      </c>
      <c r="DV63" s="21">
        <v>1</v>
      </c>
      <c r="DW63" s="21">
        <v>0.9999999999999218</v>
      </c>
      <c r="DX63" s="21">
        <v>1.0000000000045812</v>
      </c>
      <c r="DY63" s="21">
        <v>1.0000000023976807</v>
      </c>
      <c r="DZ63" s="21">
        <v>1.0000000000068647</v>
      </c>
      <c r="EA63" s="21">
        <v>1.0000000329895196</v>
      </c>
      <c r="EB63" s="21">
        <v>1.0000000028065232</v>
      </c>
      <c r="EC63" s="21">
        <v>1.0000000023168307</v>
      </c>
    </row>
    <row r="64" spans="1:133" ht="12.75">
      <c r="A64" t="s">
        <v>138</v>
      </c>
      <c r="B64" s="179">
        <f>Ip*2*B55*0.00000001742*(1+0.0041*(60-20))*2*PI()*B54*B57</f>
        <v>36.71171245579728</v>
      </c>
      <c r="C64" s="10" t="s">
        <v>39</v>
      </c>
      <c r="D64" s="10"/>
      <c r="E64" s="10"/>
      <c r="F64" s="12"/>
      <c r="G64" s="12"/>
      <c r="H64" s="12"/>
      <c r="I64" s="12"/>
      <c r="J64" s="5">
        <f>Tau_E_NC</f>
        <v>9.591193635099906</v>
      </c>
      <c r="K64" s="21" t="str">
        <f>A194</f>
        <v>Tau_E_NC[sec]</v>
      </c>
      <c r="L64" s="21">
        <v>11.763157636299619</v>
      </c>
      <c r="M64" s="21">
        <v>6.320862351036802</v>
      </c>
      <c r="N64" s="21">
        <v>17.545028356928377</v>
      </c>
      <c r="O64" s="21">
        <v>21.6735468529212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16" t="str">
        <f t="shared" si="4"/>
        <v>Tau_E_NC[sec]</v>
      </c>
      <c r="AE64" s="21">
        <v>8.785008513828409</v>
      </c>
      <c r="AF64" s="21">
        <v>6.320862351036802</v>
      </c>
      <c r="AG64" s="21">
        <v>17.545028356928377</v>
      </c>
      <c r="AH64" s="21">
        <v>21.6735468529212</v>
      </c>
      <c r="AI64" s="21">
        <v>22.10879865766426</v>
      </c>
      <c r="AJ64" s="21">
        <v>8.785008513828409</v>
      </c>
      <c r="AK64" s="21">
        <v>6.320862351036802</v>
      </c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X64" s="16" t="str">
        <f t="shared" si="5"/>
        <v>Tau_E_NC[sec]</v>
      </c>
      <c r="AY64" s="21">
        <v>7.108285971067353</v>
      </c>
      <c r="AZ64" s="21">
        <v>8.408584359267884</v>
      </c>
      <c r="BA64" s="21">
        <v>9.780603271319716</v>
      </c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>
        <v>5.491079123967403</v>
      </c>
      <c r="BR64" s="16" t="str">
        <f t="shared" si="6"/>
        <v>Tau_E_NC[sec]</v>
      </c>
      <c r="BS64" s="21">
        <v>4.8082574331721</v>
      </c>
      <c r="BT64" s="21">
        <v>8.135572247062097</v>
      </c>
      <c r="BU64" s="21">
        <v>9.398328013814666</v>
      </c>
      <c r="BV64" s="21">
        <v>5.958960416245005</v>
      </c>
      <c r="BW64" s="21">
        <v>7.009056820127878</v>
      </c>
      <c r="BX64" s="21">
        <v>8.152234585560619</v>
      </c>
      <c r="BY64" s="21">
        <v>5.2115829762527985</v>
      </c>
      <c r="BZ64" s="21">
        <v>6.196992033409586</v>
      </c>
      <c r="CA64" s="21">
        <v>7.227732182682106</v>
      </c>
      <c r="CB64" s="21">
        <v>4.64400961200611</v>
      </c>
      <c r="CC64" s="21">
        <v>5.529967141826415</v>
      </c>
      <c r="CD64" s="21">
        <v>6.464354535333978</v>
      </c>
      <c r="CE64" s="21">
        <v>4.165668103477715</v>
      </c>
      <c r="CF64" s="21">
        <v>4.9671666659978735</v>
      </c>
      <c r="CG64" s="21">
        <v>5.81345826158557</v>
      </c>
      <c r="CH64" s="21">
        <v>3.7576621831360284</v>
      </c>
      <c r="CI64" s="21">
        <v>4.486954462687542</v>
      </c>
      <c r="CJ64" s="21">
        <v>5.2574583462916795</v>
      </c>
      <c r="CL64" s="16" t="str">
        <f t="shared" si="7"/>
        <v>Tau_E_NC[sec]</v>
      </c>
      <c r="CM64" s="21">
        <v>14.212531726211697</v>
      </c>
      <c r="CN64" s="21">
        <v>13.00996143620796</v>
      </c>
      <c r="CO64" s="21">
        <v>11.970909729175554</v>
      </c>
      <c r="CP64" s="21">
        <v>11.470854947883996</v>
      </c>
      <c r="CQ64" s="21">
        <v>10.889946274530963</v>
      </c>
      <c r="CR64" s="21">
        <v>9.178709429020182</v>
      </c>
      <c r="CS64" s="21">
        <v>12.058193319546964</v>
      </c>
      <c r="CT64" s="21">
        <v>13.275187198635185</v>
      </c>
      <c r="CU64" s="21">
        <v>14.661889431698336</v>
      </c>
      <c r="CV64" s="21">
        <v>16.136216070497223</v>
      </c>
      <c r="CW64" s="21">
        <v>25.506899784722396</v>
      </c>
      <c r="CX64" s="21">
        <v>27.484777403847712</v>
      </c>
      <c r="CY64" s="21">
        <v>29.535929679221763</v>
      </c>
      <c r="CZ64" s="21">
        <v>31.660322120825032</v>
      </c>
      <c r="DA64" s="21">
        <v>33.85792237219902</v>
      </c>
      <c r="DB64" s="21"/>
      <c r="DC64" s="21"/>
      <c r="DE64" s="16" t="s">
        <v>303</v>
      </c>
      <c r="DF64" s="21">
        <v>4.575478990600902</v>
      </c>
      <c r="DG64" s="21">
        <v>7.3587185578383725</v>
      </c>
      <c r="DH64" s="21">
        <v>9.508469417647708</v>
      </c>
      <c r="DI64" s="21">
        <v>11.226087467963035</v>
      </c>
      <c r="DJ64" s="21">
        <v>13.088482713086643</v>
      </c>
      <c r="DK64" s="21">
        <v>15.096246591314484</v>
      </c>
      <c r="DL64" s="21">
        <v>1.6581874054802979</v>
      </c>
      <c r="DM64" s="21">
        <v>2.605185642988004</v>
      </c>
      <c r="DN64" s="21">
        <v>3.8884481502130894</v>
      </c>
      <c r="DO64" s="21">
        <v>5.58905510617693</v>
      </c>
      <c r="DP64" s="21">
        <v>7.809109949691</v>
      </c>
      <c r="DQ64" s="21">
        <v>10.562087758812813</v>
      </c>
      <c r="DR64" s="21">
        <v>1.0396303812024137</v>
      </c>
      <c r="DS64" s="21">
        <v>1.5964037224385834</v>
      </c>
      <c r="DT64" s="21">
        <v>2.322183148427621</v>
      </c>
      <c r="DU64" s="21">
        <v>3.2467079023945806</v>
      </c>
      <c r="DV64" s="21">
        <v>4.387194265149955</v>
      </c>
      <c r="DW64" s="21">
        <v>5.706919702193106</v>
      </c>
      <c r="DX64" s="21">
        <v>0.7868397041774962</v>
      </c>
      <c r="DY64" s="21">
        <v>1.165186488073752</v>
      </c>
      <c r="DZ64" s="21">
        <v>1.6191089749009184</v>
      </c>
      <c r="EA64" s="21">
        <v>2.1846894572246636</v>
      </c>
      <c r="EB64" s="21">
        <v>2.8732215374981926</v>
      </c>
      <c r="EC64" s="21">
        <v>3.7031596499152597</v>
      </c>
    </row>
    <row r="65" spans="1:133" ht="12.75">
      <c r="A65" t="s">
        <v>474</v>
      </c>
      <c r="B65" s="28">
        <v>0.95</v>
      </c>
      <c r="C65" s="7" t="s">
        <v>659</v>
      </c>
      <c r="D65" s="7"/>
      <c r="E65" s="7"/>
      <c r="F65" s="12"/>
      <c r="G65" s="12"/>
      <c r="H65" s="12"/>
      <c r="I65" s="12"/>
      <c r="J65" s="5">
        <f>Tau_E_98</f>
        <v>0.2967131466699975</v>
      </c>
      <c r="K65" s="21" t="str">
        <f>A202</f>
        <v>Tau_E_98[sec]</v>
      </c>
      <c r="L65" s="21">
        <v>0.33146570569709766</v>
      </c>
      <c r="M65" s="21">
        <v>0.3853892442762425</v>
      </c>
      <c r="N65" s="21">
        <v>1.395826461380125</v>
      </c>
      <c r="O65" s="21">
        <v>0.9671727154457768</v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16" t="str">
        <f t="shared" si="4"/>
        <v>Tau_E_98[sec]</v>
      </c>
      <c r="AE65" s="21">
        <v>0.2692144974904974</v>
      </c>
      <c r="AF65" s="21">
        <v>0.3853892442762425</v>
      </c>
      <c r="AG65" s="21">
        <v>1.395826461380125</v>
      </c>
      <c r="AH65" s="21">
        <v>0.9671727154457768</v>
      </c>
      <c r="AI65" s="21">
        <v>1.1609973683151797</v>
      </c>
      <c r="AJ65" s="21">
        <v>0.2692144974904974</v>
      </c>
      <c r="AK65" s="21">
        <v>0.3853892442762425</v>
      </c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X65" s="16" t="str">
        <f t="shared" si="5"/>
        <v>Tau_E_98[sec]</v>
      </c>
      <c r="AY65" s="21">
        <v>0.27169111949768726</v>
      </c>
      <c r="AZ65" s="21">
        <v>0.32995628604021937</v>
      </c>
      <c r="BA65" s="21">
        <v>0.3934333611538771</v>
      </c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>
        <v>0.28256909373039363</v>
      </c>
      <c r="BR65" s="16" t="str">
        <f t="shared" si="6"/>
        <v>Tau_E_98[sec]</v>
      </c>
      <c r="BS65" s="21">
        <v>0.22936282578334244</v>
      </c>
      <c r="BT65" s="21">
        <v>0.33175149175307156</v>
      </c>
      <c r="BU65" s="21">
        <v>0.3984393780163217</v>
      </c>
      <c r="BV65" s="21">
        <v>0.262924088194279</v>
      </c>
      <c r="BW65" s="21">
        <v>0.32255531047485514</v>
      </c>
      <c r="BX65" s="21">
        <v>0.3815508561274705</v>
      </c>
      <c r="BY65" s="21">
        <v>0.25132254114873775</v>
      </c>
      <c r="BZ65" s="21">
        <v>0.3010115905740499</v>
      </c>
      <c r="CA65" s="21">
        <v>0.3542368657912198</v>
      </c>
      <c r="CB65" s="21">
        <v>0.23298562444421417</v>
      </c>
      <c r="CC65" s="21">
        <v>0.2794185393628733</v>
      </c>
      <c r="CD65" s="21">
        <v>0.32894475366001774</v>
      </c>
      <c r="CE65" s="21">
        <v>0.2162552585744856</v>
      </c>
      <c r="CF65" s="21">
        <v>0.25975674315955194</v>
      </c>
      <c r="CG65" s="21">
        <v>0.3061496017367787</v>
      </c>
      <c r="CH65" s="21">
        <v>0.20106560154257025</v>
      </c>
      <c r="CI65" s="21">
        <v>0.24191585349060854</v>
      </c>
      <c r="CJ65" s="21">
        <v>0.28550008203907185</v>
      </c>
      <c r="CL65" s="16" t="str">
        <f t="shared" si="7"/>
        <v>Tau_E_98[sec]</v>
      </c>
      <c r="CM65" s="21">
        <v>1.2719956642633592</v>
      </c>
      <c r="CN65" s="21">
        <v>1.1543863859762074</v>
      </c>
      <c r="CO65" s="21">
        <v>1.0581062640275936</v>
      </c>
      <c r="CP65" s="21">
        <v>0.9675640786636104</v>
      </c>
      <c r="CQ65" s="21">
        <v>0.8970823049402252</v>
      </c>
      <c r="CR65" s="21">
        <v>0.8668540846671653</v>
      </c>
      <c r="CS65" s="21">
        <v>1.1940641071159994</v>
      </c>
      <c r="CT65" s="21">
        <v>1.2698732481203632</v>
      </c>
      <c r="CU65" s="21">
        <v>1.3427680637830954</v>
      </c>
      <c r="CV65" s="21">
        <v>1.4166410434436705</v>
      </c>
      <c r="CW65" s="21">
        <v>1.3623954826159723</v>
      </c>
      <c r="CX65" s="21">
        <v>1.4399939791890977</v>
      </c>
      <c r="CY65" s="21">
        <v>1.518933910864658</v>
      </c>
      <c r="CZ65" s="21">
        <v>1.5991888124151932</v>
      </c>
      <c r="DA65" s="21">
        <v>1.6807336287633499</v>
      </c>
      <c r="DB65" s="21"/>
      <c r="DC65" s="21"/>
      <c r="DE65" s="16" t="s">
        <v>593</v>
      </c>
      <c r="DF65" s="21">
        <v>0.22676804695907582</v>
      </c>
      <c r="DG65" s="21">
        <v>0.29701801965133756</v>
      </c>
      <c r="DH65" s="21">
        <v>0.38654810077133817</v>
      </c>
      <c r="DI65" s="21">
        <v>0.433815462415536</v>
      </c>
      <c r="DJ65" s="21">
        <v>0.48251455110888153</v>
      </c>
      <c r="DK65" s="21">
        <v>0.5326071711770964</v>
      </c>
      <c r="DL65" s="21">
        <v>0.23783571054993075</v>
      </c>
      <c r="DM65" s="21">
        <v>0.29683580353758127</v>
      </c>
      <c r="DN65" s="21">
        <v>0.3597926684791282</v>
      </c>
      <c r="DO65" s="21">
        <v>0.4272008063966621</v>
      </c>
      <c r="DP65" s="21">
        <v>0.49972841396802736</v>
      </c>
      <c r="DQ65" s="21">
        <v>0.5761447440071065</v>
      </c>
      <c r="DR65" s="21">
        <v>0.2820421906940423</v>
      </c>
      <c r="DS65" s="21">
        <v>0.35632430482966376</v>
      </c>
      <c r="DT65" s="21">
        <v>0.43375325933421716</v>
      </c>
      <c r="DU65" s="21">
        <v>0.513719468338895</v>
      </c>
      <c r="DV65" s="21">
        <v>0.5950462815871062</v>
      </c>
      <c r="DW65" s="21">
        <v>0.6752066216784314</v>
      </c>
      <c r="DX65" s="21">
        <v>0.33203710321357843</v>
      </c>
      <c r="DY65" s="21">
        <v>0.42452822080419816</v>
      </c>
      <c r="DZ65" s="21">
        <v>0.5243064351366704</v>
      </c>
      <c r="EA65" s="21">
        <v>0.6337076699871818</v>
      </c>
      <c r="EB65" s="21">
        <v>0.7474546134332263</v>
      </c>
      <c r="EC65" s="21">
        <v>0.8698483069906879</v>
      </c>
    </row>
    <row r="66" spans="1:133" ht="12.75">
      <c r="A66" t="s">
        <v>475</v>
      </c>
      <c r="B66" s="174" t="s">
        <v>517</v>
      </c>
      <c r="C66" s="7"/>
      <c r="D66" s="7"/>
      <c r="E66" s="7"/>
      <c r="F66" s="12" t="s">
        <v>39</v>
      </c>
      <c r="G66" s="12"/>
      <c r="H66" s="12"/>
      <c r="I66" s="12"/>
      <c r="J66" s="23">
        <f>B94</f>
        <v>7.756418975829798</v>
      </c>
      <c r="K66" s="19" t="str">
        <f>A94</f>
        <v>Q</v>
      </c>
      <c r="L66" s="19">
        <v>3.1919641123382165</v>
      </c>
      <c r="M66" s="19">
        <v>12.563052356036295</v>
      </c>
      <c r="N66" s="19">
        <v>95.79784870676026</v>
      </c>
      <c r="O66" s="19">
        <v>118.56673594882614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6" t="str">
        <f t="shared" si="4"/>
        <v>Q</v>
      </c>
      <c r="AE66" s="19">
        <v>3.4304389486182303</v>
      </c>
      <c r="AF66" s="19">
        <v>12.563052356036295</v>
      </c>
      <c r="AG66" s="19">
        <v>95.79784870676026</v>
      </c>
      <c r="AH66" s="19">
        <v>118.56673594882614</v>
      </c>
      <c r="AI66" s="19">
        <v>184.06500369785218</v>
      </c>
      <c r="AJ66" s="19">
        <v>3.4304389486182303</v>
      </c>
      <c r="AK66" s="19">
        <v>12.563052356036295</v>
      </c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X66" s="16" t="str">
        <f t="shared" si="5"/>
        <v>Q</v>
      </c>
      <c r="AY66" s="19">
        <v>3.464360276160413</v>
      </c>
      <c r="AZ66" s="19">
        <v>3.940570341626184</v>
      </c>
      <c r="BA66" s="19">
        <v>4.444037132469912</v>
      </c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>
        <v>3.9842472643674682</v>
      </c>
      <c r="BR66" s="16" t="str">
        <f t="shared" si="6"/>
        <v>Q</v>
      </c>
      <c r="BS66" s="19">
        <v>4.309163385534239</v>
      </c>
      <c r="BT66" s="19">
        <v>5.643084929305226</v>
      </c>
      <c r="BU66" s="19">
        <v>6.3373846919408585</v>
      </c>
      <c r="BV66" s="19">
        <v>5.152057437578707</v>
      </c>
      <c r="BW66" s="19">
        <v>5.792725651221227</v>
      </c>
      <c r="BX66" s="19">
        <v>6.411896718728489</v>
      </c>
      <c r="BY66" s="19">
        <v>5.244244494036432</v>
      </c>
      <c r="BZ66" s="19">
        <v>5.707041354888005</v>
      </c>
      <c r="CA66" s="19">
        <v>6.285687496457246</v>
      </c>
      <c r="CB66" s="19">
        <v>5.219881646513715</v>
      </c>
      <c r="CC66" s="19">
        <v>5.63961378830181</v>
      </c>
      <c r="CD66" s="19">
        <v>6.12985205708212</v>
      </c>
      <c r="CE66" s="19">
        <v>5.202724366282719</v>
      </c>
      <c r="CF66" s="19">
        <v>5.583344317342689</v>
      </c>
      <c r="CG66" s="19">
        <v>6.031850187559549</v>
      </c>
      <c r="CH66" s="19">
        <v>5.195538523445242</v>
      </c>
      <c r="CI66" s="19">
        <v>5.537082234177704</v>
      </c>
      <c r="CJ66" s="19">
        <v>5.94818209330894</v>
      </c>
      <c r="CL66" s="16" t="str">
        <f t="shared" si="7"/>
        <v>Q</v>
      </c>
      <c r="CM66" s="19">
        <v>98.4224365749208</v>
      </c>
      <c r="CN66" s="19">
        <v>103.03521413765601</v>
      </c>
      <c r="CO66" s="19">
        <v>107.13675946732067</v>
      </c>
      <c r="CP66" s="19">
        <v>113.2933419427555</v>
      </c>
      <c r="CQ66" s="19">
        <v>117.9997838804801</v>
      </c>
      <c r="CR66" s="19">
        <v>89.0897801647368</v>
      </c>
      <c r="CS66" s="19">
        <v>97.46306810067524</v>
      </c>
      <c r="CT66" s="19">
        <v>97.87057486217994</v>
      </c>
      <c r="CU66" s="19">
        <v>98.76551206834998</v>
      </c>
      <c r="CV66" s="19">
        <v>99.67021878361045</v>
      </c>
      <c r="CW66" s="19">
        <v>125.02734496167108</v>
      </c>
      <c r="CX66" s="19">
        <v>124.95234484973356</v>
      </c>
      <c r="CY66" s="19">
        <v>124.88353204438778</v>
      </c>
      <c r="CZ66" s="19">
        <v>124.82030639647994</v>
      </c>
      <c r="DA66" s="19">
        <v>124.7621477551834</v>
      </c>
      <c r="DB66" s="19"/>
      <c r="DC66" s="19"/>
      <c r="DE66" s="16" t="s">
        <v>512</v>
      </c>
      <c r="DF66" s="19">
        <v>4.2894159423321305</v>
      </c>
      <c r="DG66" s="19">
        <v>5.527289964198979</v>
      </c>
      <c r="DH66" s="19">
        <v>6.189133591548053</v>
      </c>
      <c r="DI66" s="19">
        <v>5.91092171445205</v>
      </c>
      <c r="DJ66" s="19">
        <v>5.669109231395955</v>
      </c>
      <c r="DK66" s="19">
        <v>5.455101367368415</v>
      </c>
      <c r="DL66" s="19">
        <v>2.8189133990127573</v>
      </c>
      <c r="DM66" s="19">
        <v>4.125018155242705</v>
      </c>
      <c r="DN66" s="19">
        <v>6.007508152162203</v>
      </c>
      <c r="DO66" s="19">
        <v>8.634813873250476</v>
      </c>
      <c r="DP66" s="19">
        <v>12.242754966055719</v>
      </c>
      <c r="DQ66" s="19">
        <v>16.64168324363824</v>
      </c>
      <c r="DR66" s="19">
        <v>1.7265438411810472</v>
      </c>
      <c r="DS66" s="19">
        <v>2.7659749806025427</v>
      </c>
      <c r="DT66" s="19">
        <v>4.428651779137794</v>
      </c>
      <c r="DU66" s="19">
        <v>7.049779327156022</v>
      </c>
      <c r="DV66" s="19">
        <v>11.129674539142735</v>
      </c>
      <c r="DW66" s="19">
        <v>16.896172266023466</v>
      </c>
      <c r="DX66" s="19">
        <v>1.109167464602143</v>
      </c>
      <c r="DY66" s="19">
        <v>1.7674659538035034</v>
      </c>
      <c r="DZ66" s="19">
        <v>2.65398744939414</v>
      </c>
      <c r="EA66" s="19">
        <v>3.992308546716043</v>
      </c>
      <c r="EB66" s="19">
        <v>5.949274256721521</v>
      </c>
      <c r="EC66" s="19">
        <v>9.000678260428245</v>
      </c>
    </row>
    <row r="67" spans="1:133" ht="12.75">
      <c r="A67" t="s">
        <v>195</v>
      </c>
      <c r="B67" s="186">
        <f>IF(B66="No",B64/B65,0)</f>
        <v>0</v>
      </c>
      <c r="C67" s="7"/>
      <c r="D67" s="7"/>
      <c r="E67" s="7"/>
      <c r="F67" s="12" t="s">
        <v>39</v>
      </c>
      <c r="G67" s="12"/>
      <c r="H67" s="12"/>
      <c r="I67" s="12"/>
      <c r="J67" s="164">
        <f>B131</f>
        <v>1.4346778130639266</v>
      </c>
      <c r="K67" s="21" t="str">
        <f>A131</f>
        <v>Zeff</v>
      </c>
      <c r="L67" s="21">
        <v>1.771017990915132</v>
      </c>
      <c r="M67" s="21">
        <v>1.8088326865304525</v>
      </c>
      <c r="N67" s="21">
        <v>1.8382768570279968</v>
      </c>
      <c r="O67" s="21">
        <v>1.9802897998136026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16" t="str">
        <f t="shared" si="4"/>
        <v>Zeff</v>
      </c>
      <c r="AE67" s="21">
        <v>1.7731752507791652</v>
      </c>
      <c r="AF67" s="21">
        <v>1.8088326865304525</v>
      </c>
      <c r="AG67" s="21">
        <v>1.8382768570279968</v>
      </c>
      <c r="AH67" s="21">
        <v>1.9802897998136026</v>
      </c>
      <c r="AI67" s="21">
        <v>1.9801409226903224</v>
      </c>
      <c r="AJ67" s="21">
        <v>1.7731752507791652</v>
      </c>
      <c r="AK67" s="21">
        <v>1.8088326865304525</v>
      </c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X67" s="16" t="str">
        <f t="shared" si="5"/>
        <v>Zeff</v>
      </c>
      <c r="AY67" s="21">
        <v>1.7739357059891112</v>
      </c>
      <c r="AZ67" s="21">
        <v>1.7783436626660196</v>
      </c>
      <c r="BA67" s="21">
        <v>1.7825941214806829</v>
      </c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>
        <v>1.7787047842138213</v>
      </c>
      <c r="BR67" s="16" t="str">
        <f t="shared" si="6"/>
        <v>Zeff</v>
      </c>
      <c r="BS67" s="21">
        <v>1.7732789746212096</v>
      </c>
      <c r="BT67" s="21">
        <v>1.7911792556465758</v>
      </c>
      <c r="BU67" s="21">
        <v>1.7957222905816308</v>
      </c>
      <c r="BV67" s="21">
        <v>1.78754422488643</v>
      </c>
      <c r="BW67" s="21">
        <v>1.7920934013271979</v>
      </c>
      <c r="BX67" s="21">
        <v>1.7961094158051019</v>
      </c>
      <c r="BY67" s="21">
        <v>1.7880955317170875</v>
      </c>
      <c r="BZ67" s="21">
        <v>1.7914402667330391</v>
      </c>
      <c r="CA67" s="21">
        <v>1.7952687665075766</v>
      </c>
      <c r="CB67" s="21">
        <v>1.7878059164895612</v>
      </c>
      <c r="CC67" s="21">
        <v>1.7908929712582027</v>
      </c>
      <c r="CD67" s="21">
        <v>1.794224801968401</v>
      </c>
      <c r="CE67" s="21">
        <v>1.7875610001664128</v>
      </c>
      <c r="CF67" s="21">
        <v>1.7904105432341357</v>
      </c>
      <c r="CG67" s="21">
        <v>1.7935210855252517</v>
      </c>
      <c r="CH67" s="21">
        <v>1.7873811914808062</v>
      </c>
      <c r="CI67" s="21">
        <v>1.7899875828066818</v>
      </c>
      <c r="CJ67" s="21">
        <v>1.792895423461148</v>
      </c>
      <c r="CL67" s="16" t="str">
        <f t="shared" si="7"/>
        <v>Zeff</v>
      </c>
      <c r="CM67" s="21">
        <v>1.8524661273146148</v>
      </c>
      <c r="CN67" s="21">
        <v>1.8552026412677396</v>
      </c>
      <c r="CO67" s="21">
        <v>1.8578713798084872</v>
      </c>
      <c r="CP67" s="21">
        <v>1.8629620696174716</v>
      </c>
      <c r="CQ67" s="21">
        <v>1.8673669570173905</v>
      </c>
      <c r="CR67" s="21">
        <v>1.8586022419278134</v>
      </c>
      <c r="CS67" s="21">
        <v>1.850988929043946</v>
      </c>
      <c r="CT67" s="21">
        <v>1.8513403996978426</v>
      </c>
      <c r="CU67" s="21">
        <v>1.8520479922958522</v>
      </c>
      <c r="CV67" s="21">
        <v>1.852786049023911</v>
      </c>
      <c r="CW67" s="21">
        <v>1.88116166940256</v>
      </c>
      <c r="CX67" s="21">
        <v>1.881130707999706</v>
      </c>
      <c r="CY67" s="21">
        <v>1.8811011819449386</v>
      </c>
      <c r="CZ67" s="21">
        <v>1.881072981359752</v>
      </c>
      <c r="DA67" s="21">
        <v>1.8810460085168712</v>
      </c>
      <c r="DB67" s="21"/>
      <c r="DC67" s="21"/>
      <c r="DE67" s="16" t="s">
        <v>3</v>
      </c>
      <c r="DF67" s="21">
        <v>1.7719261537010669</v>
      </c>
      <c r="DG67" s="21">
        <v>1.7903768218365752</v>
      </c>
      <c r="DH67" s="21">
        <v>1.7948068064955516</v>
      </c>
      <c r="DI67" s="21">
        <v>1.7931373305570102</v>
      </c>
      <c r="DJ67" s="21">
        <v>1.7916198541998831</v>
      </c>
      <c r="DK67" s="21">
        <v>1.7902234111849815</v>
      </c>
      <c r="DL67" s="21">
        <v>1.7436869244750781</v>
      </c>
      <c r="DM67" s="21">
        <v>1.7562678176370035</v>
      </c>
      <c r="DN67" s="21">
        <v>1.7719749129856994</v>
      </c>
      <c r="DO67" s="21">
        <v>1.7902031607982523</v>
      </c>
      <c r="DP67" s="21">
        <v>1.8103832007497016</v>
      </c>
      <c r="DQ67" s="21">
        <v>1.8304124945151279</v>
      </c>
      <c r="DR67" s="21">
        <v>1.7331465125734462</v>
      </c>
      <c r="DS67" s="21">
        <v>1.7424941442421122</v>
      </c>
      <c r="DT67" s="21">
        <v>1.7553626782953702</v>
      </c>
      <c r="DU67" s="21">
        <v>1.7712754959049726</v>
      </c>
      <c r="DV67" s="21">
        <v>1.7889350878491548</v>
      </c>
      <c r="DW67" s="21">
        <v>1.805598264963105</v>
      </c>
      <c r="DX67" s="21">
        <v>1.7279727317070745</v>
      </c>
      <c r="DY67" s="21">
        <v>1.7340865642305694</v>
      </c>
      <c r="DZ67" s="21">
        <v>1.7418770729586635</v>
      </c>
      <c r="EA67" s="21">
        <v>1.7523235469487652</v>
      </c>
      <c r="EB67" s="21">
        <v>1.76490826827759</v>
      </c>
      <c r="EC67" s="21">
        <v>1.7797711163047834</v>
      </c>
    </row>
    <row r="68" spans="1:133" ht="12.75">
      <c r="A68" t="s">
        <v>250</v>
      </c>
      <c r="B68" s="182">
        <f>(0.64-0.3*e)/2</f>
        <v>0.22000000000000003</v>
      </c>
      <c r="C68" s="7"/>
      <c r="D68" s="7"/>
      <c r="E68" s="7"/>
      <c r="J68" s="166">
        <f>B132</f>
        <v>3.915460217531353</v>
      </c>
      <c r="K68" s="16" t="str">
        <f>A132</f>
        <v>P_Brem[MW]</v>
      </c>
      <c r="L68" s="19">
        <v>1.0467631573200478</v>
      </c>
      <c r="M68" s="19">
        <v>8.89972620299132</v>
      </c>
      <c r="N68" s="19">
        <v>69.1942882187363</v>
      </c>
      <c r="O68" s="19">
        <v>70.59124942103236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6" t="str">
        <f t="shared" si="4"/>
        <v>P_Brem[MW]</v>
      </c>
      <c r="AE68" s="19">
        <v>0.9531674625562422</v>
      </c>
      <c r="AF68" s="19">
        <v>8.89972620299132</v>
      </c>
      <c r="AG68" s="19">
        <v>69.1942882187363</v>
      </c>
      <c r="AH68" s="19">
        <v>70.59124942103236</v>
      </c>
      <c r="AI68" s="19">
        <v>51.41739427637763</v>
      </c>
      <c r="AJ68" s="19">
        <v>0.9531674625562422</v>
      </c>
      <c r="AK68" s="19">
        <v>8.89972620299132</v>
      </c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X68" s="16" t="str">
        <f t="shared" si="5"/>
        <v>P_Brem[MW]</v>
      </c>
      <c r="AY68" s="19">
        <v>0.8735350788770281</v>
      </c>
      <c r="AZ68" s="19">
        <v>1.1441325678582683</v>
      </c>
      <c r="BA68" s="19">
        <v>1.4642329664846827</v>
      </c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>
        <v>1.03700073104004</v>
      </c>
      <c r="BR68" s="16" t="str">
        <f t="shared" si="6"/>
        <v>P_Brem[MW]</v>
      </c>
      <c r="BS68" s="19">
        <v>1.9753473634754797</v>
      </c>
      <c r="BT68" s="19">
        <v>2.7185703195008672</v>
      </c>
      <c r="BU68" s="19">
        <v>3.5994984455659007</v>
      </c>
      <c r="BV68" s="19">
        <v>1.822818413804058</v>
      </c>
      <c r="BW68" s="19">
        <v>2.562591746641625</v>
      </c>
      <c r="BX68" s="19">
        <v>3.3827250062551735</v>
      </c>
      <c r="BY68" s="19">
        <v>1.702353307336424</v>
      </c>
      <c r="BZ68" s="19">
        <v>2.3150110940072888</v>
      </c>
      <c r="CA68" s="19">
        <v>3.10119187960308</v>
      </c>
      <c r="CB68" s="19">
        <v>1.5596185636696227</v>
      </c>
      <c r="CC68" s="19">
        <v>2.129457309124305</v>
      </c>
      <c r="CD68" s="19">
        <v>2.8066668316060848</v>
      </c>
      <c r="CE68" s="19">
        <v>1.4292811136602628</v>
      </c>
      <c r="CF68" s="19">
        <v>1.9639566821098036</v>
      </c>
      <c r="CG68" s="19">
        <v>2.5964691509684665</v>
      </c>
      <c r="CH68" s="19">
        <v>1.3106272022252548</v>
      </c>
      <c r="CI68" s="19">
        <v>1.8128271950175898</v>
      </c>
      <c r="CJ68" s="19">
        <v>2.408756535499039</v>
      </c>
      <c r="CL68" s="16" t="str">
        <f t="shared" si="7"/>
        <v>P_Brem[MW]</v>
      </c>
      <c r="CM68" s="19">
        <v>89.9822706073208</v>
      </c>
      <c r="CN68" s="19">
        <v>88.52979892059024</v>
      </c>
      <c r="CO68" s="19">
        <v>87.34888631721155</v>
      </c>
      <c r="CP68" s="19">
        <v>85.42716336372598</v>
      </c>
      <c r="CQ68" s="19">
        <v>84.34583766381648</v>
      </c>
      <c r="CR68" s="19">
        <v>79.24758542476975</v>
      </c>
      <c r="CS68" s="19">
        <v>93.11055645011666</v>
      </c>
      <c r="CT68" s="19">
        <v>92.19399543184745</v>
      </c>
      <c r="CU68" s="19">
        <v>90.91360532078168</v>
      </c>
      <c r="CV68" s="19">
        <v>89.7672529497206</v>
      </c>
      <c r="CW68" s="19">
        <v>84.81380562393508</v>
      </c>
      <c r="CX68" s="19">
        <v>84.7533691978735</v>
      </c>
      <c r="CY68" s="19">
        <v>84.69971311791821</v>
      </c>
      <c r="CZ68" s="19">
        <v>84.65215682887182</v>
      </c>
      <c r="DA68" s="19">
        <v>84.61010311704953</v>
      </c>
      <c r="DB68" s="19"/>
      <c r="DC68" s="19"/>
      <c r="DE68" s="16" t="s">
        <v>219</v>
      </c>
      <c r="DF68" s="19">
        <v>2.0750492467118176</v>
      </c>
      <c r="DG68" s="19">
        <v>3.161705261973701</v>
      </c>
      <c r="DH68" s="19">
        <v>3.563314431601355</v>
      </c>
      <c r="DI68" s="19">
        <v>3.293729718513776</v>
      </c>
      <c r="DJ68" s="19">
        <v>3.0598582019958656</v>
      </c>
      <c r="DK68" s="19">
        <v>2.8552910167537418</v>
      </c>
      <c r="DL68" s="19">
        <v>6.52617328675846</v>
      </c>
      <c r="DM68" s="19">
        <v>9.462565858182481</v>
      </c>
      <c r="DN68" s="19">
        <v>13.02003769299223</v>
      </c>
      <c r="DO68" s="19">
        <v>17.29873934910368</v>
      </c>
      <c r="DP68" s="19">
        <v>22.440615760495245</v>
      </c>
      <c r="DQ68" s="19">
        <v>28.077286532645953</v>
      </c>
      <c r="DR68" s="19">
        <v>13.36540167503897</v>
      </c>
      <c r="DS68" s="19">
        <v>19.060356905188662</v>
      </c>
      <c r="DT68" s="19">
        <v>25.53586512288152</v>
      </c>
      <c r="DU68" s="19">
        <v>32.83294009155582</v>
      </c>
      <c r="DV68" s="19">
        <v>40.722586845942786</v>
      </c>
      <c r="DW68" s="19">
        <v>48.15205752628217</v>
      </c>
      <c r="DX68" s="19">
        <v>22.031708272664094</v>
      </c>
      <c r="DY68" s="19">
        <v>29.860492860877358</v>
      </c>
      <c r="DZ68" s="19">
        <v>36.98315263868004</v>
      </c>
      <c r="EA68" s="19">
        <v>44.837655366374435</v>
      </c>
      <c r="EB68" s="19">
        <v>53.275052833529905</v>
      </c>
      <c r="EC68" s="19">
        <v>62.44388658341895</v>
      </c>
    </row>
    <row r="69" spans="1:133" ht="12.75">
      <c r="A69" t="s">
        <v>106</v>
      </c>
      <c r="B69" s="182">
        <f>B68</f>
        <v>0.22000000000000003</v>
      </c>
      <c r="C69" s="7"/>
      <c r="D69" s="7"/>
      <c r="E69" s="7"/>
      <c r="J69" s="166">
        <f>B217</f>
        <v>19.380640481465424</v>
      </c>
      <c r="K69" s="19" t="str">
        <f>A217</f>
        <v>P_rad_core[MW]</v>
      </c>
      <c r="L69" s="19">
        <v>7.657001039377708</v>
      </c>
      <c r="M69" s="19">
        <v>15.359952998970748</v>
      </c>
      <c r="N69" s="19">
        <v>41.98244148950065</v>
      </c>
      <c r="O69" s="19">
        <v>119.03745485295882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6" t="str">
        <f t="shared" si="4"/>
        <v>P_rad_core[MW]</v>
      </c>
      <c r="AE69" s="19">
        <v>7.341949380327719</v>
      </c>
      <c r="AF69" s="19">
        <v>15.359952998970748</v>
      </c>
      <c r="AG69" s="19">
        <v>41.98244148950065</v>
      </c>
      <c r="AH69" s="19">
        <v>119.03745485295882</v>
      </c>
      <c r="AI69" s="19">
        <v>81.39588685191987</v>
      </c>
      <c r="AJ69" s="19">
        <v>7.341949380327719</v>
      </c>
      <c r="AK69" s="19">
        <v>15.359952998970748</v>
      </c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X69" s="16" t="str">
        <f t="shared" si="5"/>
        <v>P_rad_core[MW]</v>
      </c>
      <c r="AY69" s="19">
        <v>5.018388884892142</v>
      </c>
      <c r="AZ69" s="19">
        <v>5.614665353008404</v>
      </c>
      <c r="BA69" s="19">
        <v>6.220788613037119</v>
      </c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>
        <v>5.073159144608294</v>
      </c>
      <c r="BR69" s="16" t="str">
        <f t="shared" si="6"/>
        <v>P_rad_core[MW]</v>
      </c>
      <c r="BS69" s="19">
        <v>8.788318590961795</v>
      </c>
      <c r="BT69" s="19">
        <v>9.171385327406737</v>
      </c>
      <c r="BU69" s="19">
        <v>10.246807180779115</v>
      </c>
      <c r="BV69" s="19">
        <v>7.421092691730479</v>
      </c>
      <c r="BW69" s="19">
        <v>8.522210258104423</v>
      </c>
      <c r="BX69" s="19">
        <v>9.619480495469375</v>
      </c>
      <c r="BY69" s="19">
        <v>6.992166233724577</v>
      </c>
      <c r="BZ69" s="19">
        <v>8.031521328494506</v>
      </c>
      <c r="CA69" s="19">
        <v>9.179353858436391</v>
      </c>
      <c r="CB69" s="19">
        <v>6.704155572547446</v>
      </c>
      <c r="CC69" s="19">
        <v>7.709325328167399</v>
      </c>
      <c r="CD69" s="19">
        <v>8.728885262010131</v>
      </c>
      <c r="CE69" s="19">
        <v>6.4443561557051865</v>
      </c>
      <c r="CF69" s="19">
        <v>7.427391772812438</v>
      </c>
      <c r="CG69" s="19">
        <v>8.416134095971442</v>
      </c>
      <c r="CH69" s="19">
        <v>6.206848366781812</v>
      </c>
      <c r="CI69" s="19">
        <v>7.170152143712897</v>
      </c>
      <c r="CJ69" s="19">
        <v>8.138744882694983</v>
      </c>
      <c r="CL69" s="16" t="str">
        <f t="shared" si="7"/>
        <v>P_rad_core[MW]</v>
      </c>
      <c r="CM69" s="19">
        <v>37.96949660779517</v>
      </c>
      <c r="CN69" s="19">
        <v>39.086716254986975</v>
      </c>
      <c r="CO69" s="19">
        <v>40.029981145723255</v>
      </c>
      <c r="CP69" s="19">
        <v>41.638894363135165</v>
      </c>
      <c r="CQ69" s="19">
        <v>42.81150797805336</v>
      </c>
      <c r="CR69" s="19">
        <v>39.12388019977855</v>
      </c>
      <c r="CS69" s="19">
        <v>37.48760241829657</v>
      </c>
      <c r="CT69" s="19">
        <v>37.5670116290146</v>
      </c>
      <c r="CU69" s="19">
        <v>37.789678816447214</v>
      </c>
      <c r="CV69" s="19">
        <v>38.027153398981056</v>
      </c>
      <c r="CW69" s="19">
        <v>47.55219095065177</v>
      </c>
      <c r="CX69" s="19">
        <v>47.55048597470035</v>
      </c>
      <c r="CY69" s="19">
        <v>47.55123909430092</v>
      </c>
      <c r="CZ69" s="19">
        <v>47.554168952874555</v>
      </c>
      <c r="DA69" s="19">
        <v>47.559031425543566</v>
      </c>
      <c r="DB69" s="19"/>
      <c r="DC69" s="19"/>
      <c r="DE69" s="16" t="s">
        <v>153</v>
      </c>
      <c r="DF69" s="19">
        <v>9.035477714143985</v>
      </c>
      <c r="DG69" s="19">
        <v>11.014077890804856</v>
      </c>
      <c r="DH69" s="19">
        <v>10.44782242856807</v>
      </c>
      <c r="DI69" s="19">
        <v>10.005409370957075</v>
      </c>
      <c r="DJ69" s="19">
        <v>9.611101794720291</v>
      </c>
      <c r="DK69" s="19">
        <v>9.256449127218904</v>
      </c>
      <c r="DL69" s="19">
        <v>12.270039680657563</v>
      </c>
      <c r="DM69" s="19">
        <v>15.2210134953032</v>
      </c>
      <c r="DN69" s="19">
        <v>18.445523875269505</v>
      </c>
      <c r="DO69" s="19">
        <v>21.969570205636618</v>
      </c>
      <c r="DP69" s="19">
        <v>25.823204131343676</v>
      </c>
      <c r="DQ69" s="19">
        <v>29.7094003612137</v>
      </c>
      <c r="DR69" s="19">
        <v>12.956576059811667</v>
      </c>
      <c r="DS69" s="19">
        <v>15.57333180713448</v>
      </c>
      <c r="DT69" s="19">
        <v>18.31736827737522</v>
      </c>
      <c r="DU69" s="19">
        <v>21.249730935805502</v>
      </c>
      <c r="DV69" s="19">
        <v>24.31850746810261</v>
      </c>
      <c r="DW69" s="19">
        <v>27.208775357240498</v>
      </c>
      <c r="DX69" s="19">
        <v>12.84918088593323</v>
      </c>
      <c r="DY69" s="19">
        <v>14.642198691453723</v>
      </c>
      <c r="DZ69" s="19">
        <v>15.978727817573455</v>
      </c>
      <c r="EA69" s="19">
        <v>17.318995341684822</v>
      </c>
      <c r="EB69" s="19">
        <v>18.811951329727158</v>
      </c>
      <c r="EC69" s="19">
        <v>20.309052041544074</v>
      </c>
    </row>
    <row r="70" spans="1:133" ht="12.75">
      <c r="A70" t="s">
        <v>34</v>
      </c>
      <c r="B70" s="209">
        <f>IF(Mode="CTF",F70,IF(Mode="DEMO",G70,IF(Mode="NSTX",D70,IF(Mode="NSST",E70,IF(Mode="REACTOR",H70,IF(Mode="ARIES",I70,"Error"))))))</f>
        <v>0.1</v>
      </c>
      <c r="C70" s="157"/>
      <c r="D70" s="157">
        <v>0.1</v>
      </c>
      <c r="E70" s="157">
        <v>0.1</v>
      </c>
      <c r="F70" s="157">
        <v>0.1</v>
      </c>
      <c r="G70" s="157">
        <v>0.1</v>
      </c>
      <c r="H70" s="157">
        <v>0.1</v>
      </c>
      <c r="I70" s="160">
        <v>0.23</v>
      </c>
      <c r="J70" s="166">
        <f>B92</f>
        <v>39.51683605702496</v>
      </c>
      <c r="K70" s="16" t="str">
        <f>A92</f>
        <v>P_aux[MW]</v>
      </c>
      <c r="L70" s="19">
        <v>24.006311339182083</v>
      </c>
      <c r="M70" s="19">
        <v>24.397664546058955</v>
      </c>
      <c r="N70" s="19">
        <v>13.844863717163115</v>
      </c>
      <c r="O70" s="19">
        <v>26.940038468613746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6" t="str">
        <f t="shared" si="4"/>
        <v>P_aux[MW]</v>
      </c>
      <c r="AE70" s="19">
        <v>22.337457512588134</v>
      </c>
      <c r="AF70" s="19">
        <v>24.397664546058955</v>
      </c>
      <c r="AG70" s="19">
        <v>13.844863717163115</v>
      </c>
      <c r="AH70" s="19">
        <v>26.940038468613746</v>
      </c>
      <c r="AI70" s="19">
        <v>12.122730795484168</v>
      </c>
      <c r="AJ70" s="19">
        <v>22.337457512588134</v>
      </c>
      <c r="AK70" s="19">
        <v>24.397664546058955</v>
      </c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X70" s="16" t="str">
        <f t="shared" si="5"/>
        <v>P_aux[MW]</v>
      </c>
      <c r="AY70" s="19">
        <v>15.338122792421482</v>
      </c>
      <c r="AZ70" s="19">
        <v>16.339818492408853</v>
      </c>
      <c r="BA70" s="19">
        <v>17.242719171812727</v>
      </c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>
        <v>14.693939112147868</v>
      </c>
      <c r="BR70" s="16" t="str">
        <f t="shared" si="6"/>
        <v>P_aux[MW]</v>
      </c>
      <c r="BS70" s="19">
        <v>24.662227239477478</v>
      </c>
      <c r="BT70" s="19">
        <v>22.82021445552444</v>
      </c>
      <c r="BU70" s="19">
        <v>24.182620430706287</v>
      </c>
      <c r="BV70" s="19">
        <v>19.172607195270874</v>
      </c>
      <c r="BW70" s="19">
        <v>20.927819594318358</v>
      </c>
      <c r="BX70" s="19">
        <v>22.555465034618898</v>
      </c>
      <c r="BY70" s="19">
        <v>17.894528238422822</v>
      </c>
      <c r="BZ70" s="19">
        <v>19.83396548492041</v>
      </c>
      <c r="CA70" s="19">
        <v>21.70800900644804</v>
      </c>
      <c r="CB70" s="19">
        <v>17.162819240146135</v>
      </c>
      <c r="CC70" s="19">
        <v>19.115394956454786</v>
      </c>
      <c r="CD70" s="19">
        <v>20.867794539924514</v>
      </c>
      <c r="CE70" s="19">
        <v>16.491213856847427</v>
      </c>
      <c r="CF70" s="19">
        <v>18.47285431415765</v>
      </c>
      <c r="CG70" s="19">
        <v>20.24915978783811</v>
      </c>
      <c r="CH70" s="19">
        <v>15.86226601553997</v>
      </c>
      <c r="CI70" s="19">
        <v>17.8719246294797</v>
      </c>
      <c r="CJ70" s="19">
        <v>19.684766132567923</v>
      </c>
      <c r="CL70" s="16" t="str">
        <f t="shared" si="7"/>
        <v>P_aux[MW]</v>
      </c>
      <c r="CM70" s="19">
        <v>13.52848390124632</v>
      </c>
      <c r="CN70" s="19">
        <v>13.142167693289245</v>
      </c>
      <c r="CO70" s="19">
        <v>12.819114508548457</v>
      </c>
      <c r="CP70" s="19">
        <v>12.410742242851324</v>
      </c>
      <c r="CQ70" s="19">
        <v>12.130239913431124</v>
      </c>
      <c r="CR70" s="19">
        <v>14.606633386995561</v>
      </c>
      <c r="CS70" s="19">
        <v>13.690228769353588</v>
      </c>
      <c r="CT70" s="19">
        <v>13.610746024900072</v>
      </c>
      <c r="CU70" s="19">
        <v>13.485309031129384</v>
      </c>
      <c r="CV70" s="19">
        <v>13.370709393820261</v>
      </c>
      <c r="CW70" s="19">
        <v>12.404112399291124</v>
      </c>
      <c r="CX70" s="19">
        <v>12.40861790844495</v>
      </c>
      <c r="CY70" s="19">
        <v>12.413271462221942</v>
      </c>
      <c r="CZ70" s="19">
        <v>12.418049536572235</v>
      </c>
      <c r="DA70" s="19">
        <v>12.422931711613577</v>
      </c>
      <c r="DB70" s="19"/>
      <c r="DC70" s="19"/>
      <c r="DE70" s="16" t="s">
        <v>197</v>
      </c>
      <c r="DF70" s="19">
        <v>25.433481561605443</v>
      </c>
      <c r="DG70" s="19">
        <v>27.657685431485145</v>
      </c>
      <c r="DH70" s="19">
        <v>24.93599060865626</v>
      </c>
      <c r="DI70" s="19">
        <v>24.434588556654045</v>
      </c>
      <c r="DJ70" s="19">
        <v>23.954842869670195</v>
      </c>
      <c r="DK70" s="19">
        <v>23.49931147186363</v>
      </c>
      <c r="DL70" s="19">
        <v>43.40524586105566</v>
      </c>
      <c r="DM70" s="19">
        <v>46.886281150985724</v>
      </c>
      <c r="DN70" s="19">
        <v>47.80721259630164</v>
      </c>
      <c r="DO70" s="19">
        <v>46.62571545136026</v>
      </c>
      <c r="DP70" s="19">
        <v>43.947918043612255</v>
      </c>
      <c r="DQ70" s="19">
        <v>40.806504415395686</v>
      </c>
      <c r="DR70" s="19">
        <v>58.08947654944979</v>
      </c>
      <c r="DS70" s="19">
        <v>62.40492440423393</v>
      </c>
      <c r="DT70" s="19">
        <v>62.109996865503305</v>
      </c>
      <c r="DU70" s="19">
        <v>57.711262146276596</v>
      </c>
      <c r="DV70" s="19">
        <v>50.31568485543751</v>
      </c>
      <c r="DW70" s="19">
        <v>42.06121784087092</v>
      </c>
      <c r="DX70" s="19">
        <v>70.61323265573775</v>
      </c>
      <c r="DY70" s="19">
        <v>76.15220141204811</v>
      </c>
      <c r="DZ70" s="19">
        <v>76.35026350568805</v>
      </c>
      <c r="EA70" s="19">
        <v>73.08058523228976</v>
      </c>
      <c r="EB70" s="19">
        <v>67.28062778961839</v>
      </c>
      <c r="EC70" s="19">
        <v>58.564714968238206</v>
      </c>
    </row>
    <row r="71" spans="1:133" ht="12.75">
      <c r="A71" t="s">
        <v>63</v>
      </c>
      <c r="B71" s="209">
        <f>IF(Mode="CTF",F71,IF(Mode="DEMO",G71,IF(Mode="NSTX",D71,IF(Mode="NSST",E71,IF(Mode="REACTOR",H71,IF(Mode="ARIES",I71,"Error"))))))</f>
        <v>1</v>
      </c>
      <c r="D71" s="157">
        <v>1</v>
      </c>
      <c r="E71" s="157">
        <v>1</v>
      </c>
      <c r="F71" s="157">
        <v>1</v>
      </c>
      <c r="G71" s="157">
        <v>1</v>
      </c>
      <c r="H71" s="157">
        <v>1</v>
      </c>
      <c r="I71" s="160">
        <v>0.14</v>
      </c>
      <c r="J71" s="1">
        <f>E_nbi</f>
        <v>274.5888540965522</v>
      </c>
      <c r="K71" s="19" t="str">
        <f>A117</f>
        <v>E_nbi[keV]</v>
      </c>
      <c r="L71" s="19">
        <v>119.99999999507428</v>
      </c>
      <c r="M71" s="19">
        <v>327.9163998936031</v>
      </c>
      <c r="N71" s="19">
        <v>708.0042316008156</v>
      </c>
      <c r="O71" s="19">
        <v>638.1365856346857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6" t="str">
        <f t="shared" si="4"/>
        <v>E_nbi[keV]</v>
      </c>
      <c r="AE71" s="19">
        <v>119.99999999936593</v>
      </c>
      <c r="AF71" s="19">
        <v>327.9163998936031</v>
      </c>
      <c r="AG71" s="19">
        <v>708.0042316008156</v>
      </c>
      <c r="AH71" s="19">
        <v>638.1365856346857</v>
      </c>
      <c r="AI71" s="19">
        <v>536.0577455476649</v>
      </c>
      <c r="AJ71" s="19">
        <v>119.99999999936593</v>
      </c>
      <c r="AK71" s="19">
        <v>327.9163998936031</v>
      </c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X71" s="16" t="str">
        <f t="shared" si="5"/>
        <v>E_nbi[keV]</v>
      </c>
      <c r="AY71" s="19">
        <v>114.888698717393</v>
      </c>
      <c r="AZ71" s="19">
        <v>123.85471060380613</v>
      </c>
      <c r="BA71" s="19">
        <v>132.7417411631202</v>
      </c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>
        <v>135.6302809441991</v>
      </c>
      <c r="BR71" s="16" t="str">
        <f t="shared" si="6"/>
        <v>E_nbi[keV]</v>
      </c>
      <c r="BS71" s="19">
        <v>173.87828569420037</v>
      </c>
      <c r="BT71" s="19">
        <v>185.56894786401446</v>
      </c>
      <c r="BU71" s="19">
        <v>202.43891312349</v>
      </c>
      <c r="BV71" s="19">
        <v>167.95758234769326</v>
      </c>
      <c r="BW71" s="19">
        <v>187.57143070851853</v>
      </c>
      <c r="BX71" s="19">
        <v>204.5198733835917</v>
      </c>
      <c r="BY71" s="19">
        <v>168.73750961725398</v>
      </c>
      <c r="BZ71" s="19">
        <v>185.77426005046738</v>
      </c>
      <c r="CA71" s="19">
        <v>204.02697305993865</v>
      </c>
      <c r="CB71" s="19">
        <v>167.92115000941735</v>
      </c>
      <c r="CC71" s="19">
        <v>185.22390402901252</v>
      </c>
      <c r="CD71" s="19">
        <v>201.8684524691543</v>
      </c>
      <c r="CE71" s="19">
        <v>166.808564775247</v>
      </c>
      <c r="CF71" s="19">
        <v>184.54447952632694</v>
      </c>
      <c r="CG71" s="19">
        <v>201.4137187736056</v>
      </c>
      <c r="CH71" s="19">
        <v>165.45858498262047</v>
      </c>
      <c r="CI71" s="19">
        <v>183.61473193400337</v>
      </c>
      <c r="CJ71" s="19">
        <v>200.86918974350144</v>
      </c>
      <c r="CL71" s="16" t="str">
        <f t="shared" si="7"/>
        <v>E_nbi[keV]</v>
      </c>
      <c r="CM71" s="19">
        <v>748.2800702919665</v>
      </c>
      <c r="CN71" s="19">
        <v>767.4832754600894</v>
      </c>
      <c r="CO71" s="19">
        <v>786.8340135563244</v>
      </c>
      <c r="CP71" s="19">
        <v>796.4447756356632</v>
      </c>
      <c r="CQ71" s="19">
        <v>810.7550861925085</v>
      </c>
      <c r="CR71" s="19">
        <v>825.2123462642082</v>
      </c>
      <c r="CS71" s="19">
        <v>798.9506775245467</v>
      </c>
      <c r="CT71" s="19">
        <v>776.3100183943486</v>
      </c>
      <c r="CU71" s="19">
        <v>752.5227810645856</v>
      </c>
      <c r="CV71" s="19">
        <v>730.598041773921</v>
      </c>
      <c r="CW71" s="19">
        <v>649.5310251576784</v>
      </c>
      <c r="CX71" s="19">
        <v>637.189304044322</v>
      </c>
      <c r="CY71" s="19">
        <v>625.5348826559062</v>
      </c>
      <c r="CZ71" s="19">
        <v>614.5065251598355</v>
      </c>
      <c r="DA71" s="19">
        <v>604.05033857978</v>
      </c>
      <c r="DB71" s="19"/>
      <c r="DC71" s="19"/>
      <c r="DE71" s="16" t="s">
        <v>217</v>
      </c>
      <c r="DF71" s="19">
        <v>178.86771637511447</v>
      </c>
      <c r="DG71" s="19">
        <v>200.37402608486312</v>
      </c>
      <c r="DH71" s="19">
        <v>201.77567506819776</v>
      </c>
      <c r="DI71" s="19">
        <v>186.93892885331434</v>
      </c>
      <c r="DJ71" s="19">
        <v>174.11598803622525</v>
      </c>
      <c r="DK71" s="19">
        <v>162.92731585569513</v>
      </c>
      <c r="DL71" s="19">
        <v>351.6895863883167</v>
      </c>
      <c r="DM71" s="19">
        <v>384.52132946461285</v>
      </c>
      <c r="DN71" s="19">
        <v>413.5026619250529</v>
      </c>
      <c r="DO71" s="19">
        <v>440.15124382734126</v>
      </c>
      <c r="DP71" s="19">
        <v>465.61423440621274</v>
      </c>
      <c r="DQ71" s="19">
        <v>487.1052880979825</v>
      </c>
      <c r="DR71" s="19">
        <v>542.5437471312091</v>
      </c>
      <c r="DS71" s="19">
        <v>589.3865835677686</v>
      </c>
      <c r="DT71" s="19">
        <v>626.9067785789829</v>
      </c>
      <c r="DU71" s="19">
        <v>658.1015029399927</v>
      </c>
      <c r="DV71" s="19">
        <v>683.0812853677995</v>
      </c>
      <c r="DW71" s="19">
        <v>697.9455638816974</v>
      </c>
      <c r="DX71" s="19">
        <v>742.8239121005622</v>
      </c>
      <c r="DY71" s="19">
        <v>791.173387319596</v>
      </c>
      <c r="DZ71" s="19">
        <v>816.4456164405673</v>
      </c>
      <c r="EA71" s="19">
        <v>838.221381559078</v>
      </c>
      <c r="EB71" s="19">
        <v>856.1790412157562</v>
      </c>
      <c r="EC71" s="19">
        <v>871.896605169572</v>
      </c>
    </row>
    <row r="72" spans="1:133" ht="12.75">
      <c r="A72" t="s">
        <v>64</v>
      </c>
      <c r="B72" s="209">
        <f>IF(Mode="CTF",F72,IF(Mode="DEMO",G72,IF(Mode="NSTX",D72,IF(Mode="NSST",E72,IF(Mode="REACTOR",H72,IF(Mode="ARIES",I72,"Error"))))))</f>
        <v>0.4</v>
      </c>
      <c r="D72" s="157">
        <v>0.4</v>
      </c>
      <c r="E72" s="157">
        <v>0.4</v>
      </c>
      <c r="F72" s="157">
        <v>0.4</v>
      </c>
      <c r="G72" s="157">
        <v>0.4</v>
      </c>
      <c r="H72" s="157">
        <v>0.4</v>
      </c>
      <c r="I72" s="160">
        <v>0.14</v>
      </c>
      <c r="J72" s="166">
        <f>B93</f>
        <v>306.5091370574636</v>
      </c>
      <c r="K72" s="16" t="str">
        <f>A93</f>
        <v>P_fusion[MW]</v>
      </c>
      <c r="L72" s="19">
        <v>76.6272842642872</v>
      </c>
      <c r="M72" s="19">
        <v>306.50913705714913</v>
      </c>
      <c r="N72" s="19">
        <v>1326.3081597425066</v>
      </c>
      <c r="O72" s="19">
        <v>3194.1924275593447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6" t="str">
        <f t="shared" si="4"/>
        <v>P_fusion[MW]</v>
      </c>
      <c r="AE72" s="19">
        <v>76.62728426428723</v>
      </c>
      <c r="AF72" s="19">
        <v>306.50913705714913</v>
      </c>
      <c r="AG72" s="19">
        <v>1326.3081597425066</v>
      </c>
      <c r="AH72" s="19">
        <v>3194.1924275593447</v>
      </c>
      <c r="AI72" s="19">
        <v>2231.37048869886</v>
      </c>
      <c r="AJ72" s="19">
        <v>76.62728426428723</v>
      </c>
      <c r="AK72" s="19">
        <v>306.50913705714913</v>
      </c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X72" s="16" t="str">
        <f t="shared" si="5"/>
        <v>P_fusion[MW]</v>
      </c>
      <c r="AY72" s="19">
        <v>53.136783312935606</v>
      </c>
      <c r="AZ72" s="19">
        <v>64.38820413874139</v>
      </c>
      <c r="BA72" s="19">
        <v>76.62728426428662</v>
      </c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>
        <v>58.54428671035729</v>
      </c>
      <c r="BR72" s="16" t="str">
        <f t="shared" si="6"/>
        <v>P_fusion[MW]</v>
      </c>
      <c r="BS72" s="19">
        <v>106.27356662608149</v>
      </c>
      <c r="BT72" s="19">
        <v>128.77640827748323</v>
      </c>
      <c r="BU72" s="19">
        <v>153.25456852857428</v>
      </c>
      <c r="BV72" s="19">
        <v>98.77837349817034</v>
      </c>
      <c r="BW72" s="19">
        <v>121.22911738813816</v>
      </c>
      <c r="BX72" s="19">
        <v>144.62331224486806</v>
      </c>
      <c r="BY72" s="19">
        <v>93.84328118772835</v>
      </c>
      <c r="BZ72" s="19">
        <v>113.19326125386209</v>
      </c>
      <c r="CA72" s="19">
        <v>136.44976078481173</v>
      </c>
      <c r="CB72" s="19">
        <v>89.58788515407126</v>
      </c>
      <c r="CC72" s="19">
        <v>107.8034449652573</v>
      </c>
      <c r="CD72" s="19">
        <v>127.9164932873233</v>
      </c>
      <c r="CE72" s="19">
        <v>85.79924016259932</v>
      </c>
      <c r="CF72" s="19">
        <v>103.14030616005151</v>
      </c>
      <c r="CG72" s="19">
        <v>122.13989826419457</v>
      </c>
      <c r="CH72" s="19">
        <v>82.41301415287417</v>
      </c>
      <c r="CI72" s="19">
        <v>98.95831635645499</v>
      </c>
      <c r="CJ72" s="19">
        <v>117.0885734207148</v>
      </c>
      <c r="CL72" s="16" t="str">
        <f t="shared" si="7"/>
        <v>P_fusion[MW]</v>
      </c>
      <c r="CM72" s="19">
        <v>1331.506348725253</v>
      </c>
      <c r="CN72" s="19">
        <v>1354.1060625110422</v>
      </c>
      <c r="CO72" s="19">
        <v>1373.3983876863967</v>
      </c>
      <c r="CP72" s="19">
        <v>1406.0544646827555</v>
      </c>
      <c r="CQ72" s="19">
        <v>1431.3656882032462</v>
      </c>
      <c r="CR72" s="19">
        <v>1301.3017573943393</v>
      </c>
      <c r="CS72" s="19">
        <v>1334.2916988613322</v>
      </c>
      <c r="CT72" s="19">
        <v>1332.0915377601004</v>
      </c>
      <c r="CU72" s="19">
        <v>1331.883451859438</v>
      </c>
      <c r="CV72" s="19">
        <v>1332.661530574141</v>
      </c>
      <c r="CW72" s="19">
        <v>1550.853239889513</v>
      </c>
      <c r="CX72" s="19">
        <v>1550.485904004593</v>
      </c>
      <c r="CY72" s="19">
        <v>1550.2131844280782</v>
      </c>
      <c r="CZ72" s="19">
        <v>1550.0247480016121</v>
      </c>
      <c r="DA72" s="19">
        <v>1549.9116417568866</v>
      </c>
      <c r="DB72" s="19"/>
      <c r="DC72" s="19"/>
      <c r="DE72" s="16" t="s">
        <v>198</v>
      </c>
      <c r="DF72" s="19">
        <v>109.09478127936069</v>
      </c>
      <c r="DG72" s="19">
        <v>152.87204711842014</v>
      </c>
      <c r="DH72" s="19">
        <v>154.33217711456126</v>
      </c>
      <c r="DI72" s="19">
        <v>144.43094008322797</v>
      </c>
      <c r="DJ72" s="19">
        <v>135.80262084908685</v>
      </c>
      <c r="DK72" s="19">
        <v>128.19112614237957</v>
      </c>
      <c r="DL72" s="19">
        <v>122.35562914517283</v>
      </c>
      <c r="DM72" s="19">
        <v>193.40676097962992</v>
      </c>
      <c r="DN72" s="19">
        <v>287.20221940443366</v>
      </c>
      <c r="DO72" s="19">
        <v>402.6043746296346</v>
      </c>
      <c r="DP72" s="19">
        <v>538.0435918762437</v>
      </c>
      <c r="DQ72" s="19">
        <v>679.0889207611403</v>
      </c>
      <c r="DR72" s="19">
        <v>100.2940279738834</v>
      </c>
      <c r="DS72" s="19">
        <v>172.6104595685041</v>
      </c>
      <c r="DT72" s="19">
        <v>275.063548120654</v>
      </c>
      <c r="DU72" s="19">
        <v>406.85166282290265</v>
      </c>
      <c r="DV72" s="19">
        <v>559.9971966550926</v>
      </c>
      <c r="DW72" s="19">
        <v>710.6735823580947</v>
      </c>
      <c r="DX72" s="19">
        <v>78.32190023212588</v>
      </c>
      <c r="DY72" s="19">
        <v>134.59642330298212</v>
      </c>
      <c r="DZ72" s="19">
        <v>202.6326411020315</v>
      </c>
      <c r="EA72" s="19">
        <v>291.7602450218807</v>
      </c>
      <c r="EB72" s="19">
        <v>400.2709068848393</v>
      </c>
      <c r="EC72" s="19">
        <v>527.1221568427983</v>
      </c>
    </row>
    <row r="73" spans="1:133" ht="12.75">
      <c r="A73" t="s">
        <v>35</v>
      </c>
      <c r="B73" s="220">
        <f>(B71+B72)/2</f>
        <v>0.7</v>
      </c>
      <c r="C73" s="157"/>
      <c r="D73" s="7"/>
      <c r="E73" s="7"/>
      <c r="J73" s="166">
        <f>B173</f>
        <v>61.3018265678335</v>
      </c>
      <c r="K73" s="19" t="str">
        <f>A173</f>
        <v>P_alpha[MW]</v>
      </c>
      <c r="L73" s="19">
        <v>15.325457015026508</v>
      </c>
      <c r="M73" s="19">
        <v>61.301826651786094</v>
      </c>
      <c r="N73" s="19">
        <v>265.26163194907645</v>
      </c>
      <c r="O73" s="19">
        <v>638.8384852172127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6" t="str">
        <f t="shared" si="4"/>
        <v>P_alpha[MW]</v>
      </c>
      <c r="AE73" s="19">
        <v>15.325456851606706</v>
      </c>
      <c r="AF73" s="19">
        <v>61.301826651786094</v>
      </c>
      <c r="AG73" s="19">
        <v>265.26163194907645</v>
      </c>
      <c r="AH73" s="19">
        <v>638.8384852172127</v>
      </c>
      <c r="AI73" s="19">
        <v>446.2740977404928</v>
      </c>
      <c r="AJ73" s="19">
        <v>15.325456851606706</v>
      </c>
      <c r="AK73" s="19">
        <v>61.301826651786094</v>
      </c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X73" s="16" t="str">
        <f t="shared" si="5"/>
        <v>P_alpha[MW]</v>
      </c>
      <c r="AY73" s="19">
        <v>10.627356710916255</v>
      </c>
      <c r="AZ73" s="19">
        <v>12.877640840491434</v>
      </c>
      <c r="BA73" s="19">
        <v>15.325456859857553</v>
      </c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>
        <v>11.708857341933633</v>
      </c>
      <c r="BR73" s="16" t="str">
        <f t="shared" si="6"/>
        <v>P_alpha[MW]</v>
      </c>
      <c r="BS73" s="19">
        <v>21.254713078806976</v>
      </c>
      <c r="BT73" s="19">
        <v>25.755282501010107</v>
      </c>
      <c r="BU73" s="19">
        <v>30.65091391875518</v>
      </c>
      <c r="BV73" s="19">
        <v>19.755674677185574</v>
      </c>
      <c r="BW73" s="19">
        <v>24.245823442845378</v>
      </c>
      <c r="BX73" s="19">
        <v>28.92466244898315</v>
      </c>
      <c r="BY73" s="19">
        <v>18.768656237536483</v>
      </c>
      <c r="BZ73" s="19">
        <v>22.638652251559414</v>
      </c>
      <c r="CA73" s="19">
        <v>27.289952165336988</v>
      </c>
      <c r="CB73" s="19">
        <v>17.917577186260715</v>
      </c>
      <c r="CC73" s="19">
        <v>21.560688993506506</v>
      </c>
      <c r="CD73" s="19">
        <v>25.58329860173223</v>
      </c>
      <c r="CE73" s="19">
        <v>17.15984803533877</v>
      </c>
      <c r="CF73" s="19">
        <v>20.628061232014343</v>
      </c>
      <c r="CG73" s="19">
        <v>24.42797984298756</v>
      </c>
      <c r="CH73" s="19">
        <v>16.482603020594347</v>
      </c>
      <c r="CI73" s="19">
        <v>19.79166328410238</v>
      </c>
      <c r="CJ73" s="19">
        <v>23.417714816406022</v>
      </c>
      <c r="CL73" s="16" t="str">
        <f t="shared" si="7"/>
        <v>P_alpha[MW]</v>
      </c>
      <c r="CM73" s="19">
        <v>266.3012697450503</v>
      </c>
      <c r="CN73" s="19">
        <v>270.8212125022358</v>
      </c>
      <c r="CO73" s="19">
        <v>274.67967753727936</v>
      </c>
      <c r="CP73" s="19">
        <v>281.21089293655047</v>
      </c>
      <c r="CQ73" s="19">
        <v>286.2731376406522</v>
      </c>
      <c r="CR73" s="19">
        <v>260.2603530366669</v>
      </c>
      <c r="CS73" s="19">
        <v>266.85833977224587</v>
      </c>
      <c r="CT73" s="19">
        <v>266.41830755202034</v>
      </c>
      <c r="CU73" s="19">
        <v>266.3766903718884</v>
      </c>
      <c r="CV73" s="19">
        <v>266.5323105508056</v>
      </c>
      <c r="CW73" s="19">
        <v>310.1706479779028</v>
      </c>
      <c r="CX73" s="19">
        <v>310.09718116293027</v>
      </c>
      <c r="CY73" s="19">
        <v>310.04263712720086</v>
      </c>
      <c r="CZ73" s="19">
        <v>310.0049520566723</v>
      </c>
      <c r="DA73" s="19">
        <v>309.9823285331538</v>
      </c>
      <c r="DB73" s="19"/>
      <c r="DC73" s="19"/>
      <c r="DE73" s="16" t="s">
        <v>29</v>
      </c>
      <c r="DF73" s="19">
        <v>21.818956255826293</v>
      </c>
      <c r="DG73" s="19">
        <v>30.57440928451283</v>
      </c>
      <c r="DH73" s="19">
        <v>30.866435965785403</v>
      </c>
      <c r="DI73" s="19">
        <v>28.8861880166451</v>
      </c>
      <c r="DJ73" s="19">
        <v>27.160524305927126</v>
      </c>
      <c r="DK73" s="19">
        <v>25.638225180984623</v>
      </c>
      <c r="DL73" s="19">
        <v>24.471125828990605</v>
      </c>
      <c r="DM73" s="19">
        <v>38.68135218371276</v>
      </c>
      <c r="DN73" s="19">
        <v>57.44044447303811</v>
      </c>
      <c r="DO73" s="19">
        <v>80.5208749259265</v>
      </c>
      <c r="DP73" s="19">
        <v>107.60871837360135</v>
      </c>
      <c r="DQ73" s="19">
        <v>135.81778392331876</v>
      </c>
      <c r="DR73" s="19">
        <v>20.058805424647502</v>
      </c>
      <c r="DS73" s="19">
        <v>34.52209153662712</v>
      </c>
      <c r="DT73" s="19">
        <v>55.01270964425431</v>
      </c>
      <c r="DU73" s="19">
        <v>81.37033262430666</v>
      </c>
      <c r="DV73" s="19">
        <v>111.9994393310183</v>
      </c>
      <c r="DW73" s="19">
        <v>142.13471647161373</v>
      </c>
      <c r="DX73" s="19">
        <v>15.664380046592486</v>
      </c>
      <c r="DY73" s="19">
        <v>26.919284906097857</v>
      </c>
      <c r="DZ73" s="19">
        <v>40.52652822085926</v>
      </c>
      <c r="EA73" s="19">
        <v>58.35204684250864</v>
      </c>
      <c r="EB73" s="19">
        <v>80.0541816925473</v>
      </c>
      <c r="EC73" s="19">
        <v>105.4244318229011</v>
      </c>
    </row>
    <row r="74" spans="1:133" ht="12.75">
      <c r="A74" t="s">
        <v>227</v>
      </c>
      <c r="B74" s="187">
        <f>((3.09+3.35/A+3.87/A^0.5)*(kappa/3)^0.5/pf^0.5)/100</f>
        <v>0.07609609185720252</v>
      </c>
      <c r="C74" s="7"/>
      <c r="D74" s="7"/>
      <c r="E74" s="7"/>
      <c r="J74" s="165">
        <f>B174</f>
        <v>0.13925527613260189</v>
      </c>
      <c r="K74" s="18" t="str">
        <f>A174</f>
        <v>fTC</v>
      </c>
      <c r="L74" s="18">
        <v>0.2564573351022466</v>
      </c>
      <c r="M74" s="18">
        <v>0.08144060207483271</v>
      </c>
      <c r="N74" s="18">
        <v>0.005328315666902464</v>
      </c>
      <c r="O74" s="18">
        <v>0.0046145991691023255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6" t="str">
        <f t="shared" si="4"/>
        <v>fTC</v>
      </c>
      <c r="AE74" s="18">
        <v>0.21954738530379658</v>
      </c>
      <c r="AF74" s="18">
        <v>0.08144060207483271</v>
      </c>
      <c r="AG74" s="18">
        <v>0.005328315666902464</v>
      </c>
      <c r="AH74" s="18">
        <v>0.0046145991691023255</v>
      </c>
      <c r="AI74" s="18">
        <v>0.003479915203160365</v>
      </c>
      <c r="AJ74" s="18">
        <v>0.21954738530379658</v>
      </c>
      <c r="AK74" s="18">
        <v>0.08144060207483271</v>
      </c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X74" s="16" t="str">
        <f t="shared" si="5"/>
        <v>fTC</v>
      </c>
      <c r="AY74" s="18">
        <v>0.2437537920633143</v>
      </c>
      <c r="AZ74" s="18">
        <v>0.229434779625678</v>
      </c>
      <c r="BA74" s="18">
        <v>0.21518106748823246</v>
      </c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>
        <v>0.24101894208229754</v>
      </c>
      <c r="BR74" s="16" t="str">
        <f t="shared" si="6"/>
        <v>fTC</v>
      </c>
      <c r="BS74" s="18">
        <v>0.3439815982820513</v>
      </c>
      <c r="BT74" s="18">
        <v>0.2585285052808441</v>
      </c>
      <c r="BU74" s="18">
        <v>0.22207412216873404</v>
      </c>
      <c r="BV74" s="18">
        <v>0.3134629457010264</v>
      </c>
      <c r="BW74" s="18">
        <v>0.26517533371335117</v>
      </c>
      <c r="BX74" s="18">
        <v>0.22874747354745714</v>
      </c>
      <c r="BY74" s="18">
        <v>0.32738551687761763</v>
      </c>
      <c r="BZ74" s="18">
        <v>0.28150366132820315</v>
      </c>
      <c r="CA74" s="18">
        <v>0.24257406267985615</v>
      </c>
      <c r="CB74" s="18">
        <v>0.3481467210696051</v>
      </c>
      <c r="CC74" s="18">
        <v>0.2989454939943896</v>
      </c>
      <c r="CD74" s="18">
        <v>0.2585380845717024</v>
      </c>
      <c r="CE74" s="18">
        <v>0.36982515869115223</v>
      </c>
      <c r="CF74" s="18">
        <v>0.31725166088536055</v>
      </c>
      <c r="CG74" s="18">
        <v>0.27402225929986845</v>
      </c>
      <c r="CH74" s="18">
        <v>0.3921403196331003</v>
      </c>
      <c r="CI74" s="18">
        <v>0.3363387982851202</v>
      </c>
      <c r="CJ74" s="18">
        <v>0.29017085184231356</v>
      </c>
      <c r="CL74" s="16" t="str">
        <f t="shared" si="7"/>
        <v>fTC</v>
      </c>
      <c r="CM74" s="18">
        <v>0.005101324703125849</v>
      </c>
      <c r="CN74" s="18">
        <v>0.004868153472858221</v>
      </c>
      <c r="CO74" s="18">
        <v>0.004673158739457412</v>
      </c>
      <c r="CP74" s="18">
        <v>0.004515229144019411</v>
      </c>
      <c r="CQ74" s="18">
        <v>0.004380407912998367</v>
      </c>
      <c r="CR74" s="18">
        <v>0.005620469754584785</v>
      </c>
      <c r="CS74" s="18">
        <v>0.004805391796771129</v>
      </c>
      <c r="CT74" s="18">
        <v>0.004905648254819242</v>
      </c>
      <c r="CU74" s="18">
        <v>0.005012869183334274</v>
      </c>
      <c r="CV74" s="18">
        <v>0.0051183342860980936</v>
      </c>
      <c r="CW74" s="18">
        <v>0.005138744309637726</v>
      </c>
      <c r="CX74" s="18">
        <v>0.005222379552081315</v>
      </c>
      <c r="CY74" s="18">
        <v>0.005305849362846601</v>
      </c>
      <c r="CZ74" s="18">
        <v>0.005388985747634486</v>
      </c>
      <c r="DA74" s="18">
        <v>0.005471660340618108</v>
      </c>
      <c r="DB74" s="18"/>
      <c r="DC74" s="18"/>
      <c r="DE74" s="16" t="s">
        <v>174</v>
      </c>
      <c r="DF74" s="18">
        <v>0.3468109162177622</v>
      </c>
      <c r="DG74" s="18">
        <v>0.2679361172965414</v>
      </c>
      <c r="DH74" s="18">
        <v>0.22685399997990455</v>
      </c>
      <c r="DI74" s="18">
        <v>0.22210283324212768</v>
      </c>
      <c r="DJ74" s="18">
        <v>0.2181249305787051</v>
      </c>
      <c r="DK74" s="18">
        <v>0.21460198927067245</v>
      </c>
      <c r="DL74" s="18">
        <v>0.39539938177218203</v>
      </c>
      <c r="DM74" s="18">
        <v>0.25889777716773454</v>
      </c>
      <c r="DN74" s="18">
        <v>0.1705085280786126</v>
      </c>
      <c r="DO74" s="18">
        <v>0.11384656329494833</v>
      </c>
      <c r="DP74" s="18">
        <v>0.07758995169810352</v>
      </c>
      <c r="DQ74" s="18">
        <v>0.05559466271365078</v>
      </c>
      <c r="DR74" s="18">
        <v>0.35486468309750185</v>
      </c>
      <c r="DS74" s="18">
        <v>0.21049567477405734</v>
      </c>
      <c r="DT74" s="18">
        <v>0.12727982461231035</v>
      </c>
      <c r="DU74" s="18">
        <v>0.07840765354829256</v>
      </c>
      <c r="DV74" s="18">
        <v>0.049168684993003184</v>
      </c>
      <c r="DW74" s="18">
        <v>0.03237452314693014</v>
      </c>
      <c r="DX74" s="18">
        <v>0.33085727491411265</v>
      </c>
      <c r="DY74" s="18">
        <v>0.20072571244885404</v>
      </c>
      <c r="DZ74" s="18">
        <v>0.1318941486156012</v>
      </c>
      <c r="EA74" s="18">
        <v>0.08747983121049593</v>
      </c>
      <c r="EB74" s="18">
        <v>0.05903298661143777</v>
      </c>
      <c r="EC74" s="18">
        <v>0.03943489296134213</v>
      </c>
    </row>
    <row r="75" spans="1:133" ht="12.75">
      <c r="A75" t="s">
        <v>33</v>
      </c>
      <c r="B75" s="187">
        <f>((6.96436*e^0)+(-14.043*e^1)+(45.5*e^2)+(-31.3086*e^3))/100</f>
        <v>0.08547960000000002</v>
      </c>
      <c r="F75" t="s">
        <v>39</v>
      </c>
      <c r="J75" s="164">
        <f>B89</f>
        <v>0.16883867396508226</v>
      </c>
      <c r="K75" s="21" t="str">
        <f>A89</f>
        <v>Gamma_CD[10^20*A/W-m^2]</v>
      </c>
      <c r="L75" s="21">
        <v>0.1397100483342809</v>
      </c>
      <c r="M75" s="21">
        <v>0.1853231307297834</v>
      </c>
      <c r="N75" s="21">
        <v>0.44090360284067087</v>
      </c>
      <c r="O75" s="21">
        <v>0.40269221765835933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16" t="str">
        <f t="shared" si="4"/>
        <v>Gamma_CD[10^20*A/W-m^2]</v>
      </c>
      <c r="AE75" s="21">
        <v>0.05552688852447003</v>
      </c>
      <c r="AF75" s="21">
        <v>0.1853231307297834</v>
      </c>
      <c r="AG75" s="21">
        <v>0.44090360284067087</v>
      </c>
      <c r="AH75" s="21">
        <v>0.40269221765835933</v>
      </c>
      <c r="AI75" s="21">
        <v>0.362117135954472</v>
      </c>
      <c r="AJ75" s="21">
        <v>0.05552688852447003</v>
      </c>
      <c r="AK75" s="21">
        <v>0.1853231307297834</v>
      </c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X75" s="16" t="str">
        <f t="shared" si="5"/>
        <v>Gamma_CD[10^20*A/W-m^2]</v>
      </c>
      <c r="AY75" s="21">
        <v>0.15399424543352408</v>
      </c>
      <c r="AZ75" s="21">
        <v>0.16474796298684447</v>
      </c>
      <c r="BA75" s="21">
        <v>0.17484808262310036</v>
      </c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>
        <v>0.17399642260729087</v>
      </c>
      <c r="BR75" s="16" t="str">
        <f t="shared" si="6"/>
        <v>Gamma_CD[10^20*A/W-m^2]</v>
      </c>
      <c r="BS75" s="21">
        <v>0.10756494387088891</v>
      </c>
      <c r="BT75" s="21">
        <v>0.21649278142494466</v>
      </c>
      <c r="BU75" s="21">
        <v>0.23092595092555068</v>
      </c>
      <c r="BV75" s="21">
        <v>0.20098345055324437</v>
      </c>
      <c r="BW75" s="21">
        <v>0.21842761249444634</v>
      </c>
      <c r="BX75" s="21">
        <v>0.23247784845640704</v>
      </c>
      <c r="BY75" s="21">
        <v>0.20163355769647565</v>
      </c>
      <c r="BZ75" s="21">
        <v>0.21651520386479098</v>
      </c>
      <c r="CA75" s="21">
        <v>0.23146146979368493</v>
      </c>
      <c r="CB75" s="21">
        <v>0.2002333000061512</v>
      </c>
      <c r="CC75" s="21">
        <v>0.21536684030185935</v>
      </c>
      <c r="CD75" s="21">
        <v>0.22918355394245638</v>
      </c>
      <c r="CE75" s="21">
        <v>0.19857595146426507</v>
      </c>
      <c r="CF75" s="21">
        <v>0.21410182716618764</v>
      </c>
      <c r="CG75" s="21">
        <v>0.22813237719247753</v>
      </c>
      <c r="CH75" s="21">
        <v>0.19672335728118057</v>
      </c>
      <c r="CI75" s="21">
        <v>0.2126408518829355</v>
      </c>
      <c r="CJ75" s="21">
        <v>0.22701125556469867</v>
      </c>
      <c r="CL75" s="16" t="str">
        <f t="shared" si="7"/>
        <v>Gamma_CD[10^20*A/W-m^2]</v>
      </c>
      <c r="CM75" s="21">
        <v>0.4469632405806348</v>
      </c>
      <c r="CN75" s="21">
        <v>0.46097154370800486</v>
      </c>
      <c r="CO75" s="21">
        <v>0.47414166279268644</v>
      </c>
      <c r="CP75" s="21">
        <v>0.4891718211100269</v>
      </c>
      <c r="CQ75" s="21">
        <v>0.5026003269148605</v>
      </c>
      <c r="CR75" s="21">
        <v>0.49465423307247863</v>
      </c>
      <c r="CS75" s="21">
        <v>0.4564170774925678</v>
      </c>
      <c r="CT75" s="21">
        <v>0.45104076103106777</v>
      </c>
      <c r="CU75" s="21">
        <v>0.44636398472486893</v>
      </c>
      <c r="CV75" s="21">
        <v>0.44202018995338366</v>
      </c>
      <c r="CW75" s="21">
        <v>0.46515445583754444</v>
      </c>
      <c r="CX75" s="21">
        <v>0.460404407408396</v>
      </c>
      <c r="CY75" s="21">
        <v>0.45587963488441374</v>
      </c>
      <c r="CZ75" s="21">
        <v>0.45156185482441513</v>
      </c>
      <c r="DA75" s="21">
        <v>0.4474348432243594</v>
      </c>
      <c r="DB75" s="21"/>
      <c r="DC75" s="21"/>
      <c r="DE75" s="16" t="s">
        <v>280</v>
      </c>
      <c r="DF75" s="21">
        <v>0.10310643675180656</v>
      </c>
      <c r="DG75" s="21">
        <v>0.14961731386931038</v>
      </c>
      <c r="DH75" s="21">
        <v>0.229797712132981</v>
      </c>
      <c r="DI75" s="21">
        <v>0.21947035647626723</v>
      </c>
      <c r="DJ75" s="21">
        <v>0.21023845856031134</v>
      </c>
      <c r="DK75" s="21">
        <v>0.2019271606481548</v>
      </c>
      <c r="DL75" s="21">
        <v>0.06895797814972905</v>
      </c>
      <c r="DM75" s="21">
        <v>0.08442117346682551</v>
      </c>
      <c r="DN75" s="21">
        <v>0.10646885093331737</v>
      </c>
      <c r="DO75" s="21">
        <v>0.1379245276278497</v>
      </c>
      <c r="DP75" s="21">
        <v>0.182644303634703</v>
      </c>
      <c r="DQ75" s="21">
        <v>0.23924633913895596</v>
      </c>
      <c r="DR75" s="21">
        <v>0.05969709564100701</v>
      </c>
      <c r="DS75" s="21">
        <v>0.07213656452560044</v>
      </c>
      <c r="DT75" s="21">
        <v>0.08945545122565816</v>
      </c>
      <c r="DU75" s="21">
        <v>0.11493430804663153</v>
      </c>
      <c r="DV75" s="21">
        <v>0.15295038049508716</v>
      </c>
      <c r="DW75" s="21">
        <v>0.2046603247184132</v>
      </c>
      <c r="DX75" s="21">
        <v>0.06904433660126567</v>
      </c>
      <c r="DY75" s="21">
        <v>0.07989065290563749</v>
      </c>
      <c r="DZ75" s="21">
        <v>0.09256943922625953</v>
      </c>
      <c r="EA75" s="21">
        <v>0.11043358349754981</v>
      </c>
      <c r="EB75" s="21">
        <v>0.13477507771208225</v>
      </c>
      <c r="EC75" s="21">
        <v>0.1720392759737965</v>
      </c>
    </row>
    <row r="76" spans="1:133" ht="12.75">
      <c r="A76" t="s">
        <v>141</v>
      </c>
      <c r="B76" s="187">
        <f>(xb0+xb1*kappa+xb2*kappa^2+xb3*kappa^3)*1/(TANH((xd0+xd1*kappa)/A^xm))/A^xn/10</f>
        <v>0.08260636499921901</v>
      </c>
      <c r="C76" s="7"/>
      <c r="D76" s="7"/>
      <c r="E76" s="7"/>
      <c r="F76" t="s">
        <v>39</v>
      </c>
      <c r="J76" s="166">
        <f>B90</f>
        <v>39.51683605702496</v>
      </c>
      <c r="K76" s="16" t="str">
        <f>A90</f>
        <v>P_CD[MW]</v>
      </c>
      <c r="L76" s="19">
        <v>24.006311339182083</v>
      </c>
      <c r="M76" s="19">
        <v>24.397664546058955</v>
      </c>
      <c r="N76" s="19">
        <v>13.844863717163115</v>
      </c>
      <c r="O76" s="19">
        <v>26.940038468613746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6" t="str">
        <f t="shared" si="4"/>
        <v>P_CD[MW]</v>
      </c>
      <c r="AE76" s="19">
        <v>22.337457512588134</v>
      </c>
      <c r="AF76" s="19">
        <v>24.397664546058955</v>
      </c>
      <c r="AG76" s="19">
        <v>13.844863717163115</v>
      </c>
      <c r="AH76" s="19">
        <v>26.940038468613746</v>
      </c>
      <c r="AI76" s="19">
        <v>12.122730795484168</v>
      </c>
      <c r="AJ76" s="19">
        <v>22.337457512588134</v>
      </c>
      <c r="AK76" s="19">
        <v>24.397664546058955</v>
      </c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X76" s="16" t="str">
        <f t="shared" si="5"/>
        <v>P_CD[MW]</v>
      </c>
      <c r="AY76" s="19">
        <v>15.338122792421482</v>
      </c>
      <c r="AZ76" s="19">
        <v>16.339818492408853</v>
      </c>
      <c r="BA76" s="19">
        <v>17.242719171812727</v>
      </c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>
        <v>14.693939112147868</v>
      </c>
      <c r="BR76" s="16" t="str">
        <f t="shared" si="6"/>
        <v>P_CD[MW]</v>
      </c>
      <c r="BS76" s="19">
        <v>24.662227239477478</v>
      </c>
      <c r="BT76" s="19">
        <v>22.82021445552444</v>
      </c>
      <c r="BU76" s="19">
        <v>24.182620430706287</v>
      </c>
      <c r="BV76" s="19">
        <v>19.172607195270874</v>
      </c>
      <c r="BW76" s="19">
        <v>20.927819594318358</v>
      </c>
      <c r="BX76" s="19">
        <v>22.555465034618898</v>
      </c>
      <c r="BY76" s="19">
        <v>17.894528238422822</v>
      </c>
      <c r="BZ76" s="19">
        <v>19.83396548492041</v>
      </c>
      <c r="CA76" s="19">
        <v>21.70800900644804</v>
      </c>
      <c r="CB76" s="19">
        <v>17.162819240146135</v>
      </c>
      <c r="CC76" s="19">
        <v>19.115394956454786</v>
      </c>
      <c r="CD76" s="19">
        <v>20.867794539924514</v>
      </c>
      <c r="CE76" s="19">
        <v>16.491213856847427</v>
      </c>
      <c r="CF76" s="19">
        <v>18.47285431415765</v>
      </c>
      <c r="CG76" s="19">
        <v>20.24915978783811</v>
      </c>
      <c r="CH76" s="19">
        <v>15.86226601553997</v>
      </c>
      <c r="CI76" s="19">
        <v>17.8719246294797</v>
      </c>
      <c r="CJ76" s="19">
        <v>19.684766132567923</v>
      </c>
      <c r="CL76" s="16" t="str">
        <f t="shared" si="7"/>
        <v>P_CD[MW]</v>
      </c>
      <c r="CM76" s="19">
        <v>13.52848390124632</v>
      </c>
      <c r="CN76" s="19">
        <v>13.142167693289245</v>
      </c>
      <c r="CO76" s="19">
        <v>12.819114508548457</v>
      </c>
      <c r="CP76" s="19">
        <v>12.410742242851324</v>
      </c>
      <c r="CQ76" s="19">
        <v>12.130239913431124</v>
      </c>
      <c r="CR76" s="19">
        <v>14.606633386995561</v>
      </c>
      <c r="CS76" s="19">
        <v>13.690228769353588</v>
      </c>
      <c r="CT76" s="19">
        <v>13.610746024900072</v>
      </c>
      <c r="CU76" s="19">
        <v>13.485309031129384</v>
      </c>
      <c r="CV76" s="19">
        <v>13.370709393820261</v>
      </c>
      <c r="CW76" s="19">
        <v>12.404112399291124</v>
      </c>
      <c r="CX76" s="19">
        <v>12.40861790844495</v>
      </c>
      <c r="CY76" s="19">
        <v>12.413271462221942</v>
      </c>
      <c r="CZ76" s="19">
        <v>12.418049536572235</v>
      </c>
      <c r="DA76" s="19">
        <v>12.422931711613577</v>
      </c>
      <c r="DB76" s="19"/>
      <c r="DC76" s="19"/>
      <c r="DE76" s="16" t="s">
        <v>196</v>
      </c>
      <c r="DF76" s="19">
        <v>25.433481561605443</v>
      </c>
      <c r="DG76" s="19">
        <v>27.657685431485145</v>
      </c>
      <c r="DH76" s="19">
        <v>24.93599060865626</v>
      </c>
      <c r="DI76" s="19">
        <v>24.434588556654045</v>
      </c>
      <c r="DJ76" s="19">
        <v>23.954842869670195</v>
      </c>
      <c r="DK76" s="19">
        <v>23.49931147186363</v>
      </c>
      <c r="DL76" s="19">
        <v>43.40524586105566</v>
      </c>
      <c r="DM76" s="19">
        <v>46.886281150985724</v>
      </c>
      <c r="DN76" s="19">
        <v>47.80721259630164</v>
      </c>
      <c r="DO76" s="19">
        <v>46.62571545136026</v>
      </c>
      <c r="DP76" s="19">
        <v>43.947918043612255</v>
      </c>
      <c r="DQ76" s="19">
        <v>40.806504415395686</v>
      </c>
      <c r="DR76" s="19">
        <v>58.08947654944979</v>
      </c>
      <c r="DS76" s="19">
        <v>62.40492440423393</v>
      </c>
      <c r="DT76" s="19">
        <v>62.109996865503305</v>
      </c>
      <c r="DU76" s="19">
        <v>57.711262146276596</v>
      </c>
      <c r="DV76" s="19">
        <v>50.31568485543751</v>
      </c>
      <c r="DW76" s="19">
        <v>42.06121784087092</v>
      </c>
      <c r="DX76" s="19">
        <v>70.61323265573775</v>
      </c>
      <c r="DY76" s="19">
        <v>76.15220141204811</v>
      </c>
      <c r="DZ76" s="19">
        <v>76.35026350568805</v>
      </c>
      <c r="EA76" s="19">
        <v>73.08058523228976</v>
      </c>
      <c r="EB76" s="19">
        <v>67.28062778961839</v>
      </c>
      <c r="EC76" s="19">
        <v>58.564714968238206</v>
      </c>
    </row>
    <row r="77" spans="1:133" ht="12.75">
      <c r="A77" t="s">
        <v>142</v>
      </c>
      <c r="B77" s="215">
        <f>IF(Mode="CTF",F77,IF(Mode="DEMO",G77,IF(Mode="NSTX",D77,IF(Mode="NSST",E77,IF(Mode="REACTOR",H77,IF(Mode="ARIES",I77,"Error"))))))</f>
        <v>0.08260636499921901</v>
      </c>
      <c r="C77" s="159"/>
      <c r="D77" s="207">
        <f>B76</f>
        <v>0.08260636499921901</v>
      </c>
      <c r="E77" s="207">
        <f>B76</f>
        <v>0.08260636499921901</v>
      </c>
      <c r="F77" s="207">
        <f>B76</f>
        <v>0.08260636499921901</v>
      </c>
      <c r="G77" s="207">
        <f>B76</f>
        <v>0.08260636499921901</v>
      </c>
      <c r="H77" s="207">
        <f>B76</f>
        <v>0.08260636499921901</v>
      </c>
      <c r="I77" s="207">
        <v>0.082</v>
      </c>
      <c r="J77" s="166">
        <f>B223</f>
        <v>4.464151535857718</v>
      </c>
      <c r="K77" s="19" t="str">
        <f>A223</f>
        <v>Xnwall[MW/m^2]</v>
      </c>
      <c r="L77" s="19">
        <v>1.1160378771710595</v>
      </c>
      <c r="M77" s="19">
        <v>4.464151534323585</v>
      </c>
      <c r="N77" s="19">
        <v>4.450639496630722</v>
      </c>
      <c r="O77" s="19">
        <v>7.443489154438815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6" t="str">
        <f t="shared" si="4"/>
        <v>Xnwall[MW/m^2]</v>
      </c>
      <c r="AE77" s="19">
        <v>1.1160378801462192</v>
      </c>
      <c r="AF77" s="19">
        <v>4.464151534323585</v>
      </c>
      <c r="AG77" s="19">
        <v>4.450639496630722</v>
      </c>
      <c r="AH77" s="19">
        <v>7.443489154438815</v>
      </c>
      <c r="AI77" s="19">
        <v>4.376235570287916</v>
      </c>
      <c r="AJ77" s="19">
        <v>1.1160378801462192</v>
      </c>
      <c r="AK77" s="19">
        <v>4.464151534323585</v>
      </c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X77" s="16" t="str">
        <f t="shared" si="5"/>
        <v>Xnwall[MW/m^2]</v>
      </c>
      <c r="AY77" s="19">
        <v>1.1144311774875892</v>
      </c>
      <c r="AZ77" s="19">
        <v>1.1160378798473534</v>
      </c>
      <c r="BA77" s="19">
        <v>1.1160378799959962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>
        <v>1.202104274916874</v>
      </c>
      <c r="BR77" s="16" t="str">
        <f t="shared" si="6"/>
        <v>Xnwall[MW/m^2]</v>
      </c>
      <c r="BS77" s="19">
        <v>2.228862363973481</v>
      </c>
      <c r="BT77" s="19">
        <v>2.232075741927847</v>
      </c>
      <c r="BU77" s="19">
        <v>2.2320757563683635</v>
      </c>
      <c r="BV77" s="19">
        <v>2.2394878559730986</v>
      </c>
      <c r="BW77" s="19">
        <v>2.271477367866912</v>
      </c>
      <c r="BX77" s="19">
        <v>2.27699801797647</v>
      </c>
      <c r="BY77" s="19">
        <v>2.288036344688913</v>
      </c>
      <c r="BZ77" s="19">
        <v>2.2808406100263428</v>
      </c>
      <c r="CA77" s="19">
        <v>2.3103087397146154</v>
      </c>
      <c r="CB77" s="19">
        <v>2.3383414782344745</v>
      </c>
      <c r="CC77" s="19">
        <v>2.3254441780340422</v>
      </c>
      <c r="CD77" s="19">
        <v>2.318583297511066</v>
      </c>
      <c r="CE77" s="19">
        <v>2.3878012799768857</v>
      </c>
      <c r="CF77" s="19">
        <v>2.3722354131002428</v>
      </c>
      <c r="CG77" s="19">
        <v>2.360531498226585</v>
      </c>
      <c r="CH77" s="19">
        <v>2.4367777000995536</v>
      </c>
      <c r="CI77" s="19">
        <v>2.418171186200051</v>
      </c>
      <c r="CJ77" s="19">
        <v>2.4042085464319394</v>
      </c>
      <c r="CL77" s="16" t="str">
        <f t="shared" si="7"/>
        <v>Xnwall[MW/m^2]</v>
      </c>
      <c r="CM77" s="19">
        <v>5.769735088434216</v>
      </c>
      <c r="CN77" s="19">
        <v>6.3429919722466215</v>
      </c>
      <c r="CO77" s="19">
        <v>6.918483445277053</v>
      </c>
      <c r="CP77" s="19">
        <v>7.582552602948573</v>
      </c>
      <c r="CQ77" s="19">
        <v>8.230381751493347</v>
      </c>
      <c r="CR77" s="19">
        <v>7.9497371366648</v>
      </c>
      <c r="CS77" s="19">
        <v>6.250176237169086</v>
      </c>
      <c r="CT77" s="19">
        <v>5.709068294718937</v>
      </c>
      <c r="CU77" s="19">
        <v>5.242405136809924</v>
      </c>
      <c r="CV77" s="19">
        <v>4.834223030623802</v>
      </c>
      <c r="CW77" s="19">
        <v>5.201287340299115</v>
      </c>
      <c r="CX77" s="19">
        <v>4.821999208279222</v>
      </c>
      <c r="CY77" s="19">
        <v>4.482932547975368</v>
      </c>
      <c r="CZ77" s="19">
        <v>4.178587266603176</v>
      </c>
      <c r="DA77" s="19">
        <v>3.904372738831091</v>
      </c>
      <c r="DB77" s="19"/>
      <c r="DC77" s="19"/>
      <c r="DE77" s="16" t="s">
        <v>158</v>
      </c>
      <c r="DF77" s="19">
        <v>2.2880313432070123</v>
      </c>
      <c r="DG77" s="19">
        <v>2.6497244001820213</v>
      </c>
      <c r="DH77" s="19">
        <v>2.2477705777798516</v>
      </c>
      <c r="DI77" s="19">
        <v>1.7923859335064343</v>
      </c>
      <c r="DJ77" s="19">
        <v>1.4531487514478076</v>
      </c>
      <c r="DK77" s="19">
        <v>1.1949051650554912</v>
      </c>
      <c r="DL77" s="19">
        <v>2.5661494639699236</v>
      </c>
      <c r="DM77" s="19">
        <v>3.352310790920377</v>
      </c>
      <c r="DN77" s="19">
        <v>4.182955958341062</v>
      </c>
      <c r="DO77" s="19">
        <v>4.996314622327296</v>
      </c>
      <c r="DP77" s="19">
        <v>5.75730696398588</v>
      </c>
      <c r="DQ77" s="19">
        <v>6.329976834857656</v>
      </c>
      <c r="DR77" s="19">
        <v>2.1034542380130836</v>
      </c>
      <c r="DS77" s="19">
        <v>2.9918494309129966</v>
      </c>
      <c r="DT77" s="19">
        <v>4.0061623227695</v>
      </c>
      <c r="DU77" s="19">
        <v>5.049023408096873</v>
      </c>
      <c r="DV77" s="19">
        <v>5.992220349395356</v>
      </c>
      <c r="DW77" s="19">
        <v>6.624386253474019</v>
      </c>
      <c r="DX77" s="19">
        <v>1.6426355182946484</v>
      </c>
      <c r="DY77" s="19">
        <v>2.3329538166508756</v>
      </c>
      <c r="DZ77" s="19">
        <v>2.9512425683614105</v>
      </c>
      <c r="EA77" s="19">
        <v>3.6207405676088973</v>
      </c>
      <c r="EB77" s="19">
        <v>4.28307763943996</v>
      </c>
      <c r="EC77" s="19">
        <v>4.913452325528162</v>
      </c>
    </row>
    <row r="78" spans="1:133" ht="12.75">
      <c r="A78" t="s">
        <v>59</v>
      </c>
      <c r="B78" s="188">
        <v>0.03648140722109919</v>
      </c>
      <c r="D78" s="223"/>
      <c r="E78" s="223"/>
      <c r="F78" s="223" t="s">
        <v>39</v>
      </c>
      <c r="G78" s="188">
        <v>0.03564799778408682</v>
      </c>
      <c r="H78" s="188">
        <v>0.038917158204273834</v>
      </c>
      <c r="I78" s="223"/>
      <c r="J78" s="164">
        <f>B224</f>
        <v>2.3149415049027646</v>
      </c>
      <c r="K78" s="21" t="str">
        <f>A224</f>
        <v>Qn_wall[MW/m^2]</v>
      </c>
      <c r="L78" s="21">
        <v>0.5787353727029043</v>
      </c>
      <c r="M78" s="21">
        <v>2.31494150410722</v>
      </c>
      <c r="N78" s="21">
        <v>2.3079346682908803</v>
      </c>
      <c r="O78" s="21">
        <v>3.8599142180762187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16" t="str">
        <f t="shared" si="4"/>
        <v>Qn_wall[MW/m^2]</v>
      </c>
      <c r="AE78" s="21">
        <v>0.5787353742457104</v>
      </c>
      <c r="AF78" s="21">
        <v>2.31494150410722</v>
      </c>
      <c r="AG78" s="21">
        <v>2.3079346682908803</v>
      </c>
      <c r="AH78" s="21">
        <v>3.8599142180762187</v>
      </c>
      <c r="AI78" s="21">
        <v>2.303919709046582</v>
      </c>
      <c r="AJ78" s="21">
        <v>0.5787353742457104</v>
      </c>
      <c r="AK78" s="21">
        <v>2.31494150410722</v>
      </c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X78" s="16" t="str">
        <f t="shared" si="5"/>
        <v>Qn_wall[MW/m^2]</v>
      </c>
      <c r="AY78" s="21">
        <v>0.5779021985256156</v>
      </c>
      <c r="AZ78" s="21">
        <v>0.5787353740907297</v>
      </c>
      <c r="BA78" s="21">
        <v>0.5787353741678105</v>
      </c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>
        <v>0.6649367797970207</v>
      </c>
      <c r="BR78" s="16" t="str">
        <f t="shared" si="6"/>
        <v>Qn_wall[MW/m^2]</v>
      </c>
      <c r="BS78" s="21">
        <v>1.1558044017174136</v>
      </c>
      <c r="BT78" s="21">
        <v>1.1574707389682326</v>
      </c>
      <c r="BU78" s="21">
        <v>1.1574707464565428</v>
      </c>
      <c r="BV78" s="21">
        <v>1.1790042210199032</v>
      </c>
      <c r="BW78" s="21">
        <v>1.195845468651846</v>
      </c>
      <c r="BX78" s="21">
        <v>1.1987518785993625</v>
      </c>
      <c r="BY78" s="21">
        <v>1.221342884107314</v>
      </c>
      <c r="BZ78" s="21">
        <v>1.21750183527675</v>
      </c>
      <c r="CA78" s="21">
        <v>1.2332317823058991</v>
      </c>
      <c r="CB78" s="21">
        <v>1.2642142901555247</v>
      </c>
      <c r="CC78" s="21">
        <v>1.2572414201236752</v>
      </c>
      <c r="CD78" s="21">
        <v>1.253532114497901</v>
      </c>
      <c r="CE78" s="21">
        <v>1.3063132775341326</v>
      </c>
      <c r="CF78" s="21">
        <v>1.2977975359823548</v>
      </c>
      <c r="CG78" s="21">
        <v>1.2913945829699767</v>
      </c>
      <c r="CH78" s="21">
        <v>1.3478889899941768</v>
      </c>
      <c r="CI78" s="21">
        <v>1.3375969082723649</v>
      </c>
      <c r="CJ78" s="21">
        <v>1.3298735577123515</v>
      </c>
      <c r="CL78" s="16" t="str">
        <f t="shared" si="7"/>
        <v>Qn_wall[MW/m^2]</v>
      </c>
      <c r="CM78" s="21">
        <v>2.9919681536849803</v>
      </c>
      <c r="CN78" s="21">
        <v>3.3393413093211963</v>
      </c>
      <c r="CO78" s="21">
        <v>3.6930534535946107</v>
      </c>
      <c r="CP78" s="21">
        <v>4.099474540280268</v>
      </c>
      <c r="CQ78" s="21">
        <v>4.502659853358678</v>
      </c>
      <c r="CR78" s="21">
        <v>4.397349483057295</v>
      </c>
      <c r="CS78" s="21">
        <v>3.290477394680351</v>
      </c>
      <c r="CT78" s="21">
        <v>3.005604875066301</v>
      </c>
      <c r="CU78" s="21">
        <v>2.7599246712189216</v>
      </c>
      <c r="CV78" s="21">
        <v>2.5450324918062677</v>
      </c>
      <c r="CW78" s="21">
        <v>2.7382777328280823</v>
      </c>
      <c r="CX78" s="21">
        <v>2.538597119494326</v>
      </c>
      <c r="CY78" s="21">
        <v>2.360091564021393</v>
      </c>
      <c r="CZ78" s="21">
        <v>2.1998654791028014</v>
      </c>
      <c r="DA78" s="21">
        <v>2.055502077066048</v>
      </c>
      <c r="DB78" s="21"/>
      <c r="DC78" s="21"/>
      <c r="DE78" s="16" t="s">
        <v>447</v>
      </c>
      <c r="DF78" s="21">
        <v>1.1864872145050653</v>
      </c>
      <c r="DG78" s="21">
        <v>1.3740476642122759</v>
      </c>
      <c r="DH78" s="21">
        <v>1.165609492017856</v>
      </c>
      <c r="DI78" s="21">
        <v>0.9294641001653885</v>
      </c>
      <c r="DJ78" s="21">
        <v>0.7535484247126546</v>
      </c>
      <c r="DK78" s="21">
        <v>0.6196329893353797</v>
      </c>
      <c r="DL78" s="21">
        <v>1.3307088377739362</v>
      </c>
      <c r="DM78" s="21">
        <v>1.7383826075124373</v>
      </c>
      <c r="DN78" s="21">
        <v>2.16912402801836</v>
      </c>
      <c r="DO78" s="21">
        <v>2.590901316381003</v>
      </c>
      <c r="DP78" s="21">
        <v>2.9855233946120743</v>
      </c>
      <c r="DQ78" s="21">
        <v>3.282488504788081</v>
      </c>
      <c r="DR78" s="21">
        <v>1.0907724525315716</v>
      </c>
      <c r="DS78" s="21">
        <v>1.5514608696430585</v>
      </c>
      <c r="DT78" s="21">
        <v>2.077445481378561</v>
      </c>
      <c r="DU78" s="21">
        <v>2.6182341152053548</v>
      </c>
      <c r="DV78" s="21">
        <v>3.1073406630389018</v>
      </c>
      <c r="DW78" s="21">
        <v>3.435158183923058</v>
      </c>
      <c r="DX78" s="21">
        <v>0.8518091530235505</v>
      </c>
      <c r="DY78" s="21">
        <v>1.2097823238764167</v>
      </c>
      <c r="DZ78" s="21">
        <v>1.5304036741716494</v>
      </c>
      <c r="EA78" s="21">
        <v>1.877580219021977</v>
      </c>
      <c r="EB78" s="21">
        <v>2.2210433755706935</v>
      </c>
      <c r="EC78" s="21">
        <v>2.5479320380061297</v>
      </c>
    </row>
    <row r="79" spans="1:133" ht="12.75">
      <c r="A79" t="s">
        <v>60</v>
      </c>
      <c r="B79" s="188">
        <v>0.024381622969671727</v>
      </c>
      <c r="D79" s="223"/>
      <c r="E79" s="223"/>
      <c r="F79" s="223"/>
      <c r="G79" s="188">
        <v>0.041523626791813</v>
      </c>
      <c r="H79" s="188">
        <v>0.0317982761703785</v>
      </c>
      <c r="I79" s="223"/>
      <c r="J79" s="164">
        <f>B225</f>
        <v>4.000000013766488</v>
      </c>
      <c r="K79" s="21" t="str">
        <f>A225</f>
        <v>Qn_tm[MW/m^2]</v>
      </c>
      <c r="L79" s="21">
        <v>0.9999999973545797</v>
      </c>
      <c r="M79" s="21">
        <v>4.000000012391863</v>
      </c>
      <c r="N79" s="21">
        <v>3.9878928626852894</v>
      </c>
      <c r="O79" s="21">
        <v>6.669566765615038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16" t="str">
        <f t="shared" si="4"/>
        <v>Qn_tm[MW/m^2]</v>
      </c>
      <c r="AE79" s="21">
        <v>1.0000000000204028</v>
      </c>
      <c r="AF79" s="21">
        <v>4.000000012391863</v>
      </c>
      <c r="AG79" s="21">
        <v>3.9878928626852894</v>
      </c>
      <c r="AH79" s="21">
        <v>6.669566765615038</v>
      </c>
      <c r="AI79" s="21">
        <v>3.843864189373905</v>
      </c>
      <c r="AJ79" s="21">
        <v>1.0000000000204028</v>
      </c>
      <c r="AK79" s="21">
        <v>4.000000012391863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X79" s="16" t="str">
        <f t="shared" si="5"/>
        <v>Qn_tm[MW/m^2]</v>
      </c>
      <c r="AY79" s="21">
        <v>0.9999999988631598</v>
      </c>
      <c r="AZ79" s="21">
        <v>0.9999999997526106</v>
      </c>
      <c r="BA79" s="21">
        <v>0.999999999885799</v>
      </c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>
        <v>1.000000000002943</v>
      </c>
      <c r="BR79" s="16" t="str">
        <f t="shared" si="6"/>
        <v>Qn_tm[MW/m^2]</v>
      </c>
      <c r="BS79" s="21">
        <v>2.0000000058006657</v>
      </c>
      <c r="BT79" s="21">
        <v>1.9999999835856364</v>
      </c>
      <c r="BU79" s="21">
        <v>1.9999999965247286</v>
      </c>
      <c r="BV79" s="21">
        <v>2.000000000568255</v>
      </c>
      <c r="BW79" s="21">
        <v>2.000000000717338</v>
      </c>
      <c r="BX79" s="21">
        <v>1.9999999999998352</v>
      </c>
      <c r="BY79" s="21">
        <v>2.0000000000002447</v>
      </c>
      <c r="BZ79" s="21">
        <v>1.999999999982618</v>
      </c>
      <c r="CA79" s="21">
        <v>1.9999999998465625</v>
      </c>
      <c r="CB79" s="21">
        <v>1.9999999956621912</v>
      </c>
      <c r="CC79" s="21">
        <v>1.9999999999894478</v>
      </c>
      <c r="CD79" s="21">
        <v>2.0000000010892327</v>
      </c>
      <c r="CE79" s="21">
        <v>1.9999999999178624</v>
      </c>
      <c r="CF79" s="21">
        <v>1.999999999999902</v>
      </c>
      <c r="CG79" s="21">
        <v>1.9999999961079615</v>
      </c>
      <c r="CH79" s="21">
        <v>1.9999999942357571</v>
      </c>
      <c r="CI79" s="21">
        <v>1.999999999676342</v>
      </c>
      <c r="CJ79" s="21">
        <v>1.999999997176008</v>
      </c>
      <c r="CL79" s="16" t="str">
        <f t="shared" si="7"/>
        <v>Qn_tm[MW/m^2]</v>
      </c>
      <c r="CM79" s="21">
        <v>5.1698380415152245</v>
      </c>
      <c r="CN79" s="21">
        <v>5.57136363068336</v>
      </c>
      <c r="CO79" s="21">
        <v>5.96770973562111</v>
      </c>
      <c r="CP79" s="21">
        <v>6.4332512141991005</v>
      </c>
      <c r="CQ79" s="21">
        <v>6.877991807205067</v>
      </c>
      <c r="CR79" s="21">
        <v>6.55179745689631</v>
      </c>
      <c r="CS79" s="21">
        <v>5.489838979063319</v>
      </c>
      <c r="CT79" s="21">
        <v>5.01455710514146</v>
      </c>
      <c r="CU79" s="21">
        <v>4.604663768191006</v>
      </c>
      <c r="CV79" s="21">
        <v>4.246137231967816</v>
      </c>
      <c r="CW79" s="21">
        <v>4.568547973459356</v>
      </c>
      <c r="CX79" s="21">
        <v>4.235400444102322</v>
      </c>
      <c r="CY79" s="21">
        <v>3.937581423069402</v>
      </c>
      <c r="CZ79" s="21">
        <v>3.670259906784</v>
      </c>
      <c r="DA79" s="21">
        <v>3.429403721923763</v>
      </c>
      <c r="DB79" s="21"/>
      <c r="DC79" s="21"/>
      <c r="DE79" s="16" t="s">
        <v>448</v>
      </c>
      <c r="DF79" s="21">
        <v>2.0530934406951</v>
      </c>
      <c r="DG79" s="21">
        <v>2.3742244303472253</v>
      </c>
      <c r="DH79" s="21">
        <v>2.0140629792343767</v>
      </c>
      <c r="DI79" s="21">
        <v>1.6060260726169724</v>
      </c>
      <c r="DJ79" s="21">
        <v>1.3020604204644644</v>
      </c>
      <c r="DK79" s="21">
        <v>1.070667211513751</v>
      </c>
      <c r="DL79" s="21">
        <v>2.3026540470967753</v>
      </c>
      <c r="DM79" s="21">
        <v>3.0037607599390483</v>
      </c>
      <c r="DN79" s="21">
        <v>3.7480412025785093</v>
      </c>
      <c r="DO79" s="21">
        <v>4.476832472545319</v>
      </c>
      <c r="DP79" s="21">
        <v>5.15870210726991</v>
      </c>
      <c r="DQ79" s="21">
        <v>5.6718297358844785</v>
      </c>
      <c r="DR79" s="21">
        <v>1.8874689421054156</v>
      </c>
      <c r="DS79" s="21">
        <v>2.680777672691591</v>
      </c>
      <c r="DT79" s="21">
        <v>3.589629343339461</v>
      </c>
      <c r="DU79" s="21">
        <v>4.524060964255426</v>
      </c>
      <c r="DV79" s="21">
        <v>5.369190827763421</v>
      </c>
      <c r="DW79" s="21">
        <v>5.935628504599926</v>
      </c>
      <c r="DX79" s="21">
        <v>1.4739676613592656</v>
      </c>
      <c r="DY79" s="21">
        <v>2.090389455591614</v>
      </c>
      <c r="DZ79" s="21">
        <v>2.6443928301384925</v>
      </c>
      <c r="EA79" s="21">
        <v>3.2442810697504227</v>
      </c>
      <c r="EB79" s="21">
        <v>3.837752925524529</v>
      </c>
      <c r="EC79" s="21">
        <v>4.402585622796842</v>
      </c>
    </row>
    <row r="80" spans="1:133" ht="12.75">
      <c r="A80" t="s">
        <v>557</v>
      </c>
      <c r="B80" s="189">
        <f>B78+B79</f>
        <v>0.06086303019077091</v>
      </c>
      <c r="C80" s="7" t="s">
        <v>388</v>
      </c>
      <c r="D80" s="7"/>
      <c r="E80" s="7"/>
      <c r="J80" s="164">
        <f>B226</f>
        <v>4.163075108627827</v>
      </c>
      <c r="K80" s="21" t="str">
        <f>A226</f>
        <v>Qn_om[MW/m^2]</v>
      </c>
      <c r="L80" s="21">
        <v>1.040768770821753</v>
      </c>
      <c r="M80" s="21">
        <v>4.16307510719716</v>
      </c>
      <c r="N80" s="21">
        <v>4.150474363845559</v>
      </c>
      <c r="O80" s="21">
        <v>6.941476822925901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16" t="str">
        <f t="shared" si="4"/>
        <v>Qn_om[MW/m^2]</v>
      </c>
      <c r="AE80" s="21">
        <v>1.0407687735962583</v>
      </c>
      <c r="AF80" s="21">
        <v>4.16307510719716</v>
      </c>
      <c r="AG80" s="21">
        <v>4.150474363845559</v>
      </c>
      <c r="AH80" s="21">
        <v>6.941476822925901</v>
      </c>
      <c r="AI80" s="21">
        <v>3.9999999999984985</v>
      </c>
      <c r="AJ80" s="21">
        <v>1.0407687735962583</v>
      </c>
      <c r="AK80" s="21">
        <v>4.16307510719716</v>
      </c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X80" s="16" t="str">
        <f t="shared" si="5"/>
        <v>Qn_om[MW/m^2]</v>
      </c>
      <c r="AY80" s="21">
        <v>1.0392704320208475</v>
      </c>
      <c r="AZ80" s="21">
        <v>1.0407687733175486</v>
      </c>
      <c r="BA80" s="21">
        <v>1.040768773456167</v>
      </c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>
        <v>1.0303765139624046</v>
      </c>
      <c r="BR80" s="16" t="str">
        <f t="shared" si="6"/>
        <v>Qn_om[MW/m^2]</v>
      </c>
      <c r="BS80" s="21">
        <v>2.078540872433124</v>
      </c>
      <c r="BT80" s="21">
        <v>2.0815375300664907</v>
      </c>
      <c r="BU80" s="21">
        <v>2.0815375435330936</v>
      </c>
      <c r="BV80" s="21">
        <v>2.046953661431824</v>
      </c>
      <c r="BW80" s="21">
        <v>2.0761929575163314</v>
      </c>
      <c r="BX80" s="21">
        <v>2.0812389839661303</v>
      </c>
      <c r="BY80" s="21">
        <v>2.0534763266495046</v>
      </c>
      <c r="BZ80" s="21">
        <v>2.047018268928201</v>
      </c>
      <c r="CA80" s="21">
        <v>2.0734654479015466</v>
      </c>
      <c r="CB80" s="21">
        <v>2.0639129849590985</v>
      </c>
      <c r="CC80" s="21">
        <v>2.0525293159773184</v>
      </c>
      <c r="CD80" s="21">
        <v>2.0464736305560796</v>
      </c>
      <c r="CE80" s="21">
        <v>2.0756156344751195</v>
      </c>
      <c r="CF80" s="21">
        <v>2.062084878409174</v>
      </c>
      <c r="CG80" s="21">
        <v>2.0519111554532317</v>
      </c>
      <c r="CH80" s="21">
        <v>2.0886694809429303</v>
      </c>
      <c r="CI80" s="21">
        <v>2.0727210184602654</v>
      </c>
      <c r="CJ80" s="21">
        <v>2.0607530250089696</v>
      </c>
      <c r="CL80" s="16" t="str">
        <f t="shared" si="7"/>
        <v>Qn_om[MW/m^2]</v>
      </c>
      <c r="CM80" s="21">
        <v>5.380605998049304</v>
      </c>
      <c r="CN80" s="21">
        <v>5.79766959101512</v>
      </c>
      <c r="CO80" s="21">
        <v>6.209229151525797</v>
      </c>
      <c r="CP80" s="21">
        <v>6.692661838328692</v>
      </c>
      <c r="CQ80" s="21">
        <v>7.154326109274751</v>
      </c>
      <c r="CR80" s="21">
        <v>6.814069801357768</v>
      </c>
      <c r="CS80" s="21">
        <v>5.71283344946217</v>
      </c>
      <c r="CT80" s="21">
        <v>5.218245867272805</v>
      </c>
      <c r="CU80" s="21">
        <v>4.7917028712081455</v>
      </c>
      <c r="CV80" s="21">
        <v>4.41861316922109</v>
      </c>
      <c r="CW80" s="21">
        <v>4.754120071241928</v>
      </c>
      <c r="CX80" s="21">
        <v>4.40744025848697</v>
      </c>
      <c r="CY80" s="21">
        <v>4.097523980116773</v>
      </c>
      <c r="CZ80" s="21">
        <v>3.819343999643692</v>
      </c>
      <c r="DA80" s="21">
        <v>3.568704358913433</v>
      </c>
      <c r="DB80" s="21"/>
      <c r="DC80" s="21"/>
      <c r="DE80" s="16" t="s">
        <v>449</v>
      </c>
      <c r="DF80" s="21">
        <v>2.1337193095160627</v>
      </c>
      <c r="DG80" s="21">
        <v>2.471018648564341</v>
      </c>
      <c r="DH80" s="21">
        <v>2.096173856800621</v>
      </c>
      <c r="DI80" s="21">
        <v>1.6715017859270787</v>
      </c>
      <c r="DJ80" s="21">
        <v>1.3551438269273806</v>
      </c>
      <c r="DK80" s="21">
        <v>1.1143170006341572</v>
      </c>
      <c r="DL80" s="21">
        <v>2.393080269041368</v>
      </c>
      <c r="DM80" s="21">
        <v>3.1262204022345452</v>
      </c>
      <c r="DN80" s="21">
        <v>3.9008442457162924</v>
      </c>
      <c r="DO80" s="21">
        <v>4.659347441951833</v>
      </c>
      <c r="DP80" s="21">
        <v>5.369016065422196</v>
      </c>
      <c r="DQ80" s="21">
        <v>5.90306327814284</v>
      </c>
      <c r="DR80" s="21">
        <v>1.9615906651178423</v>
      </c>
      <c r="DS80" s="21">
        <v>2.7900696906345335</v>
      </c>
      <c r="DT80" s="21">
        <v>3.7359741292563284</v>
      </c>
      <c r="DU80" s="21">
        <v>4.7085013813467596</v>
      </c>
      <c r="DV80" s="21">
        <v>5.588086152901603</v>
      </c>
      <c r="DW80" s="21">
        <v>6.177616799129417</v>
      </c>
      <c r="DX80" s="21">
        <v>1.531851009947072</v>
      </c>
      <c r="DY80" s="21">
        <v>2.1756120699902453</v>
      </c>
      <c r="DZ80" s="21">
        <v>2.752201482673825</v>
      </c>
      <c r="EA80" s="21">
        <v>3.376546430096814</v>
      </c>
      <c r="EB80" s="21">
        <v>3.994213405582124</v>
      </c>
      <c r="EC80" s="21">
        <v>4.582073639197302</v>
      </c>
    </row>
    <row r="81" spans="1:133" ht="12.75">
      <c r="A81" t="s">
        <v>471</v>
      </c>
      <c r="B81" s="187">
        <f>B182*R0*Bt/A/Ip</f>
        <v>0.00959407989942952</v>
      </c>
      <c r="C81" s="7"/>
      <c r="D81" s="7"/>
      <c r="E81" s="7"/>
      <c r="J81" s="164">
        <f>Blanket!B1</f>
        <v>1.7840825419932314</v>
      </c>
      <c r="K81" s="21" t="str">
        <f>Blanket!A1</f>
        <v>Port Height (delta Z)[m]</v>
      </c>
      <c r="L81" s="21">
        <v>1.7840825419932314</v>
      </c>
      <c r="M81" s="21">
        <v>1.7840825419932314</v>
      </c>
      <c r="N81" s="21">
        <v>3.7168386291525657</v>
      </c>
      <c r="O81" s="21">
        <v>4.460206354983078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16" t="str">
        <f t="shared" si="4"/>
        <v>Port Height (delta Z)[m]</v>
      </c>
      <c r="AE81" s="21">
        <v>1.7840825419932314</v>
      </c>
      <c r="AF81" s="21">
        <v>1.7840825419932314</v>
      </c>
      <c r="AG81" s="21">
        <v>3.7168386291525657</v>
      </c>
      <c r="AH81" s="21">
        <v>4.460206354983078</v>
      </c>
      <c r="AI81" s="21">
        <v>4.566987942710301</v>
      </c>
      <c r="AJ81" s="21">
        <v>1.7840825419932314</v>
      </c>
      <c r="AK81" s="21">
        <v>1.7840825419932314</v>
      </c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X81" s="16" t="str">
        <f t="shared" si="5"/>
        <v>Port Height (delta Z)[m]</v>
      </c>
      <c r="AY81" s="21">
        <v>1.4602108151938937</v>
      </c>
      <c r="AZ81" s="21">
        <v>1.6354089968271288</v>
      </c>
      <c r="BA81" s="21">
        <v>1.7840825419932314</v>
      </c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>
        <v>1</v>
      </c>
      <c r="BR81" s="16" t="str">
        <f t="shared" si="6"/>
        <v>Port Height (delta Z)[m]</v>
      </c>
      <c r="BS81" s="21">
        <v>1.4602108151938937</v>
      </c>
      <c r="BT81" s="21">
        <v>1.6354089968271288</v>
      </c>
      <c r="BU81" s="21">
        <v>1.7840825419932314</v>
      </c>
      <c r="BV81" s="21">
        <v>1.0296992732671866</v>
      </c>
      <c r="BW81" s="21">
        <v>1.4326692005939057</v>
      </c>
      <c r="BX81" s="21">
        <v>1.6118780974271654</v>
      </c>
      <c r="BY81" s="21">
        <v>1</v>
      </c>
      <c r="BZ81" s="21">
        <v>1.03306871627571</v>
      </c>
      <c r="CA81" s="21">
        <v>1.3997113268462291</v>
      </c>
      <c r="CB81" s="21">
        <v>1</v>
      </c>
      <c r="CC81" s="21">
        <v>1</v>
      </c>
      <c r="CD81" s="21">
        <v>1.0276201026295144</v>
      </c>
      <c r="CE81" s="21">
        <v>1</v>
      </c>
      <c r="CF81" s="21">
        <v>1</v>
      </c>
      <c r="CG81" s="21">
        <v>1</v>
      </c>
      <c r="CH81" s="21">
        <v>1</v>
      </c>
      <c r="CI81" s="21">
        <v>1</v>
      </c>
      <c r="CJ81" s="21">
        <v>1</v>
      </c>
      <c r="CL81" s="16" t="str">
        <f t="shared" si="7"/>
        <v>Port Height (delta Z)[m]</v>
      </c>
      <c r="CM81" s="21">
        <v>3.2708179936542576</v>
      </c>
      <c r="CN81" s="21">
        <v>2.9551098452831366</v>
      </c>
      <c r="CO81" s="21">
        <v>2.6887097888046623</v>
      </c>
      <c r="CP81" s="21">
        <v>2.461320934727974</v>
      </c>
      <c r="CQ81" s="21">
        <v>2.2652877682841646</v>
      </c>
      <c r="CR81" s="21">
        <v>2.0948040472823526</v>
      </c>
      <c r="CS81" s="21">
        <v>2.9551098452831366</v>
      </c>
      <c r="CT81" s="21">
        <v>3.0894330200687334</v>
      </c>
      <c r="CU81" s="21">
        <v>3.2237561948543307</v>
      </c>
      <c r="CV81" s="21">
        <v>3.3580793696399276</v>
      </c>
      <c r="CW81" s="21">
        <v>3.492402544425525</v>
      </c>
      <c r="CX81" s="21">
        <v>3.626725719211122</v>
      </c>
      <c r="CY81" s="21">
        <v>3.761048893996719</v>
      </c>
      <c r="CZ81" s="21">
        <v>3.8953720687823163</v>
      </c>
      <c r="DA81" s="21">
        <v>4.029695243567914</v>
      </c>
      <c r="DB81" s="21"/>
      <c r="DC81" s="21"/>
      <c r="DE81" s="16" t="s">
        <v>187</v>
      </c>
      <c r="DF81" s="21">
        <v>1.4602108151938937</v>
      </c>
      <c r="DG81" s="21">
        <v>1.6354089968271288</v>
      </c>
      <c r="DH81" s="21">
        <v>1.7840825419932314</v>
      </c>
      <c r="DI81" s="21">
        <v>1.9327560871593341</v>
      </c>
      <c r="DJ81" s="21">
        <v>2.0814296323254364</v>
      </c>
      <c r="DK81" s="21">
        <v>2.230103177491539</v>
      </c>
      <c r="DL81" s="21">
        <v>1.4602108151938937</v>
      </c>
      <c r="DM81" s="21">
        <v>1.6354089968271288</v>
      </c>
      <c r="DN81" s="21">
        <v>1.7840825419932314</v>
      </c>
      <c r="DO81" s="21">
        <v>1.9327560871593341</v>
      </c>
      <c r="DP81" s="21">
        <v>2.0814296323254364</v>
      </c>
      <c r="DQ81" s="21">
        <v>2.230103177491539</v>
      </c>
      <c r="DR81" s="21">
        <v>1.4602108151938937</v>
      </c>
      <c r="DS81" s="21">
        <v>1.6354089968271288</v>
      </c>
      <c r="DT81" s="21">
        <v>1.7840825419932314</v>
      </c>
      <c r="DU81" s="21">
        <v>1.9327560871593341</v>
      </c>
      <c r="DV81" s="21">
        <v>2.0814296323254364</v>
      </c>
      <c r="DW81" s="21">
        <v>2.230103177491539</v>
      </c>
      <c r="DX81" s="21">
        <v>1.4602108151938937</v>
      </c>
      <c r="DY81" s="21">
        <v>1.6354089968271288</v>
      </c>
      <c r="DZ81" s="21">
        <v>1.7840825419932314</v>
      </c>
      <c r="EA81" s="21">
        <v>1.9327560871593341</v>
      </c>
      <c r="EB81" s="21">
        <v>2.0814296323254364</v>
      </c>
      <c r="EC81" s="21">
        <v>2.230103177491539</v>
      </c>
    </row>
    <row r="82" spans="1:133" ht="12.75">
      <c r="A82" t="s">
        <v>748</v>
      </c>
      <c r="B82" s="187">
        <f>B188*R0*Bt/A/Ip</f>
        <v>0.005498366573237299</v>
      </c>
      <c r="C82" s="7"/>
      <c r="D82" s="7"/>
      <c r="E82" s="7"/>
      <c r="F82" s="15"/>
      <c r="J82" s="169">
        <f>Blanket!$B$9</f>
        <v>2</v>
      </c>
      <c r="K82" s="36" t="str">
        <f>Blanket!$A$9</f>
        <v>#NBI Port</v>
      </c>
      <c r="L82" s="36">
        <v>1</v>
      </c>
      <c r="M82" s="36">
        <v>1</v>
      </c>
      <c r="N82" s="36">
        <v>1</v>
      </c>
      <c r="O82" s="36">
        <v>1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16" t="str">
        <f t="shared" si="4"/>
        <v>#NBI Port</v>
      </c>
      <c r="AE82" s="36">
        <v>1</v>
      </c>
      <c r="AF82" s="36">
        <v>1</v>
      </c>
      <c r="AG82" s="36">
        <v>1</v>
      </c>
      <c r="AH82" s="36">
        <v>1</v>
      </c>
      <c r="AI82" s="36">
        <v>1</v>
      </c>
      <c r="AJ82" s="36">
        <v>1</v>
      </c>
      <c r="AK82" s="36">
        <v>1</v>
      </c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X82" s="16" t="str">
        <f t="shared" si="5"/>
        <v>#NBI Port</v>
      </c>
      <c r="AY82" s="36">
        <v>1</v>
      </c>
      <c r="AZ82" s="36">
        <v>2</v>
      </c>
      <c r="BA82" s="36">
        <v>2</v>
      </c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>
        <v>3</v>
      </c>
      <c r="BR82" s="16" t="str">
        <f t="shared" si="6"/>
        <v>#NBI Port</v>
      </c>
      <c r="BS82" s="36">
        <v>2</v>
      </c>
      <c r="BT82" s="36">
        <v>2</v>
      </c>
      <c r="BU82" s="36">
        <v>2</v>
      </c>
      <c r="BV82" s="36">
        <v>3</v>
      </c>
      <c r="BW82" s="36">
        <v>2</v>
      </c>
      <c r="BX82" s="36">
        <v>2</v>
      </c>
      <c r="BY82" s="36">
        <v>3</v>
      </c>
      <c r="BZ82" s="36">
        <v>3</v>
      </c>
      <c r="CA82" s="36">
        <v>2</v>
      </c>
      <c r="CB82" s="36">
        <v>3</v>
      </c>
      <c r="CC82" s="36">
        <v>3</v>
      </c>
      <c r="CD82" s="36">
        <v>2</v>
      </c>
      <c r="CE82" s="36">
        <v>2</v>
      </c>
      <c r="CF82" s="36">
        <v>2</v>
      </c>
      <c r="CG82" s="36">
        <v>2</v>
      </c>
      <c r="CH82" s="36">
        <v>2</v>
      </c>
      <c r="CI82" s="36">
        <v>2</v>
      </c>
      <c r="CJ82" s="36">
        <v>2</v>
      </c>
      <c r="CL82" s="16" t="str">
        <f t="shared" si="7"/>
        <v>#NBI Port</v>
      </c>
      <c r="CM82" s="36">
        <v>1</v>
      </c>
      <c r="CN82" s="36">
        <v>1</v>
      </c>
      <c r="CO82" s="36">
        <v>1</v>
      </c>
      <c r="CP82" s="36">
        <v>1</v>
      </c>
      <c r="CQ82" s="36">
        <v>1</v>
      </c>
      <c r="CR82" s="36">
        <v>1</v>
      </c>
      <c r="CS82" s="36">
        <v>1</v>
      </c>
      <c r="CT82" s="36">
        <v>1</v>
      </c>
      <c r="CU82" s="36">
        <v>1</v>
      </c>
      <c r="CV82" s="36">
        <v>1</v>
      </c>
      <c r="CW82" s="36">
        <v>1</v>
      </c>
      <c r="CX82" s="36">
        <v>1</v>
      </c>
      <c r="CY82" s="36">
        <v>1</v>
      </c>
      <c r="CZ82" s="36">
        <v>1</v>
      </c>
      <c r="DA82" s="36">
        <v>1</v>
      </c>
      <c r="DB82" s="36"/>
      <c r="DC82" s="36"/>
      <c r="DE82" s="16" t="s">
        <v>179</v>
      </c>
      <c r="DF82" s="36">
        <v>2</v>
      </c>
      <c r="DG82" s="36">
        <v>2</v>
      </c>
      <c r="DH82" s="36">
        <v>2</v>
      </c>
      <c r="DI82" s="36">
        <v>2</v>
      </c>
      <c r="DJ82" s="36">
        <v>2</v>
      </c>
      <c r="DK82" s="36">
        <v>2</v>
      </c>
      <c r="DL82" s="36">
        <v>2</v>
      </c>
      <c r="DM82" s="36">
        <v>2</v>
      </c>
      <c r="DN82" s="36">
        <v>2</v>
      </c>
      <c r="DO82" s="36">
        <v>2</v>
      </c>
      <c r="DP82" s="36">
        <v>1</v>
      </c>
      <c r="DQ82" s="36">
        <v>1</v>
      </c>
      <c r="DR82" s="36">
        <v>2</v>
      </c>
      <c r="DS82" s="36">
        <v>2</v>
      </c>
      <c r="DT82" s="36">
        <v>2</v>
      </c>
      <c r="DU82" s="36">
        <v>1</v>
      </c>
      <c r="DV82" s="36">
        <v>1</v>
      </c>
      <c r="DW82" s="36">
        <v>1</v>
      </c>
      <c r="DX82" s="36">
        <v>2</v>
      </c>
      <c r="DY82" s="36">
        <v>2</v>
      </c>
      <c r="DZ82" s="36">
        <v>2</v>
      </c>
      <c r="EA82" s="36">
        <v>1</v>
      </c>
      <c r="EB82" s="36">
        <v>1</v>
      </c>
      <c r="EC82" s="36">
        <v>1</v>
      </c>
    </row>
    <row r="83" spans="1:133" ht="12.75">
      <c r="A83" t="s">
        <v>273</v>
      </c>
      <c r="B83" s="190">
        <f>Beta_N+B81+B82</f>
        <v>0.07595547666343773</v>
      </c>
      <c r="C83" s="7"/>
      <c r="D83" s="7"/>
      <c r="E83" s="7"/>
      <c r="J83" s="164">
        <f>Blanket!B21</f>
        <v>14.27266033594585</v>
      </c>
      <c r="K83" s="19" t="str">
        <f>Blanket!A21</f>
        <v>Available TM Area [m]</v>
      </c>
      <c r="L83" s="19">
        <v>17.840825419932315</v>
      </c>
      <c r="M83" s="19">
        <v>17.840825419932315</v>
      </c>
      <c r="N83" s="19">
        <v>92.92096572881414</v>
      </c>
      <c r="O83" s="19">
        <v>133.80619064949235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6" t="str">
        <f t="shared" si="4"/>
        <v>Available TM Area [m]</v>
      </c>
      <c r="AE83" s="19">
        <v>17.840825419932315</v>
      </c>
      <c r="AF83" s="19">
        <v>17.840825419932315</v>
      </c>
      <c r="AG83" s="19">
        <v>92.92096572881414</v>
      </c>
      <c r="AH83" s="19">
        <v>133.80619064949235</v>
      </c>
      <c r="AI83" s="21">
        <v>150.71060210943995</v>
      </c>
      <c r="AJ83" s="19">
        <v>17.840825419932315</v>
      </c>
      <c r="AK83" s="19">
        <v>17.840825419932315</v>
      </c>
      <c r="AL83" s="19"/>
      <c r="AM83" s="19"/>
      <c r="AN83" s="21"/>
      <c r="AO83" s="21"/>
      <c r="AP83" s="21"/>
      <c r="AQ83" s="21"/>
      <c r="AR83" s="21"/>
      <c r="AS83" s="21"/>
      <c r="AT83" s="21"/>
      <c r="AU83" s="21"/>
      <c r="AV83" s="21"/>
      <c r="AX83" s="16" t="str">
        <f t="shared" si="5"/>
        <v>Available TM Area [m]</v>
      </c>
      <c r="AY83" s="19">
        <v>11.68168652155115</v>
      </c>
      <c r="AZ83" s="19">
        <v>11.447862977789901</v>
      </c>
      <c r="BA83" s="19">
        <v>16.056742877939083</v>
      </c>
      <c r="BB83" s="19"/>
      <c r="BC83" s="21"/>
      <c r="BD83" s="19"/>
      <c r="BE83" s="19"/>
      <c r="BF83" s="19"/>
      <c r="BG83" s="19"/>
      <c r="BH83" s="21"/>
      <c r="BI83" s="21"/>
      <c r="BJ83" s="21"/>
      <c r="BK83" s="21"/>
      <c r="BL83" s="21"/>
      <c r="BM83" s="21"/>
      <c r="BN83" s="21"/>
      <c r="BO83" s="21"/>
      <c r="BP83" s="21">
        <v>6</v>
      </c>
      <c r="BR83" s="16" t="str">
        <f t="shared" si="6"/>
        <v>Available TM Area [m]</v>
      </c>
      <c r="BS83" s="19">
        <v>8.761264891163362</v>
      </c>
      <c r="BT83" s="19">
        <v>11.447862977789901</v>
      </c>
      <c r="BU83" s="19">
        <v>16.056742877939083</v>
      </c>
      <c r="BV83" s="19">
        <v>5.148496366335933</v>
      </c>
      <c r="BW83" s="21">
        <v>10.028684404157339</v>
      </c>
      <c r="BX83" s="19">
        <v>12.895024779417323</v>
      </c>
      <c r="BY83" s="19">
        <v>5</v>
      </c>
      <c r="BZ83" s="19">
        <v>6.19841229765426</v>
      </c>
      <c r="CA83" s="19">
        <v>11.197690614769833</v>
      </c>
      <c r="CB83" s="21">
        <v>5</v>
      </c>
      <c r="CC83" s="21">
        <v>6</v>
      </c>
      <c r="CD83" s="21">
        <v>7.193340718406601</v>
      </c>
      <c r="CE83" s="21">
        <v>5</v>
      </c>
      <c r="CF83" s="21">
        <v>5</v>
      </c>
      <c r="CG83" s="21">
        <v>6</v>
      </c>
      <c r="CH83" s="21">
        <v>4</v>
      </c>
      <c r="CI83" s="21">
        <v>5</v>
      </c>
      <c r="CJ83" s="21">
        <v>6</v>
      </c>
      <c r="CL83" s="16" t="str">
        <f t="shared" si="7"/>
        <v>Available TM Area [m]</v>
      </c>
      <c r="CM83" s="19">
        <v>68.6871778667394</v>
      </c>
      <c r="CN83" s="19">
        <v>62.05730675094587</v>
      </c>
      <c r="CO83" s="19">
        <v>53.774195776093244</v>
      </c>
      <c r="CP83" s="19">
        <v>49.22641869455948</v>
      </c>
      <c r="CQ83" s="21">
        <v>43.04046759739913</v>
      </c>
      <c r="CR83" s="19">
        <v>39.8012768983647</v>
      </c>
      <c r="CS83" s="19">
        <v>62.05730675094587</v>
      </c>
      <c r="CT83" s="19">
        <v>67.96752644151213</v>
      </c>
      <c r="CU83" s="19">
        <v>74.14639248164961</v>
      </c>
      <c r="CV83" s="19">
        <v>80.59390487135826</v>
      </c>
      <c r="CW83" s="19">
        <v>87.31006361063812</v>
      </c>
      <c r="CX83" s="19">
        <v>94.29486869948917</v>
      </c>
      <c r="CY83" s="19">
        <v>101.54832013791142</v>
      </c>
      <c r="CZ83" s="19">
        <v>109.07041792590486</v>
      </c>
      <c r="DA83" s="19">
        <v>116.8611620634695</v>
      </c>
      <c r="DB83" s="19"/>
      <c r="DC83" s="19"/>
      <c r="DE83" s="16" t="s">
        <v>188</v>
      </c>
      <c r="DF83" s="19">
        <v>8.761264891163362</v>
      </c>
      <c r="DG83" s="19">
        <v>11.447862977789901</v>
      </c>
      <c r="DH83" s="19">
        <v>16.056742877939083</v>
      </c>
      <c r="DI83" s="19">
        <v>19.32756087159334</v>
      </c>
      <c r="DJ83" s="21">
        <v>22.8957259555798</v>
      </c>
      <c r="DK83" s="19">
        <v>26.761238129898466</v>
      </c>
      <c r="DL83" s="21">
        <v>8.761264891163362</v>
      </c>
      <c r="DM83" s="19">
        <v>11.447862977789901</v>
      </c>
      <c r="DN83" s="19">
        <v>16.056742877939083</v>
      </c>
      <c r="DO83" s="19">
        <v>19.32756087159334</v>
      </c>
      <c r="DP83" s="19">
        <v>24.977155587905237</v>
      </c>
      <c r="DQ83" s="21">
        <v>28.991341307390005</v>
      </c>
      <c r="DR83" s="21">
        <v>8.761264891163362</v>
      </c>
      <c r="DS83" s="19">
        <v>13.08327197461703</v>
      </c>
      <c r="DT83" s="19">
        <v>16.056742877939083</v>
      </c>
      <c r="DU83" s="19">
        <v>21.260316958752675</v>
      </c>
      <c r="DV83" s="19">
        <v>24.977155587905237</v>
      </c>
      <c r="DW83" s="21">
        <v>28.991341307390005</v>
      </c>
      <c r="DX83" s="21">
        <v>10.221475706357257</v>
      </c>
      <c r="DY83" s="19">
        <v>13.08327197461703</v>
      </c>
      <c r="DZ83" s="19">
        <v>16.056742877939083</v>
      </c>
      <c r="EA83" s="19">
        <v>21.260316958752675</v>
      </c>
      <c r="EB83" s="19">
        <v>24.977155587905237</v>
      </c>
      <c r="EC83" s="21">
        <v>28.991341307390005</v>
      </c>
    </row>
    <row r="84" spans="1:133" ht="12.75">
      <c r="A84" t="s">
        <v>649</v>
      </c>
      <c r="B84" s="191">
        <f>Ip*Beta_N/R0/e/Bt</f>
        <v>0.44360353248604123</v>
      </c>
      <c r="C84" s="7"/>
      <c r="D84" s="7"/>
      <c r="E84" s="7"/>
      <c r="G84" t="s">
        <v>39</v>
      </c>
      <c r="J84" s="169">
        <f>Blanket!B37</f>
        <v>6</v>
      </c>
      <c r="K84" s="17" t="s">
        <v>318</v>
      </c>
      <c r="L84" s="36">
        <v>6</v>
      </c>
      <c r="M84" s="36">
        <v>6</v>
      </c>
      <c r="N84" s="36">
        <v>3</v>
      </c>
      <c r="O84" s="36">
        <v>3</v>
      </c>
      <c r="P84" s="36"/>
      <c r="Q84" s="36"/>
      <c r="R84" s="16"/>
      <c r="S84" s="16"/>
      <c r="T84" s="16"/>
      <c r="U84" s="16"/>
      <c r="V84" s="16"/>
      <c r="W84" s="16"/>
      <c r="X84" s="16"/>
      <c r="Y84" s="16"/>
      <c r="Z84" s="16"/>
      <c r="AA84" s="36"/>
      <c r="AB84" s="36"/>
      <c r="AC84" s="16"/>
      <c r="AD84" s="16" t="str">
        <f t="shared" si="4"/>
        <v>#Test Module Ports</v>
      </c>
      <c r="AE84" s="16">
        <v>6</v>
      </c>
      <c r="AF84" s="16">
        <v>6</v>
      </c>
      <c r="AG84" s="16">
        <v>3</v>
      </c>
      <c r="AH84" s="36">
        <v>3</v>
      </c>
      <c r="AI84" s="36">
        <v>3</v>
      </c>
      <c r="AJ84" s="36">
        <v>6</v>
      </c>
      <c r="AK84" s="36">
        <v>6</v>
      </c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X84" s="16" t="str">
        <f t="shared" si="5"/>
        <v>#Test Module Ports</v>
      </c>
      <c r="AY84" s="16">
        <v>7</v>
      </c>
      <c r="AZ84" s="16">
        <v>7</v>
      </c>
      <c r="BA84" s="16">
        <v>6</v>
      </c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>
        <v>6</v>
      </c>
      <c r="BR84" s="16" t="str">
        <f t="shared" si="6"/>
        <v>#Test Module Ports</v>
      </c>
      <c r="BS84" s="16">
        <v>6</v>
      </c>
      <c r="BT84" s="16">
        <v>7</v>
      </c>
      <c r="BU84" s="16">
        <v>6</v>
      </c>
      <c r="BV84" s="36">
        <v>5</v>
      </c>
      <c r="BW84" s="36">
        <v>7</v>
      </c>
      <c r="BX84" s="36">
        <v>7</v>
      </c>
      <c r="BY84" s="36">
        <v>5</v>
      </c>
      <c r="BZ84" s="36">
        <v>6</v>
      </c>
      <c r="CA84" s="36">
        <v>8</v>
      </c>
      <c r="CB84" s="36">
        <v>5</v>
      </c>
      <c r="CC84" s="36">
        <v>6</v>
      </c>
      <c r="CD84" s="36">
        <v>7</v>
      </c>
      <c r="CE84" s="36">
        <v>5</v>
      </c>
      <c r="CF84" s="36">
        <v>5</v>
      </c>
      <c r="CG84" s="36">
        <v>6</v>
      </c>
      <c r="CH84" s="36">
        <v>4</v>
      </c>
      <c r="CI84" s="36">
        <v>5</v>
      </c>
      <c r="CJ84" s="36">
        <v>6</v>
      </c>
      <c r="CL84" s="16" t="str">
        <f t="shared" si="7"/>
        <v>#Test Module Ports</v>
      </c>
      <c r="CM84" s="16">
        <v>4</v>
      </c>
      <c r="CN84" s="16">
        <v>4</v>
      </c>
      <c r="CO84" s="16">
        <v>4</v>
      </c>
      <c r="CP84" s="36">
        <v>5</v>
      </c>
      <c r="CQ84" s="36">
        <v>5</v>
      </c>
      <c r="CR84" s="36">
        <v>5</v>
      </c>
      <c r="CS84" s="36">
        <v>4</v>
      </c>
      <c r="CT84" s="36">
        <v>4</v>
      </c>
      <c r="CU84" s="36">
        <v>4</v>
      </c>
      <c r="CV84" s="36">
        <v>3</v>
      </c>
      <c r="CW84" s="36">
        <v>3</v>
      </c>
      <c r="CX84" s="36">
        <v>3</v>
      </c>
      <c r="CY84" s="36">
        <v>3</v>
      </c>
      <c r="CZ84" s="36">
        <v>3</v>
      </c>
      <c r="DA84" s="36">
        <v>3</v>
      </c>
      <c r="DB84" s="36"/>
      <c r="DC84" s="36"/>
      <c r="DE84" s="16" t="s">
        <v>318</v>
      </c>
      <c r="DF84" s="16">
        <v>6</v>
      </c>
      <c r="DG84" s="16">
        <v>7</v>
      </c>
      <c r="DH84" s="16">
        <v>6</v>
      </c>
      <c r="DI84" s="36">
        <v>6</v>
      </c>
      <c r="DJ84" s="36">
        <v>5</v>
      </c>
      <c r="DK84" s="36">
        <v>5</v>
      </c>
      <c r="DL84" s="36">
        <v>6</v>
      </c>
      <c r="DM84" s="36">
        <v>7</v>
      </c>
      <c r="DN84" s="36">
        <v>6</v>
      </c>
      <c r="DO84" s="36">
        <v>6</v>
      </c>
      <c r="DP84" s="36">
        <v>5</v>
      </c>
      <c r="DQ84" s="36">
        <v>5</v>
      </c>
      <c r="DR84" s="36">
        <v>6</v>
      </c>
      <c r="DS84" s="36">
        <v>7</v>
      </c>
      <c r="DT84" s="36">
        <v>6</v>
      </c>
      <c r="DU84" s="36">
        <v>6</v>
      </c>
      <c r="DV84" s="36">
        <v>5</v>
      </c>
      <c r="DW84" s="36">
        <v>5</v>
      </c>
      <c r="DX84" s="36">
        <v>7</v>
      </c>
      <c r="DY84" s="36">
        <v>7</v>
      </c>
      <c r="DZ84" s="36">
        <v>6</v>
      </c>
      <c r="EA84" s="36">
        <v>6</v>
      </c>
      <c r="EB84" s="36">
        <v>5</v>
      </c>
      <c r="EC84" s="36">
        <v>5</v>
      </c>
    </row>
    <row r="85" spans="1:133" ht="12.75">
      <c r="A85" t="s">
        <v>454</v>
      </c>
      <c r="B85" s="192">
        <f>Beta_T*qcyl^2*2*A^2/(1+kappa^2)</f>
        <v>1.1739405812892596</v>
      </c>
      <c r="C85" s="7"/>
      <c r="D85" s="7"/>
      <c r="E85" s="7"/>
      <c r="J85" s="166">
        <f>2*PI()*(J31+0.15)*(2*J32*J29/J30-J81)</f>
        <v>45.08692600253503</v>
      </c>
      <c r="K85" s="17" t="s">
        <v>482</v>
      </c>
      <c r="L85" s="19">
        <v>45.08692600253503</v>
      </c>
      <c r="M85" s="19">
        <v>45.08692600253503</v>
      </c>
      <c r="N85" s="19">
        <v>188.59033970698601</v>
      </c>
      <c r="O85" s="19">
        <v>269.9972894337854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6" t="str">
        <f t="shared" si="4"/>
        <v>A_cyl_blanket[m^2]</v>
      </c>
      <c r="AE85" s="19">
        <v>45.08692600253503</v>
      </c>
      <c r="AF85" s="19">
        <v>45.08692600253503</v>
      </c>
      <c r="AG85" s="19">
        <v>188.59033970698601</v>
      </c>
      <c r="AH85" s="19">
        <v>269.9972894337854</v>
      </c>
      <c r="AI85" s="19">
        <v>305.4688911303867</v>
      </c>
      <c r="AJ85" s="19">
        <v>45.08692600253503</v>
      </c>
      <c r="AK85" s="19">
        <v>45.08692600253503</v>
      </c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X85" s="16" t="str">
        <f t="shared" si="5"/>
        <v>A_cyl_blanket[m^2]</v>
      </c>
      <c r="AY85" s="19">
        <v>32.05001832185913</v>
      </c>
      <c r="AZ85" s="19">
        <v>38.125830838060956</v>
      </c>
      <c r="BA85" s="19">
        <v>45.08692600253503</v>
      </c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>
        <v>28.29178951356927</v>
      </c>
      <c r="BR85" s="16" t="str">
        <f t="shared" si="6"/>
        <v>A_cyl_blanket[m^2]</v>
      </c>
      <c r="BS85" s="19">
        <v>32.05001832185913</v>
      </c>
      <c r="BT85" s="19">
        <v>38.125830838060956</v>
      </c>
      <c r="BU85" s="19">
        <v>45.08692600253503</v>
      </c>
      <c r="BV85" s="19">
        <v>31.597640755126275</v>
      </c>
      <c r="BW85" s="19">
        <v>34.287319306040104</v>
      </c>
      <c r="BX85" s="19">
        <v>39.89539288150165</v>
      </c>
      <c r="BY85" s="19">
        <v>27.53182226321855</v>
      </c>
      <c r="BZ85" s="19">
        <v>33.84995452405301</v>
      </c>
      <c r="CA85" s="19">
        <v>36.49585282561534</v>
      </c>
      <c r="CB85" s="19">
        <v>23.88398749045222</v>
      </c>
      <c r="CC85" s="19">
        <v>29.837935387864363</v>
      </c>
      <c r="CD85" s="19">
        <v>36.0730521722544</v>
      </c>
      <c r="CE85" s="19">
        <v>20.820930132364495</v>
      </c>
      <c r="CF85" s="19">
        <v>26.1375462739817</v>
      </c>
      <c r="CG85" s="19">
        <v>32.025121569921275</v>
      </c>
      <c r="CH85" s="19">
        <v>18.221462800093693</v>
      </c>
      <c r="CI85" s="19">
        <v>22.996728715404757</v>
      </c>
      <c r="CJ85" s="19">
        <v>28.29178951356927</v>
      </c>
      <c r="CL85" s="16" t="str">
        <f t="shared" si="7"/>
        <v>A_cyl_blanket[m^2]</v>
      </c>
      <c r="CM85" s="19">
        <v>146.73639095657072</v>
      </c>
      <c r="CN85" s="19">
        <v>129.73918439043896</v>
      </c>
      <c r="CO85" s="19">
        <v>115.79197044506952</v>
      </c>
      <c r="CP85" s="19">
        <v>104.18772648773744</v>
      </c>
      <c r="CQ85" s="19">
        <v>94.41573326035177</v>
      </c>
      <c r="CR85" s="19">
        <v>86.09906042292246</v>
      </c>
      <c r="CS85" s="19">
        <v>129.73918439043896</v>
      </c>
      <c r="CT85" s="19">
        <v>141.55344508005027</v>
      </c>
      <c r="CU85" s="19">
        <v>153.88222968579208</v>
      </c>
      <c r="CV85" s="19">
        <v>166.7255382076644</v>
      </c>
      <c r="CW85" s="19">
        <v>180.0833706456672</v>
      </c>
      <c r="CX85" s="19">
        <v>193.9557269998005</v>
      </c>
      <c r="CY85" s="19">
        <v>208.3426072700642</v>
      </c>
      <c r="CZ85" s="19">
        <v>223.2440114564584</v>
      </c>
      <c r="DA85" s="19">
        <v>238.65993955898318</v>
      </c>
      <c r="DB85" s="19"/>
      <c r="DC85" s="19"/>
      <c r="DE85" s="16" t="s">
        <v>482</v>
      </c>
      <c r="DF85" s="19">
        <v>32.05001832185913</v>
      </c>
      <c r="DG85" s="19">
        <v>38.125830838060956</v>
      </c>
      <c r="DH85" s="19">
        <v>45.08692600253503</v>
      </c>
      <c r="DI85" s="19">
        <v>52.63053959081447</v>
      </c>
      <c r="DJ85" s="19">
        <v>60.75667160289926</v>
      </c>
      <c r="DK85" s="19">
        <v>69.46532203878942</v>
      </c>
      <c r="DL85" s="19">
        <v>32.05001832185913</v>
      </c>
      <c r="DM85" s="19">
        <v>38.125830838060956</v>
      </c>
      <c r="DN85" s="19">
        <v>45.08692600253503</v>
      </c>
      <c r="DO85" s="19">
        <v>52.63053959081447</v>
      </c>
      <c r="DP85" s="19">
        <v>60.75667160289926</v>
      </c>
      <c r="DQ85" s="19">
        <v>69.46532203878942</v>
      </c>
      <c r="DR85" s="19">
        <v>32.05001832185913</v>
      </c>
      <c r="DS85" s="19">
        <v>38.125830838060956</v>
      </c>
      <c r="DT85" s="19">
        <v>45.08692600253503</v>
      </c>
      <c r="DU85" s="19">
        <v>52.63053959081447</v>
      </c>
      <c r="DV85" s="19">
        <v>60.75667160289926</v>
      </c>
      <c r="DW85" s="19">
        <v>69.46532203878942</v>
      </c>
      <c r="DX85" s="19">
        <v>32.05001832185913</v>
      </c>
      <c r="DY85" s="19">
        <v>38.125830838060956</v>
      </c>
      <c r="DZ85" s="19">
        <v>45.08692600253503</v>
      </c>
      <c r="EA85" s="19">
        <v>52.63053959081447</v>
      </c>
      <c r="EB85" s="19">
        <v>60.75667160289926</v>
      </c>
      <c r="EC85" s="19">
        <v>69.46532203878942</v>
      </c>
    </row>
    <row r="86" spans="1:133" ht="12.75">
      <c r="A86" t="s">
        <v>727</v>
      </c>
      <c r="B86" s="181">
        <f>Beta_N!B13</f>
        <v>1.3260572667968737</v>
      </c>
      <c r="C86" s="7"/>
      <c r="D86" s="7"/>
      <c r="E86" s="7"/>
      <c r="J86" s="164">
        <f>B279</f>
        <v>46.886802867771635</v>
      </c>
      <c r="K86" s="19" t="str">
        <f>A279</f>
        <v>T fueling rate[gm/day]</v>
      </c>
      <c r="L86" s="21">
        <v>11.72170071693087</v>
      </c>
      <c r="M86" s="21">
        <v>46.88680286772354</v>
      </c>
      <c r="N86" s="21">
        <v>202.8857926545444</v>
      </c>
      <c r="O86" s="21">
        <v>488.6166595569589</v>
      </c>
      <c r="P86" s="21"/>
      <c r="Q86" s="21"/>
      <c r="R86" s="19"/>
      <c r="S86" s="19"/>
      <c r="T86" s="19"/>
      <c r="U86" s="19"/>
      <c r="V86" s="19"/>
      <c r="W86" s="19"/>
      <c r="X86" s="19"/>
      <c r="Y86" s="19"/>
      <c r="Z86" s="19"/>
      <c r="AA86" s="21"/>
      <c r="AB86" s="21"/>
      <c r="AC86" s="19"/>
      <c r="AD86" s="16" t="str">
        <f t="shared" si="4"/>
        <v>T fueling rate[gm/day]</v>
      </c>
      <c r="AE86" s="19">
        <v>11.721700716930876</v>
      </c>
      <c r="AF86" s="19">
        <v>46.88680286772354</v>
      </c>
      <c r="AG86" s="19">
        <v>202.8857926545444</v>
      </c>
      <c r="AH86" s="21">
        <v>488.6166595569589</v>
      </c>
      <c r="AI86" s="21">
        <v>341.3334729038517</v>
      </c>
      <c r="AJ86" s="21">
        <v>11.721700716930876</v>
      </c>
      <c r="AK86" s="21">
        <v>46.88680286772354</v>
      </c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X86" s="16" t="str">
        <f t="shared" si="5"/>
        <v>T fueling rate[gm/day]</v>
      </c>
      <c r="AY86" s="19">
        <v>8.12835110933096</v>
      </c>
      <c r="AZ86" s="19">
        <v>9.849484630198866</v>
      </c>
      <c r="BA86" s="19">
        <v>11.721700716930782</v>
      </c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>
        <v>8.955538671293208</v>
      </c>
      <c r="BR86" s="16" t="str">
        <f t="shared" si="6"/>
        <v>T fueling rate[gm/day]</v>
      </c>
      <c r="BS86" s="19">
        <v>16.256702218694084</v>
      </c>
      <c r="BT86" s="19">
        <v>19.6989692603978</v>
      </c>
      <c r="BU86" s="19">
        <v>23.443401433861723</v>
      </c>
      <c r="BV86" s="21">
        <v>15.110160076368448</v>
      </c>
      <c r="BW86" s="21">
        <v>18.544457706479236</v>
      </c>
      <c r="BX86" s="21">
        <v>22.123075339310496</v>
      </c>
      <c r="BY86" s="21">
        <v>14.355237392772988</v>
      </c>
      <c r="BZ86" s="21">
        <v>17.315210167372634</v>
      </c>
      <c r="CA86" s="21">
        <v>20.87276450121825</v>
      </c>
      <c r="CB86" s="21">
        <v>13.704288070772934</v>
      </c>
      <c r="CC86" s="21">
        <v>16.490728208226535</v>
      </c>
      <c r="CD86" s="21">
        <v>19.567427783319058</v>
      </c>
      <c r="CE86" s="21">
        <v>13.124737808237652</v>
      </c>
      <c r="CF86" s="21">
        <v>15.777406341205815</v>
      </c>
      <c r="CG86" s="21">
        <v>18.68378015474735</v>
      </c>
      <c r="CH86" s="21">
        <v>12.606745708857144</v>
      </c>
      <c r="CI86" s="21">
        <v>15.137685994208457</v>
      </c>
      <c r="CJ86" s="21">
        <v>17.91107734258645</v>
      </c>
      <c r="CL86" s="16" t="str">
        <f t="shared" si="7"/>
        <v>T fueling rate[gm/day]</v>
      </c>
      <c r="CM86" s="19">
        <v>203.68096132208646</v>
      </c>
      <c r="CN86" s="19">
        <v>207.1380469258468</v>
      </c>
      <c r="CO86" s="19">
        <v>210.0892002129614</v>
      </c>
      <c r="CP86" s="21">
        <v>215.08461098362298</v>
      </c>
      <c r="CQ86" s="21">
        <v>218.9564771176654</v>
      </c>
      <c r="CR86" s="21">
        <v>199.06055511485275</v>
      </c>
      <c r="CS86" s="21">
        <v>204.10703724269948</v>
      </c>
      <c r="CT86" s="21">
        <v>203.7704778799962</v>
      </c>
      <c r="CU86" s="21">
        <v>203.73864691176607</v>
      </c>
      <c r="CV86" s="21">
        <v>203.85766986704277</v>
      </c>
      <c r="CW86" s="21">
        <v>237.2345269495578</v>
      </c>
      <c r="CX86" s="21">
        <v>237.17833545919038</v>
      </c>
      <c r="CY86" s="21">
        <v>237.13661745644177</v>
      </c>
      <c r="CZ86" s="21">
        <v>237.1077922747012</v>
      </c>
      <c r="DA86" s="21">
        <v>237.09049037548064</v>
      </c>
      <c r="DB86" s="21"/>
      <c r="DC86" s="21"/>
      <c r="DE86" s="16" t="s">
        <v>127</v>
      </c>
      <c r="DF86" s="19">
        <v>16.688264346224305</v>
      </c>
      <c r="DG86" s="19">
        <v>23.384887008736328</v>
      </c>
      <c r="DH86" s="19">
        <v>23.608243571439885</v>
      </c>
      <c r="DI86" s="21">
        <v>22.093648106874106</v>
      </c>
      <c r="DJ86" s="21">
        <v>20.773771293754724</v>
      </c>
      <c r="DK86" s="21">
        <v>19.609438460911427</v>
      </c>
      <c r="DL86" s="21">
        <v>18.7167805781149</v>
      </c>
      <c r="DM86" s="21">
        <v>29.585495435478805</v>
      </c>
      <c r="DN86" s="21">
        <v>43.93341736457797</v>
      </c>
      <c r="DO86" s="21">
        <v>61.58652276464821</v>
      </c>
      <c r="DP86" s="21">
        <v>82.30470409056579</v>
      </c>
      <c r="DQ86" s="21">
        <v>103.88045414595925</v>
      </c>
      <c r="DR86" s="21">
        <v>15.342010236858414</v>
      </c>
      <c r="DS86" s="21">
        <v>26.404278412054758</v>
      </c>
      <c r="DT86" s="21">
        <v>42.07656085118615</v>
      </c>
      <c r="DU86" s="21">
        <v>62.23623182765418</v>
      </c>
      <c r="DV86" s="21">
        <v>85.6629541883757</v>
      </c>
      <c r="DW86" s="21">
        <v>108.71197015281825</v>
      </c>
      <c r="DX86" s="21">
        <v>11.980926675358774</v>
      </c>
      <c r="DY86" s="21">
        <v>20.589258860922424</v>
      </c>
      <c r="DZ86" s="21">
        <v>30.99678133296785</v>
      </c>
      <c r="EA86" s="21">
        <v>44.63066003291456</v>
      </c>
      <c r="EB86" s="21">
        <v>61.22957144111227</v>
      </c>
      <c r="EC86" s="21">
        <v>80.6340486041999</v>
      </c>
    </row>
    <row r="87" spans="1:133" ht="12.75">
      <c r="A87" t="s">
        <v>84</v>
      </c>
      <c r="B87" s="28">
        <f>0.712</f>
        <v>0.712</v>
      </c>
      <c r="C87" s="7"/>
      <c r="D87" s="7"/>
      <c r="E87" s="7"/>
      <c r="J87" s="165">
        <f>f_CS</f>
        <v>0.0725837881797022</v>
      </c>
      <c r="K87" s="16" t="s">
        <v>540</v>
      </c>
      <c r="L87" s="18">
        <v>0.0725837881797022</v>
      </c>
      <c r="M87" s="18">
        <v>0.0725837881797022</v>
      </c>
      <c r="N87" s="18">
        <v>0.0725837881797022</v>
      </c>
      <c r="O87" s="18">
        <v>0.07258378817970215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6" t="str">
        <f t="shared" si="4"/>
        <v>fCS</v>
      </c>
      <c r="AE87" s="18">
        <v>0.0725837881797022</v>
      </c>
      <c r="AF87" s="18">
        <v>0.0725837881797022</v>
      </c>
      <c r="AG87" s="18">
        <v>0.0725837881797022</v>
      </c>
      <c r="AH87" s="18">
        <v>0.07258378817970215</v>
      </c>
      <c r="AI87" s="18">
        <v>0.0840173695578488</v>
      </c>
      <c r="AJ87" s="18">
        <v>0.0725837881797022</v>
      </c>
      <c r="AK87" s="18">
        <v>0.0725837881797022</v>
      </c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6" t="str">
        <f t="shared" si="5"/>
        <v>fCS</v>
      </c>
      <c r="AY87" s="18">
        <v>0.07258378817970218</v>
      </c>
      <c r="AZ87" s="18">
        <v>0.07258378817970218</v>
      </c>
      <c r="BA87" s="18">
        <v>0.0725837881797022</v>
      </c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>
        <v>0.11967213299017507</v>
      </c>
      <c r="BR87" s="16" t="str">
        <f t="shared" si="6"/>
        <v>fCS</v>
      </c>
      <c r="BS87" s="18">
        <v>0.07258378817970218</v>
      </c>
      <c r="BT87" s="18">
        <v>0.07258378817970218</v>
      </c>
      <c r="BU87" s="18">
        <v>0.0725837881797022</v>
      </c>
      <c r="BV87" s="18">
        <v>0.0840173695578488</v>
      </c>
      <c r="BW87" s="18">
        <v>0.0840173695578488</v>
      </c>
      <c r="BX87" s="18">
        <v>0.0840173695578488</v>
      </c>
      <c r="BY87" s="18">
        <v>0.09428772078099217</v>
      </c>
      <c r="BZ87" s="18">
        <v>0.09428772078099218</v>
      </c>
      <c r="CA87" s="18">
        <v>0.09428772078099217</v>
      </c>
      <c r="CB87" s="18">
        <v>0.10356571503984044</v>
      </c>
      <c r="CC87" s="18">
        <v>0.10356571503984041</v>
      </c>
      <c r="CD87" s="18">
        <v>0.10356571503984044</v>
      </c>
      <c r="CE87" s="18">
        <v>0.11198948501824438</v>
      </c>
      <c r="CF87" s="18">
        <v>0.11198948501824443</v>
      </c>
      <c r="CG87" s="18">
        <v>0.1119894850182444</v>
      </c>
      <c r="CH87" s="18">
        <v>0.11967213299017498</v>
      </c>
      <c r="CI87" s="18">
        <v>0.11967213299017503</v>
      </c>
      <c r="CJ87" s="18">
        <v>0.11967213299017507</v>
      </c>
      <c r="CL87" s="16" t="str">
        <f t="shared" si="7"/>
        <v>fCS</v>
      </c>
      <c r="CM87" s="18">
        <v>0.07258378817970218</v>
      </c>
      <c r="CN87" s="18">
        <v>0.0840173695578488</v>
      </c>
      <c r="CO87" s="18">
        <v>0.09428772078099218</v>
      </c>
      <c r="CP87" s="18">
        <v>0.10356571503984041</v>
      </c>
      <c r="CQ87" s="18">
        <v>0.11198948501824443</v>
      </c>
      <c r="CR87" s="18">
        <v>0.11967213299017503</v>
      </c>
      <c r="CS87" s="18">
        <v>0.0840173695578488</v>
      </c>
      <c r="CT87" s="18">
        <v>0.0840173695578488</v>
      </c>
      <c r="CU87" s="18">
        <v>0.0840173695578488</v>
      </c>
      <c r="CV87" s="18">
        <v>0.0840173695578488</v>
      </c>
      <c r="CW87" s="18">
        <v>0.0840173695578488</v>
      </c>
      <c r="CX87" s="18">
        <v>0.0840173695578488</v>
      </c>
      <c r="CY87" s="18">
        <v>0.0840173695578488</v>
      </c>
      <c r="CZ87" s="18">
        <v>0.0840173695578488</v>
      </c>
      <c r="DA87" s="18">
        <v>0.0840173695578488</v>
      </c>
      <c r="DB87" s="18"/>
      <c r="DC87" s="18"/>
      <c r="DE87" s="16" t="s">
        <v>540</v>
      </c>
      <c r="DF87" s="18">
        <v>0.07258378817970218</v>
      </c>
      <c r="DG87" s="18">
        <v>0.07258378817970218</v>
      </c>
      <c r="DH87" s="18">
        <v>0.0725837881797022</v>
      </c>
      <c r="DI87" s="18">
        <v>0.07258378817970218</v>
      </c>
      <c r="DJ87" s="18">
        <v>0.07258378817970218</v>
      </c>
      <c r="DK87" s="18">
        <v>0.07258378817970215</v>
      </c>
      <c r="DL87" s="18">
        <v>0.07258378817970218</v>
      </c>
      <c r="DM87" s="18">
        <v>0.07258378817970218</v>
      </c>
      <c r="DN87" s="18">
        <v>0.0725837881797022</v>
      </c>
      <c r="DO87" s="18">
        <v>0.07258378817970218</v>
      </c>
      <c r="DP87" s="18">
        <v>0.07258378817970218</v>
      </c>
      <c r="DQ87" s="18">
        <v>0.07258378817970215</v>
      </c>
      <c r="DR87" s="18">
        <v>0.07258378817970218</v>
      </c>
      <c r="DS87" s="18">
        <v>0.07258378817970218</v>
      </c>
      <c r="DT87" s="18">
        <v>0.0725837881797022</v>
      </c>
      <c r="DU87" s="18">
        <v>0.07258378817970218</v>
      </c>
      <c r="DV87" s="18">
        <v>0.07258378817970218</v>
      </c>
      <c r="DW87" s="18">
        <v>0.07258378817970215</v>
      </c>
      <c r="DX87" s="18">
        <v>0.07258378817970218</v>
      </c>
      <c r="DY87" s="18">
        <v>0.07258378817970218</v>
      </c>
      <c r="DZ87" s="18">
        <v>0.0725837881797022</v>
      </c>
      <c r="EA87" s="18">
        <v>0.07258378817970218</v>
      </c>
      <c r="EB87" s="18">
        <v>0.07258378817970218</v>
      </c>
      <c r="EC87" s="18">
        <v>0.07258378817970215</v>
      </c>
    </row>
    <row r="88" spans="1:133" ht="12.75">
      <c r="A88" t="s">
        <v>247</v>
      </c>
      <c r="B88" s="193">
        <f>MIN(Beta_P*B87*B86^0.25/SQRT(A),0.99)</f>
        <v>0.7323539862974283</v>
      </c>
      <c r="C88" s="7"/>
      <c r="D88" s="7"/>
      <c r="E88" s="7"/>
      <c r="J88" s="165">
        <f>fN</f>
        <v>0.7726082302840854</v>
      </c>
      <c r="K88" s="22" t="s">
        <v>242</v>
      </c>
      <c r="L88" s="18">
        <v>0.8153566629271372</v>
      </c>
      <c r="M88" s="18">
        <v>0.8065318253287405</v>
      </c>
      <c r="N88" s="18">
        <v>0.8708851145158207</v>
      </c>
      <c r="O88" s="18">
        <v>0.8744244973563713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6" t="str">
        <f t="shared" si="4"/>
        <v>fN</v>
      </c>
      <c r="AE88" s="18">
        <v>0.8172674113181391</v>
      </c>
      <c r="AF88" s="18">
        <v>0.8065318253287405</v>
      </c>
      <c r="AG88" s="18">
        <v>0.8708851145158207</v>
      </c>
      <c r="AH88" s="18">
        <v>0.8744244973563713</v>
      </c>
      <c r="AI88" s="18">
        <v>0.8487276352127568</v>
      </c>
      <c r="AJ88" s="18">
        <v>0.8172674113181391</v>
      </c>
      <c r="AK88" s="18">
        <v>0.8065318253287405</v>
      </c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6" t="str">
        <f t="shared" si="5"/>
        <v>fN</v>
      </c>
      <c r="AY88" s="18">
        <v>0.8060090094699391</v>
      </c>
      <c r="AZ88" s="18">
        <v>0.7610765508031623</v>
      </c>
      <c r="BA88" s="18">
        <v>0.779448524876763</v>
      </c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>
        <v>0.6604025566948337</v>
      </c>
      <c r="BR88" s="16" t="str">
        <f t="shared" si="6"/>
        <v>fN</v>
      </c>
      <c r="BS88" s="18">
        <v>0.7329490512913615</v>
      </c>
      <c r="BT88" s="18">
        <v>0.7662663484368</v>
      </c>
      <c r="BU88" s="18">
        <v>0.7845437773795579</v>
      </c>
      <c r="BV88" s="18">
        <v>0.7306896345530336</v>
      </c>
      <c r="BW88" s="18">
        <v>0.741276438487197</v>
      </c>
      <c r="BX88" s="18">
        <v>0.7564345173821719</v>
      </c>
      <c r="BY88" s="18">
        <v>0.7030027798531343</v>
      </c>
      <c r="BZ88" s="18">
        <v>0.7246933336871606</v>
      </c>
      <c r="CA88" s="18">
        <v>0.7313870626579932</v>
      </c>
      <c r="CB88" s="18">
        <v>0.6742524950042886</v>
      </c>
      <c r="CC88" s="18">
        <v>0.697605112848188</v>
      </c>
      <c r="CD88" s="18">
        <v>0.7151889240037235</v>
      </c>
      <c r="CE88" s="18">
        <v>0.6480804452662002</v>
      </c>
      <c r="CF88" s="18">
        <v>0.6717876484550687</v>
      </c>
      <c r="CG88" s="18">
        <v>0.6906691761678044</v>
      </c>
      <c r="CH88" s="18">
        <v>0.6241779729245824</v>
      </c>
      <c r="CI88" s="18">
        <v>0.6481918790942511</v>
      </c>
      <c r="CJ88" s="18">
        <v>0.6673988488945423</v>
      </c>
      <c r="CL88" s="16" t="str">
        <f t="shared" si="7"/>
        <v>fN</v>
      </c>
      <c r="CM88" s="18">
        <v>0.8666479476614394</v>
      </c>
      <c r="CN88" s="18">
        <v>0.8368012152129977</v>
      </c>
      <c r="CO88" s="18">
        <v>0.8104621515712546</v>
      </c>
      <c r="CP88" s="18">
        <v>0.7870299390484456</v>
      </c>
      <c r="CQ88" s="18">
        <v>0.7660395290825724</v>
      </c>
      <c r="CR88" s="18">
        <v>0.7464535936434477</v>
      </c>
      <c r="CS88" s="18">
        <v>0.8367993968930864</v>
      </c>
      <c r="CT88" s="18">
        <v>0.8382917606024911</v>
      </c>
      <c r="CU88" s="18">
        <v>0.839656848798691</v>
      </c>
      <c r="CV88" s="18">
        <v>0.8409098713816648</v>
      </c>
      <c r="CW88" s="18">
        <v>0.8420164089498807</v>
      </c>
      <c r="CX88" s="18">
        <v>0.8430855021820741</v>
      </c>
      <c r="CY88" s="18">
        <v>0.844076394103841</v>
      </c>
      <c r="CZ88" s="18">
        <v>0.844997324328512</v>
      </c>
      <c r="DA88" s="18">
        <v>0.8458554172554782</v>
      </c>
      <c r="DB88" s="18"/>
      <c r="DC88" s="18"/>
      <c r="DE88" s="16" t="s">
        <v>242</v>
      </c>
      <c r="DF88" s="18">
        <v>0.7326999731096746</v>
      </c>
      <c r="DG88" s="18">
        <v>0.7575388218255239</v>
      </c>
      <c r="DH88" s="18">
        <v>0.7825299737403615</v>
      </c>
      <c r="DI88" s="18">
        <v>0.7928750404242696</v>
      </c>
      <c r="DJ88" s="18">
        <v>0.8016733626463102</v>
      </c>
      <c r="DK88" s="18">
        <v>0.8092356370654286</v>
      </c>
      <c r="DL88" s="18">
        <v>0.745855748582555</v>
      </c>
      <c r="DM88" s="18">
        <v>0.7668693039895004</v>
      </c>
      <c r="DN88" s="18">
        <v>0.786418383986424</v>
      </c>
      <c r="DO88" s="18">
        <v>0.8031958938997112</v>
      </c>
      <c r="DP88" s="18">
        <v>0.8172088820768534</v>
      </c>
      <c r="DQ88" s="18">
        <v>0.8282025796221874</v>
      </c>
      <c r="DR88" s="18">
        <v>0.7573142290813378</v>
      </c>
      <c r="DS88" s="18">
        <v>0.776174781484686</v>
      </c>
      <c r="DT88" s="18">
        <v>0.794491211012596</v>
      </c>
      <c r="DU88" s="18">
        <v>0.8107924978468978</v>
      </c>
      <c r="DV88" s="18">
        <v>0.8246639662766437</v>
      </c>
      <c r="DW88" s="18">
        <v>0.8355778465740625</v>
      </c>
      <c r="DX88" s="18">
        <v>0.7657296468631093</v>
      </c>
      <c r="DY88" s="18">
        <v>0.7817563922161275</v>
      </c>
      <c r="DZ88" s="18">
        <v>0.7972038555069859</v>
      </c>
      <c r="EA88" s="18">
        <v>0.8110042042365838</v>
      </c>
      <c r="EB88" s="18">
        <v>0.8228934326505081</v>
      </c>
      <c r="EC88" s="18">
        <v>0.8334116140181366</v>
      </c>
    </row>
    <row r="89" spans="1:133" ht="12.75">
      <c r="A89" t="s">
        <v>280</v>
      </c>
      <c r="B89" s="178">
        <v>0.16883867396508226</v>
      </c>
      <c r="C89" s="7"/>
      <c r="D89" s="228"/>
      <c r="E89" s="228"/>
      <c r="F89" s="223"/>
      <c r="G89" s="178">
        <v>0.44090360284067087</v>
      </c>
      <c r="H89" s="178">
        <v>0.40269221765835933</v>
      </c>
      <c r="I89" s="223"/>
      <c r="J89" s="165">
        <f>B281</f>
        <v>0.9657602878551068</v>
      </c>
      <c r="K89" s="18" t="s">
        <v>523</v>
      </c>
      <c r="L89" s="18">
        <v>1.0191958286589213</v>
      </c>
      <c r="M89" s="18">
        <v>1.0081647816609256</v>
      </c>
      <c r="N89" s="18">
        <v>1.0886063931447758</v>
      </c>
      <c r="O89" s="18">
        <v>1.0930306216954642</v>
      </c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6" t="str">
        <f t="shared" si="4"/>
        <v>FBR</v>
      </c>
      <c r="AE89" s="18">
        <v>1.0215842641476738</v>
      </c>
      <c r="AF89" s="18">
        <v>1.0081647816609256</v>
      </c>
      <c r="AG89" s="18">
        <v>1.0886063931447758</v>
      </c>
      <c r="AH89" s="18">
        <v>1.0930306216954642</v>
      </c>
      <c r="AI89" s="18">
        <v>1.0609095440159462</v>
      </c>
      <c r="AJ89" s="18">
        <v>1.0215842641476738</v>
      </c>
      <c r="AK89" s="18">
        <v>1.0081647816609256</v>
      </c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X89" s="16" t="str">
        <f t="shared" si="5"/>
        <v>FBR</v>
      </c>
      <c r="AY89" s="18">
        <v>1.007511261837424</v>
      </c>
      <c r="AZ89" s="18">
        <v>0.9513456885039528</v>
      </c>
      <c r="BA89" s="18">
        <v>0.9743106560959537</v>
      </c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>
        <v>0.8255031958685422</v>
      </c>
      <c r="BR89" s="16" t="str">
        <f t="shared" si="6"/>
        <v>FBR</v>
      </c>
      <c r="BS89" s="18">
        <v>0.9161863141142018</v>
      </c>
      <c r="BT89" s="18">
        <v>0.957832935546</v>
      </c>
      <c r="BU89" s="18">
        <v>0.9806797217244474</v>
      </c>
      <c r="BV89" s="18">
        <v>0.913362043191292</v>
      </c>
      <c r="BW89" s="18">
        <v>0.9265955481089962</v>
      </c>
      <c r="BX89" s="18">
        <v>0.9455431467277149</v>
      </c>
      <c r="BY89" s="18">
        <v>0.8787534748164179</v>
      </c>
      <c r="BZ89" s="18">
        <v>0.9058666671089508</v>
      </c>
      <c r="CA89" s="18">
        <v>0.9142338283224916</v>
      </c>
      <c r="CB89" s="18">
        <v>0.8428156187553608</v>
      </c>
      <c r="CC89" s="18">
        <v>0.872006391060235</v>
      </c>
      <c r="CD89" s="18">
        <v>0.8939861550046544</v>
      </c>
      <c r="CE89" s="18">
        <v>0.8101005565827503</v>
      </c>
      <c r="CF89" s="18">
        <v>0.8397345605688358</v>
      </c>
      <c r="CG89" s="18">
        <v>0.8633364702097556</v>
      </c>
      <c r="CH89" s="18">
        <v>0.780222466155728</v>
      </c>
      <c r="CI89" s="18">
        <v>0.810239848867814</v>
      </c>
      <c r="CJ89" s="18">
        <v>0.8342485611181778</v>
      </c>
      <c r="CL89" s="16" t="str">
        <f t="shared" si="7"/>
        <v>FBR</v>
      </c>
      <c r="CM89" s="18">
        <v>1.0833099345767991</v>
      </c>
      <c r="CN89" s="18">
        <v>1.046001519016247</v>
      </c>
      <c r="CO89" s="18">
        <v>1.0130776894640683</v>
      </c>
      <c r="CP89" s="18">
        <v>0.9837874238105571</v>
      </c>
      <c r="CQ89" s="18">
        <v>0.9575494113532156</v>
      </c>
      <c r="CR89" s="18">
        <v>0.9330669920543095</v>
      </c>
      <c r="CS89" s="18">
        <v>1.0459992461163579</v>
      </c>
      <c r="CT89" s="18">
        <v>1.0478647007531139</v>
      </c>
      <c r="CU89" s="18">
        <v>1.0495710609983637</v>
      </c>
      <c r="CV89" s="18">
        <v>1.051137339227081</v>
      </c>
      <c r="CW89" s="18">
        <v>1.052520511187351</v>
      </c>
      <c r="CX89" s="18">
        <v>1.0538568777275927</v>
      </c>
      <c r="CY89" s="18">
        <v>1.0550954926298013</v>
      </c>
      <c r="CZ89" s="18">
        <v>1.05624665541064</v>
      </c>
      <c r="DA89" s="18">
        <v>1.0573192715693478</v>
      </c>
      <c r="DB89" s="18"/>
      <c r="DC89" s="18"/>
      <c r="DE89" s="16" t="s">
        <v>523</v>
      </c>
      <c r="DF89" s="18">
        <v>0.9158749663870933</v>
      </c>
      <c r="DG89" s="18">
        <v>0.9469235272819049</v>
      </c>
      <c r="DH89" s="18">
        <v>0.9781624671754519</v>
      </c>
      <c r="DI89" s="18">
        <v>0.991093800530337</v>
      </c>
      <c r="DJ89" s="18">
        <v>1.0020917033078878</v>
      </c>
      <c r="DK89" s="18">
        <v>1.0115445463317858</v>
      </c>
      <c r="DL89" s="18">
        <v>0.9323196857281937</v>
      </c>
      <c r="DM89" s="18">
        <v>0.9585866299868755</v>
      </c>
      <c r="DN89" s="18">
        <v>0.9830229799830301</v>
      </c>
      <c r="DO89" s="18">
        <v>1.003994867374639</v>
      </c>
      <c r="DP89" s="18">
        <v>1.0215111025960668</v>
      </c>
      <c r="DQ89" s="18">
        <v>1.0352532245277342</v>
      </c>
      <c r="DR89" s="18">
        <v>0.9466427863516723</v>
      </c>
      <c r="DS89" s="18">
        <v>0.9702184768558575</v>
      </c>
      <c r="DT89" s="18">
        <v>0.993114013765745</v>
      </c>
      <c r="DU89" s="18">
        <v>1.0134906223086222</v>
      </c>
      <c r="DV89" s="18">
        <v>1.0308299578458047</v>
      </c>
      <c r="DW89" s="18">
        <v>1.0444723082175782</v>
      </c>
      <c r="DX89" s="18">
        <v>0.9571620585788866</v>
      </c>
      <c r="DY89" s="18">
        <v>0.9771954902701594</v>
      </c>
      <c r="DZ89" s="18">
        <v>0.9965048193837324</v>
      </c>
      <c r="EA89" s="18">
        <v>1.0137552552957299</v>
      </c>
      <c r="EB89" s="18">
        <v>1.0286167908131352</v>
      </c>
      <c r="EC89" s="18">
        <v>1.0417645175226706</v>
      </c>
    </row>
    <row r="90" spans="1:133" ht="12.75">
      <c r="A90" t="s">
        <v>196</v>
      </c>
      <c r="B90" s="179">
        <f>(xne*R0*Ip*(1-fBS))/100000000000000000000/Gamma_CD</f>
        <v>39.51683605702496</v>
      </c>
      <c r="C90" s="7"/>
      <c r="D90" s="7"/>
      <c r="E90" s="7"/>
      <c r="J90" s="164">
        <f>B283</f>
        <v>1.6053906335868504</v>
      </c>
      <c r="K90" s="18" t="str">
        <f>A283</f>
        <v>Net T consumption rate[gm/day]</v>
      </c>
      <c r="L90" s="21">
        <v>-0.2250077585533603</v>
      </c>
      <c r="M90" s="21">
        <v>-0.3828205081938236</v>
      </c>
      <c r="N90" s="21">
        <v>-17.97697830743803</v>
      </c>
      <c r="O90" s="21">
        <v>-45.45631160934488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6" t="str">
        <f t="shared" si="4"/>
        <v>Net T consumption rate[gm/day]</v>
      </c>
      <c r="AE90" s="21">
        <v>-0.25300428453421375</v>
      </c>
      <c r="AF90" s="21">
        <v>-0.3828205081938236</v>
      </c>
      <c r="AG90" s="21">
        <v>-17.97697830743803</v>
      </c>
      <c r="AH90" s="21">
        <v>-45.45631160934488</v>
      </c>
      <c r="AI90" s="21">
        <v>-20.79046619195293</v>
      </c>
      <c r="AJ90" s="21">
        <v>-0.25300428453421375</v>
      </c>
      <c r="AK90" s="21">
        <v>-0.3828205081938236</v>
      </c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X90" s="16" t="str">
        <f t="shared" si="5"/>
        <v>Net T consumption rate[gm/day]</v>
      </c>
      <c r="AY90" s="21">
        <v>-0.061054173488701124</v>
      </c>
      <c r="AZ90" s="21">
        <v>0.4792198932732248</v>
      </c>
      <c r="BA90" s="21">
        <v>0.3011228008575415</v>
      </c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>
        <v>1.562712877416347</v>
      </c>
      <c r="BR90" s="16" t="str">
        <f t="shared" si="6"/>
        <v>Net T consumption rate[gm/day]</v>
      </c>
      <c r="BS90" s="21">
        <v>1.3625341332965846</v>
      </c>
      <c r="BT90" s="21">
        <v>0.8306477064805584</v>
      </c>
      <c r="BU90" s="21">
        <v>0.45293303942769825</v>
      </c>
      <c r="BV90" s="21">
        <v>1.3091133960690744</v>
      </c>
      <c r="BW90" s="21">
        <v>1.3612457535600093</v>
      </c>
      <c r="BX90" s="21">
        <v>1.2047530676845426</v>
      </c>
      <c r="BY90" s="21">
        <v>1.7405226520591501</v>
      </c>
      <c r="BZ90" s="21">
        <v>1.629938442763768</v>
      </c>
      <c r="CA90" s="21">
        <v>1.7901771035956884</v>
      </c>
      <c r="CB90" s="21">
        <v>2.1541000408027333</v>
      </c>
      <c r="CC90" s="21">
        <v>2.1107078174156975</v>
      </c>
      <c r="CD90" s="21">
        <v>2.0744182559784043</v>
      </c>
      <c r="CE90" s="21">
        <v>2.492380404781665</v>
      </c>
      <c r="CF90" s="21">
        <v>2.528572960357387</v>
      </c>
      <c r="CG90" s="21">
        <v>2.553391345772692</v>
      </c>
      <c r="CH90" s="21">
        <v>2.770679481694481</v>
      </c>
      <c r="CI90" s="21">
        <v>2.8725295820525734</v>
      </c>
      <c r="CJ90" s="21">
        <v>2.968786841457309</v>
      </c>
      <c r="CL90" s="16" t="str">
        <f t="shared" si="7"/>
        <v>Net T consumption rate[gm/day]</v>
      </c>
      <c r="CM90" s="21">
        <v>-16.96864756228257</v>
      </c>
      <c r="CN90" s="21">
        <v>-9.528664804647605</v>
      </c>
      <c r="CO90" s="21">
        <v>-2.7474813201395705</v>
      </c>
      <c r="CP90" s="21">
        <v>3.4870756427486924</v>
      </c>
      <c r="CQ90" s="21">
        <v>9.294831341671085</v>
      </c>
      <c r="CR90" s="21">
        <v>13.323721717176</v>
      </c>
      <c r="CS90" s="21">
        <v>-9.388769840207544</v>
      </c>
      <c r="CT90" s="21">
        <v>-9.753412946045017</v>
      </c>
      <c r="CU90" s="21">
        <v>-10.099540893787236</v>
      </c>
      <c r="CV90" s="21">
        <v>-10.424738818033262</v>
      </c>
      <c r="CW90" s="21">
        <v>-12.459678626680187</v>
      </c>
      <c r="CX90" s="21">
        <v>-12.77368461245959</v>
      </c>
      <c r="CY90" s="21">
        <v>-13.065158759327403</v>
      </c>
      <c r="CZ90" s="21">
        <v>-13.336520287252739</v>
      </c>
      <c r="DA90" s="21">
        <v>-13.589854204342004</v>
      </c>
      <c r="DB90" s="21"/>
      <c r="DC90" s="21"/>
      <c r="DE90" s="16" t="s">
        <v>751</v>
      </c>
      <c r="DF90" s="21">
        <v>1.4039007990671912</v>
      </c>
      <c r="DG90" s="21">
        <v>1.24118731733493</v>
      </c>
      <c r="DH90" s="21">
        <v>0.5155457939212447</v>
      </c>
      <c r="DI90" s="21">
        <v>0.1967704370523613</v>
      </c>
      <c r="DJ90" s="21">
        <v>-0.04345256613245141</v>
      </c>
      <c r="DK90" s="21">
        <v>-0.22638207085229567</v>
      </c>
      <c r="DL90" s="21">
        <v>1.2667575916832554</v>
      </c>
      <c r="DM90" s="21">
        <v>1.2252350694910916</v>
      </c>
      <c r="DN90" s="21">
        <v>0.7458585060123326</v>
      </c>
      <c r="DO90" s="21">
        <v>-0.24602999050996033</v>
      </c>
      <c r="DP90" s="21">
        <v>-1.7704649338310787</v>
      </c>
      <c r="DQ90" s="21">
        <v>-3.662120974050495</v>
      </c>
      <c r="DR90" s="21">
        <v>0.8186069180028852</v>
      </c>
      <c r="DS90" s="21">
        <v>0.7863596286329901</v>
      </c>
      <c r="DT90" s="21">
        <v>0.2897386188060622</v>
      </c>
      <c r="DU90" s="21">
        <v>-0.8396054974987308</v>
      </c>
      <c r="DV90" s="21">
        <v>-2.6409852665747167</v>
      </c>
      <c r="DW90" s="21">
        <v>-4.834672243576293</v>
      </c>
      <c r="DX90" s="21">
        <v>0.5132382350896734</v>
      </c>
      <c r="DY90" s="21">
        <v>0.4695279540241124</v>
      </c>
      <c r="DZ90" s="21">
        <v>0.10833934928167466</v>
      </c>
      <c r="EA90" s="21">
        <v>-0.61390612276967</v>
      </c>
      <c r="EB90" s="21">
        <v>-1.7521938375082229</v>
      </c>
      <c r="EC90" s="21">
        <v>-3.367642135853984</v>
      </c>
    </row>
    <row r="91" spans="1:133" ht="12.75">
      <c r="A91" t="s">
        <v>236</v>
      </c>
      <c r="B91" s="194">
        <v>1</v>
      </c>
      <c r="C91" s="10" t="s">
        <v>39</v>
      </c>
      <c r="D91" s="10"/>
      <c r="E91" s="10"/>
      <c r="J91" s="170">
        <f>NSW</f>
        <v>349012713549.1075</v>
      </c>
      <c r="K91" s="100" t="str">
        <f>A269</f>
        <v>n/s/W</v>
      </c>
      <c r="L91" s="20">
        <v>90214654640.05125</v>
      </c>
      <c r="M91" s="100">
        <v>443968976574.85895</v>
      </c>
      <c r="N91" s="100">
        <v>1273295077890.4192</v>
      </c>
      <c r="O91" s="100">
        <v>2091252916978.8372</v>
      </c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20"/>
      <c r="AB91" s="20"/>
      <c r="AC91" s="100"/>
      <c r="AD91" s="16" t="str">
        <f t="shared" si="4"/>
        <v>n/s/W</v>
      </c>
      <c r="AE91" s="100">
        <v>191316062504.07416</v>
      </c>
      <c r="AF91" s="100">
        <v>443968976574.85895</v>
      </c>
      <c r="AG91" s="100">
        <v>1273295077890.4192</v>
      </c>
      <c r="AH91" s="100">
        <v>2091252916978.8372</v>
      </c>
      <c r="AI91" s="20">
        <v>2379467971617.9253</v>
      </c>
      <c r="AJ91" s="100">
        <v>191316062504.07416</v>
      </c>
      <c r="AK91" s="100">
        <v>443968976574.85895</v>
      </c>
      <c r="AL91" s="100"/>
      <c r="AM91" s="100"/>
      <c r="AN91" s="20"/>
      <c r="AO91" s="20"/>
      <c r="AP91" s="20"/>
      <c r="AQ91" s="20"/>
      <c r="AR91" s="20"/>
      <c r="AS91" s="20"/>
      <c r="AT91" s="20"/>
      <c r="AU91" s="20"/>
      <c r="AV91" s="20"/>
      <c r="AX91" s="16" t="str">
        <f t="shared" si="5"/>
        <v>n/s/W</v>
      </c>
      <c r="AY91" s="100">
        <v>97867519614.16565</v>
      </c>
      <c r="AZ91" s="100">
        <v>91026537079.06654</v>
      </c>
      <c r="BA91" s="100">
        <v>91021375864.38583</v>
      </c>
      <c r="BB91" s="100"/>
      <c r="BC91" s="20"/>
      <c r="BD91" s="100"/>
      <c r="BE91" s="100"/>
      <c r="BF91" s="100"/>
      <c r="BG91" s="100"/>
      <c r="BH91" s="20"/>
      <c r="BI91" s="20"/>
      <c r="BJ91" s="20"/>
      <c r="BK91" s="20"/>
      <c r="BL91" s="20"/>
      <c r="BM91" s="20"/>
      <c r="BN91" s="20"/>
      <c r="BO91" s="20"/>
      <c r="BP91" s="20">
        <v>56352709935.94437</v>
      </c>
      <c r="BR91" s="16" t="str">
        <f t="shared" si="6"/>
        <v>n/s/W</v>
      </c>
      <c r="BS91" s="100">
        <v>161338202777.58798</v>
      </c>
      <c r="BT91" s="100">
        <v>178309248624.73413</v>
      </c>
      <c r="BU91" s="100">
        <v>180282034117.50076</v>
      </c>
      <c r="BV91" s="100">
        <v>130259460244.2468</v>
      </c>
      <c r="BW91" s="20">
        <v>130229266129.51375</v>
      </c>
      <c r="BX91" s="100">
        <v>141990840223.66425</v>
      </c>
      <c r="BY91" s="100">
        <v>101629442331.75671</v>
      </c>
      <c r="BZ91" s="100">
        <v>119966828584.74908</v>
      </c>
      <c r="CA91" s="100">
        <v>136717097510.52258</v>
      </c>
      <c r="CB91" s="20">
        <v>92636448794.45044</v>
      </c>
      <c r="CC91" s="20">
        <v>106601881724.53241</v>
      </c>
      <c r="CD91" s="20">
        <v>120661005707.8159</v>
      </c>
      <c r="CE91" s="20">
        <v>85154217969.18594</v>
      </c>
      <c r="CF91" s="20">
        <v>98075546441.33694</v>
      </c>
      <c r="CG91" s="20">
        <v>111097843389.44864</v>
      </c>
      <c r="CH91" s="20">
        <v>78440347645.22635</v>
      </c>
      <c r="CI91" s="20">
        <v>90417912949.01117</v>
      </c>
      <c r="CJ91" s="20">
        <v>102480997271.75023</v>
      </c>
      <c r="CL91" s="16" t="str">
        <f t="shared" si="7"/>
        <v>n/s/W</v>
      </c>
      <c r="CM91" s="100">
        <v>1069975139871.6625</v>
      </c>
      <c r="CN91" s="100">
        <v>1241113510048.88</v>
      </c>
      <c r="CO91" s="100">
        <v>1279150727844.7847</v>
      </c>
      <c r="CP91" s="100">
        <v>1242389069225.5103</v>
      </c>
      <c r="CQ91" s="20">
        <v>1166138446246.9666</v>
      </c>
      <c r="CR91" s="100">
        <v>1024920225925.734</v>
      </c>
      <c r="CS91" s="100">
        <v>1023620151061.9332</v>
      </c>
      <c r="CT91" s="100">
        <v>1091616497077.2307</v>
      </c>
      <c r="CU91" s="100">
        <v>1147763410272.8887</v>
      </c>
      <c r="CV91" s="100">
        <v>1197184475202.2593</v>
      </c>
      <c r="CW91" s="100">
        <v>1154566150916.5347</v>
      </c>
      <c r="CX91" s="100">
        <v>1200964671087.5413</v>
      </c>
      <c r="CY91" s="100">
        <v>1244412776109.126</v>
      </c>
      <c r="CZ91" s="100">
        <v>1285149177261.802</v>
      </c>
      <c r="DA91" s="100">
        <v>1323389981607.0054</v>
      </c>
      <c r="DB91" s="100"/>
      <c r="DC91" s="100"/>
      <c r="DE91" s="16" t="s">
        <v>209</v>
      </c>
      <c r="DF91" s="100">
        <v>163995015933.77728</v>
      </c>
      <c r="DG91" s="100">
        <v>200199886967.09515</v>
      </c>
      <c r="DH91" s="100">
        <v>210869037177.5869</v>
      </c>
      <c r="DI91" s="100">
        <v>214660505739.84225</v>
      </c>
      <c r="DJ91" s="20">
        <v>216854872878.34088</v>
      </c>
      <c r="DK91" s="100">
        <v>217871657605.73972</v>
      </c>
      <c r="DL91" s="20">
        <v>146103830570.70786</v>
      </c>
      <c r="DM91" s="100">
        <v>208936330755.9607</v>
      </c>
      <c r="DN91" s="100">
        <v>290228574759.762</v>
      </c>
      <c r="DO91" s="100">
        <v>387472848024.88556</v>
      </c>
      <c r="DP91" s="100">
        <v>496658674136.5227</v>
      </c>
      <c r="DQ91" s="20">
        <v>603784710071.7074</v>
      </c>
      <c r="DR91" s="20">
        <v>100571031753.22806</v>
      </c>
      <c r="DS91" s="100">
        <v>158219107368.19788</v>
      </c>
      <c r="DT91" s="100">
        <v>242683641125.23987</v>
      </c>
      <c r="DU91" s="100">
        <v>358071750830.6324</v>
      </c>
      <c r="DV91" s="100">
        <v>504250293995.4358</v>
      </c>
      <c r="DW91" s="20">
        <v>664994357697.0402</v>
      </c>
      <c r="DX91" s="20">
        <v>69062473866.95894</v>
      </c>
      <c r="DY91" s="100">
        <v>107440923504.86845</v>
      </c>
      <c r="DZ91" s="100">
        <v>152716650385.2068</v>
      </c>
      <c r="EA91" s="100">
        <v>212399354609.95016</v>
      </c>
      <c r="EB91" s="100">
        <v>284629068556.2835</v>
      </c>
      <c r="EC91" s="20">
        <v>370574581223.4171</v>
      </c>
    </row>
    <row r="92" spans="1:133" ht="12.75">
      <c r="A92" t="s">
        <v>197</v>
      </c>
      <c r="B92" s="195">
        <f>B91*P_CD</f>
        <v>39.51683605702496</v>
      </c>
      <c r="C92" s="10" t="s">
        <v>96</v>
      </c>
      <c r="D92" s="10"/>
      <c r="E92" s="10"/>
      <c r="J92" s="165">
        <f>frad_core</f>
        <v>0.2</v>
      </c>
      <c r="K92" s="17" t="str">
        <f>A220</f>
        <v>frad_core</v>
      </c>
      <c r="L92" s="18">
        <v>0.2</v>
      </c>
      <c r="M92" s="18">
        <v>0.2</v>
      </c>
      <c r="N92" s="18">
        <v>0.2</v>
      </c>
      <c r="O92" s="18">
        <v>0.2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6" t="str">
        <f t="shared" si="4"/>
        <v>frad_core</v>
      </c>
      <c r="AE92" s="18">
        <v>0.2</v>
      </c>
      <c r="AF92" s="18">
        <v>0.2</v>
      </c>
      <c r="AG92" s="18">
        <v>0.2</v>
      </c>
      <c r="AH92" s="18">
        <v>0.2</v>
      </c>
      <c r="AI92" s="18">
        <v>0.2</v>
      </c>
      <c r="AJ92" s="18">
        <v>0.2</v>
      </c>
      <c r="AK92" s="18">
        <v>0.2</v>
      </c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X92" s="16" t="str">
        <f t="shared" si="5"/>
        <v>frad_core</v>
      </c>
      <c r="AY92" s="18">
        <v>0.2</v>
      </c>
      <c r="AZ92" s="18">
        <v>0.2</v>
      </c>
      <c r="BA92" s="18">
        <v>0.2</v>
      </c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>
        <v>0.2</v>
      </c>
      <c r="BR92" s="16" t="str">
        <f t="shared" si="6"/>
        <v>frad_core</v>
      </c>
      <c r="BS92" s="18">
        <v>0.2</v>
      </c>
      <c r="BT92" s="18">
        <v>0.2</v>
      </c>
      <c r="BU92" s="18">
        <v>0.2</v>
      </c>
      <c r="BV92" s="18">
        <v>0.2</v>
      </c>
      <c r="BW92" s="18">
        <v>0.2</v>
      </c>
      <c r="BX92" s="18">
        <v>0.2</v>
      </c>
      <c r="BY92" s="18">
        <v>0.2</v>
      </c>
      <c r="BZ92" s="18">
        <v>0.2</v>
      </c>
      <c r="CA92" s="18">
        <v>0.2</v>
      </c>
      <c r="CB92" s="18">
        <v>0.2</v>
      </c>
      <c r="CC92" s="18">
        <v>0.2</v>
      </c>
      <c r="CD92" s="18">
        <v>0.2</v>
      </c>
      <c r="CE92" s="18">
        <v>0.2</v>
      </c>
      <c r="CF92" s="18">
        <v>0.2</v>
      </c>
      <c r="CG92" s="18">
        <v>0.2</v>
      </c>
      <c r="CH92" s="18">
        <v>0.2</v>
      </c>
      <c r="CI92" s="18">
        <v>0.2</v>
      </c>
      <c r="CJ92" s="18">
        <v>0.2</v>
      </c>
      <c r="CL92" s="16" t="str">
        <f t="shared" si="7"/>
        <v>frad_core</v>
      </c>
      <c r="CM92" s="18">
        <v>0.2</v>
      </c>
      <c r="CN92" s="18">
        <v>0.2</v>
      </c>
      <c r="CO92" s="18">
        <v>0.2</v>
      </c>
      <c r="CP92" s="18">
        <v>0.2</v>
      </c>
      <c r="CQ92" s="18">
        <v>0.2</v>
      </c>
      <c r="CR92" s="18">
        <v>0.2</v>
      </c>
      <c r="CS92" s="18">
        <v>0.2</v>
      </c>
      <c r="CT92" s="18">
        <v>0.2</v>
      </c>
      <c r="CU92" s="18">
        <v>0.2</v>
      </c>
      <c r="CV92" s="18">
        <v>0.2</v>
      </c>
      <c r="CW92" s="18">
        <v>0.2</v>
      </c>
      <c r="CX92" s="18">
        <v>0.2</v>
      </c>
      <c r="CY92" s="18">
        <v>0.2</v>
      </c>
      <c r="CZ92" s="18">
        <v>0.2</v>
      </c>
      <c r="DA92" s="18">
        <v>0.2</v>
      </c>
      <c r="DB92" s="18"/>
      <c r="DC92" s="18"/>
      <c r="DE92" s="16" t="s">
        <v>359</v>
      </c>
      <c r="DF92" s="18">
        <v>0.2</v>
      </c>
      <c r="DG92" s="18">
        <v>0.2</v>
      </c>
      <c r="DH92" s="18">
        <v>0.2</v>
      </c>
      <c r="DI92" s="18">
        <v>0.2</v>
      </c>
      <c r="DJ92" s="18">
        <v>0.2</v>
      </c>
      <c r="DK92" s="18">
        <v>0.2</v>
      </c>
      <c r="DL92" s="18">
        <v>0.2</v>
      </c>
      <c r="DM92" s="18">
        <v>0.2</v>
      </c>
      <c r="DN92" s="18">
        <v>0.2</v>
      </c>
      <c r="DO92" s="18">
        <v>0.2</v>
      </c>
      <c r="DP92" s="18">
        <v>0.2</v>
      </c>
      <c r="DQ92" s="18">
        <v>0.2</v>
      </c>
      <c r="DR92" s="18">
        <v>0.2</v>
      </c>
      <c r="DS92" s="18">
        <v>0.2</v>
      </c>
      <c r="DT92" s="18">
        <v>0.2</v>
      </c>
      <c r="DU92" s="18">
        <v>0.2</v>
      </c>
      <c r="DV92" s="18">
        <v>0.2</v>
      </c>
      <c r="DW92" s="18">
        <v>0.2</v>
      </c>
      <c r="DX92" s="18">
        <v>0.2</v>
      </c>
      <c r="DY92" s="18">
        <v>0.2</v>
      </c>
      <c r="DZ92" s="18">
        <v>0.2</v>
      </c>
      <c r="EA92" s="18">
        <v>0.2</v>
      </c>
      <c r="EB92" s="18">
        <v>0.2</v>
      </c>
      <c r="EC92" s="18">
        <v>0.2</v>
      </c>
    </row>
    <row r="93" spans="1:133" ht="12.75">
      <c r="A93" t="s">
        <v>198</v>
      </c>
      <c r="B93" s="196">
        <v>306.5091370574636</v>
      </c>
      <c r="C93" s="10" t="s">
        <v>537</v>
      </c>
      <c r="D93" s="229"/>
      <c r="E93" s="229"/>
      <c r="F93" s="223"/>
      <c r="G93" s="196">
        <v>1326.3081597425066</v>
      </c>
      <c r="H93" s="196">
        <v>3194.1924275593447</v>
      </c>
      <c r="I93" s="223"/>
      <c r="J93" s="163">
        <f>Q_fw</f>
        <v>0.43986543715043624</v>
      </c>
      <c r="K93" s="17" t="str">
        <f>A222</f>
        <v>Q_fw[MW/m^2]</v>
      </c>
      <c r="L93" s="17">
        <v>0.16434016545093505</v>
      </c>
      <c r="M93" s="17">
        <v>0.4580592492785681</v>
      </c>
      <c r="N93" s="17">
        <v>0.4836519833573192</v>
      </c>
      <c r="O93" s="17">
        <v>0.5728760463700566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 t="str">
        <f aca="true" t="shared" si="8" ref="AD93:AD108">K93</f>
        <v>Q_fw[MW/m^2]</v>
      </c>
      <c r="AE93" s="17">
        <v>0.1566242884787251</v>
      </c>
      <c r="AF93" s="17">
        <v>0.4580592492785681</v>
      </c>
      <c r="AG93" s="17">
        <v>0.4836519833573192</v>
      </c>
      <c r="AH93" s="17">
        <v>0.5728760463700566</v>
      </c>
      <c r="AI93" s="17">
        <v>0.3428286982871005</v>
      </c>
      <c r="AJ93" s="17">
        <v>0.1566242884787251</v>
      </c>
      <c r="AK93" s="17">
        <v>0.4580592492785681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X93" s="16" t="str">
        <f aca="true" t="shared" si="9" ref="AX93:AX108">K93</f>
        <v>Q_fw[MW/m^2]</v>
      </c>
      <c r="AY93" s="17">
        <v>0.16019768246162205</v>
      </c>
      <c r="AZ93" s="17">
        <v>0.15187391450131216</v>
      </c>
      <c r="BA93" s="17">
        <v>0.1451047718355916</v>
      </c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v>0.17349558172291446</v>
      </c>
      <c r="BR93" s="16" t="str">
        <f aca="true" t="shared" si="10" ref="BR93:BR108">AD93</f>
        <v>Q_fw[MW/m^2]</v>
      </c>
      <c r="BS93" s="17">
        <v>0.2926572629407865</v>
      </c>
      <c r="BT93" s="17">
        <v>0.2671738567249969</v>
      </c>
      <c r="BU93" s="17">
        <v>0.26143908613483446</v>
      </c>
      <c r="BV93" s="17">
        <v>0.2758349278059284</v>
      </c>
      <c r="BW93" s="17">
        <v>0.27336069355936415</v>
      </c>
      <c r="BX93" s="17">
        <v>0.2694312906611229</v>
      </c>
      <c r="BY93" s="17">
        <v>0.28289157832628514</v>
      </c>
      <c r="BZ93" s="17">
        <v>0.2782171410585189</v>
      </c>
      <c r="CA93" s="17">
        <v>0.27747867094573886</v>
      </c>
      <c r="CB93" s="17">
        <v>0.291534434547579</v>
      </c>
      <c r="CC93" s="17">
        <v>0.28685829704348825</v>
      </c>
      <c r="CD93" s="17">
        <v>0.2826098618779362</v>
      </c>
      <c r="CE93" s="17">
        <v>0.2996948716675699</v>
      </c>
      <c r="CF93" s="17">
        <v>0.29542448869206195</v>
      </c>
      <c r="CG93" s="17">
        <v>0.2910927634475586</v>
      </c>
      <c r="CH93" s="17">
        <v>0.3073762889688339</v>
      </c>
      <c r="CI93" s="17">
        <v>0.3035521883078482</v>
      </c>
      <c r="CJ93" s="17">
        <v>0.2994921461164985</v>
      </c>
      <c r="CL93" s="16" t="str">
        <f aca="true" t="shared" si="11" ref="CL93:CL108">BR93</f>
        <v>Q_fw[MW/m^2]</v>
      </c>
      <c r="CM93" s="17">
        <v>0.7187866829960092</v>
      </c>
      <c r="CN93" s="17">
        <v>0.7867830901059051</v>
      </c>
      <c r="CO93" s="17">
        <v>0.8563010023468461</v>
      </c>
      <c r="CP93" s="17">
        <v>0.9261804604108634</v>
      </c>
      <c r="CQ93" s="17">
        <v>1.000000000000006</v>
      </c>
      <c r="CR93" s="17">
        <v>1.000000001909637</v>
      </c>
      <c r="CS93" s="17">
        <v>0.805165560705551</v>
      </c>
      <c r="CT93" s="17">
        <v>0.7319510415767646</v>
      </c>
      <c r="CU93" s="17">
        <v>0.6667463445493819</v>
      </c>
      <c r="CV93" s="17">
        <v>0.6101341381890276</v>
      </c>
      <c r="CW93" s="17">
        <v>0.5842829799768993</v>
      </c>
      <c r="CX93" s="17">
        <v>0.5415498858610055</v>
      </c>
      <c r="CY93" s="17">
        <v>0.5033571508840716</v>
      </c>
      <c r="CZ93" s="17">
        <v>0.4690830471535415</v>
      </c>
      <c r="DA93" s="17">
        <v>0.43820873928690035</v>
      </c>
      <c r="DB93" s="17"/>
      <c r="DC93" s="17"/>
      <c r="DE93" s="16" t="s">
        <v>157</v>
      </c>
      <c r="DF93" s="17">
        <v>0.302088194111359</v>
      </c>
      <c r="DG93" s="17">
        <v>0.31853766065226047</v>
      </c>
      <c r="DH93" s="17">
        <v>0.26455134786734585</v>
      </c>
      <c r="DI93" s="17">
        <v>0.2139616404152441</v>
      </c>
      <c r="DJ93" s="17">
        <v>0.17577315329752244</v>
      </c>
      <c r="DK93" s="17">
        <v>0.1463602429791472</v>
      </c>
      <c r="DL93" s="17">
        <v>0.5110571309051439</v>
      </c>
      <c r="DM93" s="17">
        <v>0.5546536328218754</v>
      </c>
      <c r="DN93" s="17">
        <v>0.5941171517602276</v>
      </c>
      <c r="DO93" s="17">
        <v>0.6317635955336215</v>
      </c>
      <c r="DP93" s="17">
        <v>0.6695217895700736</v>
      </c>
      <c r="DQ93" s="17">
        <v>0.6983037477859136</v>
      </c>
      <c r="DR93" s="17">
        <v>0.7156779104515084</v>
      </c>
      <c r="DS93" s="17">
        <v>0.7782380742766676</v>
      </c>
      <c r="DT93" s="17">
        <v>0.828015036906787</v>
      </c>
      <c r="DU93" s="17">
        <v>0.8701027136571317</v>
      </c>
      <c r="DV93" s="17">
        <v>0.9022582538705979</v>
      </c>
      <c r="DW93" s="17">
        <v>0.910672593766985</v>
      </c>
      <c r="DX93" s="17">
        <v>0.9483892935090374</v>
      </c>
      <c r="DY93" s="17">
        <v>1.0000000075502071</v>
      </c>
      <c r="DZ93" s="17">
        <v>1.0000000000086844</v>
      </c>
      <c r="EA93" s="17">
        <v>0.9999999893784742</v>
      </c>
      <c r="EB93" s="17">
        <v>1.0000000029067384</v>
      </c>
      <c r="EC93" s="17">
        <v>1.0000000049881683</v>
      </c>
    </row>
    <row r="94" spans="1:133" ht="12.75">
      <c r="A94" t="s">
        <v>512</v>
      </c>
      <c r="B94" s="180">
        <f>P_fusion/P_aux</f>
        <v>7.756418975829798</v>
      </c>
      <c r="C94" s="10"/>
      <c r="D94" s="10"/>
      <c r="E94" s="10"/>
      <c r="J94" s="165">
        <f>frad_div</f>
        <v>0.8321616690947463</v>
      </c>
      <c r="K94" s="17" t="str">
        <f>A212</f>
        <v>frad_div</v>
      </c>
      <c r="L94" s="18">
        <v>0.5051339301710462</v>
      </c>
      <c r="M94" s="18">
        <v>0.7762514395331052</v>
      </c>
      <c r="N94" s="18">
        <v>0.6177959454790062</v>
      </c>
      <c r="O94" s="18">
        <v>0.8284087856194997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6" t="str">
        <f t="shared" si="8"/>
        <v>frad_div</v>
      </c>
      <c r="AE94" s="18">
        <v>0.4819353904269073</v>
      </c>
      <c r="AF94" s="18">
        <v>0.7762514395331052</v>
      </c>
      <c r="AG94" s="18">
        <v>0.6177959454790062</v>
      </c>
      <c r="AH94" s="18">
        <v>0.8284087856194997</v>
      </c>
      <c r="AI94" s="18">
        <v>0.666148733789004</v>
      </c>
      <c r="AJ94" s="18">
        <v>0.4819353904269073</v>
      </c>
      <c r="AK94" s="18">
        <v>0.7762514395331052</v>
      </c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X94" s="16" t="str">
        <f t="shared" si="9"/>
        <v>frad_div</v>
      </c>
      <c r="AY94" s="18">
        <v>0.4729263686681299</v>
      </c>
      <c r="AZ94" s="18">
        <v>0.4262421326888008</v>
      </c>
      <c r="BA94" s="18">
        <v>0.38031987323735306</v>
      </c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>
        <v>0.4548922243150315</v>
      </c>
      <c r="BR94" s="16" t="str">
        <f t="shared" si="10"/>
        <v>frad_div</v>
      </c>
      <c r="BS94" s="18">
        <v>0.7186515277825801</v>
      </c>
      <c r="BT94" s="18">
        <v>0.6664917502697065</v>
      </c>
      <c r="BU94" s="18">
        <v>0.6417711308904065</v>
      </c>
      <c r="BV94" s="18">
        <v>0.6855608053029669</v>
      </c>
      <c r="BW94" s="18">
        <v>0.666255452663515</v>
      </c>
      <c r="BX94" s="18">
        <v>0.6456595350408836</v>
      </c>
      <c r="BY94" s="18">
        <v>0.6885608896976454</v>
      </c>
      <c r="BZ94" s="18">
        <v>0.6695246378392545</v>
      </c>
      <c r="CA94" s="18">
        <v>0.6540313864744038</v>
      </c>
      <c r="CB94" s="18">
        <v>0.6961778192829194</v>
      </c>
      <c r="CC94" s="18">
        <v>0.6779769854876383</v>
      </c>
      <c r="CD94" s="18">
        <v>0.6592501243784336</v>
      </c>
      <c r="CE94" s="18">
        <v>0.7032117014708039</v>
      </c>
      <c r="CF94" s="18">
        <v>0.6862066303386953</v>
      </c>
      <c r="CG94" s="18">
        <v>0.668204671731797</v>
      </c>
      <c r="CH94" s="18">
        <v>0.7096402740380996</v>
      </c>
      <c r="CI94" s="18">
        <v>0.6937769043137337</v>
      </c>
      <c r="CJ94" s="18">
        <v>0.6768061002408875</v>
      </c>
      <c r="CL94" s="16" t="str">
        <f t="shared" si="11"/>
        <v>frad_div</v>
      </c>
      <c r="CM94" s="18">
        <v>0.6793165907491934</v>
      </c>
      <c r="CN94" s="18">
        <v>0.7147256387538715</v>
      </c>
      <c r="CO94" s="18">
        <v>0.7436517831281444</v>
      </c>
      <c r="CP94" s="18">
        <v>0.7730866362625817</v>
      </c>
      <c r="CQ94" s="18">
        <v>0.7958012362906302</v>
      </c>
      <c r="CR94" s="18">
        <v>0.7872735594562403</v>
      </c>
      <c r="CS94" s="18">
        <v>0.7006232322281857</v>
      </c>
      <c r="CT94" s="18">
        <v>0.6693709241889458</v>
      </c>
      <c r="CU94" s="18">
        <v>0.638380649022834</v>
      </c>
      <c r="CV94" s="18">
        <v>0.6065196509800936</v>
      </c>
      <c r="CW94" s="18">
        <v>0.6657811708060265</v>
      </c>
      <c r="CX94" s="18">
        <v>0.6360093899515686</v>
      </c>
      <c r="CY94" s="18">
        <v>0.6051352400281723</v>
      </c>
      <c r="CZ94" s="18">
        <v>0.5731607675124885</v>
      </c>
      <c r="DA94" s="18">
        <v>0.5400879726615381</v>
      </c>
      <c r="DB94" s="18"/>
      <c r="DC94" s="18"/>
      <c r="DE94" s="16" t="s">
        <v>647</v>
      </c>
      <c r="DF94" s="18">
        <v>0.7275991205939389</v>
      </c>
      <c r="DG94" s="18">
        <v>0.7299432143186766</v>
      </c>
      <c r="DH94" s="18">
        <v>0.6495436826816585</v>
      </c>
      <c r="DI94" s="18">
        <v>0.5601967580173906</v>
      </c>
      <c r="DJ94" s="18">
        <v>0.4595198354392131</v>
      </c>
      <c r="DK94" s="18">
        <v>0.34699719952258484</v>
      </c>
      <c r="DL94" s="18">
        <v>0.8114687775921888</v>
      </c>
      <c r="DM94" s="18">
        <v>0.8172294968853853</v>
      </c>
      <c r="DN94" s="18">
        <v>0.8213334852796328</v>
      </c>
      <c r="DO94" s="18">
        <v>0.8246196199936333</v>
      </c>
      <c r="DP94" s="18">
        <v>0.8275628506552265</v>
      </c>
      <c r="DQ94" s="18">
        <v>0.8280432724448382</v>
      </c>
      <c r="DR94" s="18">
        <v>0.8238828369227263</v>
      </c>
      <c r="DS94" s="18">
        <v>0.8223993946668483</v>
      </c>
      <c r="DT94" s="18">
        <v>0.8197633666037183</v>
      </c>
      <c r="DU94" s="18">
        <v>0.8171287247926495</v>
      </c>
      <c r="DV94" s="18">
        <v>0.8140625182575058</v>
      </c>
      <c r="DW94" s="18">
        <v>0.8080347654356715</v>
      </c>
      <c r="DX94" s="18">
        <v>0.8220284278167735</v>
      </c>
      <c r="DY94" s="18">
        <v>0.8081958811867473</v>
      </c>
      <c r="DZ94" s="18">
        <v>0.7866878106785699</v>
      </c>
      <c r="EA94" s="18">
        <v>0.7652402526802738</v>
      </c>
      <c r="EB94" s="18">
        <v>0.7462434440927452</v>
      </c>
      <c r="EC94" s="18">
        <v>0.7272737029733615</v>
      </c>
    </row>
    <row r="95" spans="1:133" ht="12.75">
      <c r="A95" t="s">
        <v>65</v>
      </c>
      <c r="B95" s="180">
        <f>P_fusion/5</f>
        <v>61.30182741149272</v>
      </c>
      <c r="C95" s="10" t="s">
        <v>140</v>
      </c>
      <c r="D95" s="10"/>
      <c r="E95" s="10"/>
      <c r="J95" s="166">
        <f>Q_div</f>
        <v>14.999999999999996</v>
      </c>
      <c r="K95" s="17" t="str">
        <f>A215</f>
        <v>Q_div[MW/m^2]</v>
      </c>
      <c r="L95" s="19">
        <v>15</v>
      </c>
      <c r="M95" s="19">
        <v>15</v>
      </c>
      <c r="N95" s="19">
        <v>15</v>
      </c>
      <c r="O95" s="19">
        <v>15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6" t="str">
        <f t="shared" si="8"/>
        <v>Q_div[MW/m^2]</v>
      </c>
      <c r="AE95" s="19">
        <v>15</v>
      </c>
      <c r="AF95" s="19">
        <v>15</v>
      </c>
      <c r="AG95" s="19">
        <v>15</v>
      </c>
      <c r="AH95" s="19">
        <v>15</v>
      </c>
      <c r="AI95" s="19">
        <v>15</v>
      </c>
      <c r="AJ95" s="19">
        <v>15</v>
      </c>
      <c r="AK95" s="19">
        <v>15</v>
      </c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X95" s="16" t="str">
        <f t="shared" si="9"/>
        <v>Q_div[MW/m^2]</v>
      </c>
      <c r="AY95" s="19">
        <v>15</v>
      </c>
      <c r="AZ95" s="19">
        <v>15</v>
      </c>
      <c r="BA95" s="19">
        <v>15</v>
      </c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>
        <v>15</v>
      </c>
      <c r="BR95" s="16" t="str">
        <f t="shared" si="10"/>
        <v>Q_div[MW/m^2]</v>
      </c>
      <c r="BS95" s="19">
        <v>15</v>
      </c>
      <c r="BT95" s="19">
        <v>15</v>
      </c>
      <c r="BU95" s="19">
        <v>15</v>
      </c>
      <c r="BV95" s="19">
        <v>15</v>
      </c>
      <c r="BW95" s="19">
        <v>15</v>
      </c>
      <c r="BX95" s="19">
        <v>15</v>
      </c>
      <c r="BY95" s="19">
        <v>15</v>
      </c>
      <c r="BZ95" s="19">
        <v>15</v>
      </c>
      <c r="CA95" s="19">
        <v>15</v>
      </c>
      <c r="CB95" s="19">
        <v>15</v>
      </c>
      <c r="CC95" s="19">
        <v>15</v>
      </c>
      <c r="CD95" s="19">
        <v>15</v>
      </c>
      <c r="CE95" s="19">
        <v>15</v>
      </c>
      <c r="CF95" s="19">
        <v>15</v>
      </c>
      <c r="CG95" s="19">
        <v>15</v>
      </c>
      <c r="CH95" s="19">
        <v>15</v>
      </c>
      <c r="CI95" s="19">
        <v>15</v>
      </c>
      <c r="CJ95" s="19">
        <v>15</v>
      </c>
      <c r="CL95" s="16" t="str">
        <f t="shared" si="11"/>
        <v>Q_div[MW/m^2]</v>
      </c>
      <c r="CM95" s="19">
        <v>15</v>
      </c>
      <c r="CN95" s="19">
        <v>15</v>
      </c>
      <c r="CO95" s="19">
        <v>15</v>
      </c>
      <c r="CP95" s="19">
        <v>15</v>
      </c>
      <c r="CQ95" s="19">
        <v>15</v>
      </c>
      <c r="CR95" s="19">
        <v>15</v>
      </c>
      <c r="CS95" s="19">
        <v>15</v>
      </c>
      <c r="CT95" s="19">
        <v>15</v>
      </c>
      <c r="CU95" s="19">
        <v>15</v>
      </c>
      <c r="CV95" s="19">
        <v>15</v>
      </c>
      <c r="CW95" s="19">
        <v>15</v>
      </c>
      <c r="CX95" s="19">
        <v>15</v>
      </c>
      <c r="CY95" s="19">
        <v>15</v>
      </c>
      <c r="CZ95" s="19">
        <v>15</v>
      </c>
      <c r="DA95" s="19">
        <v>15</v>
      </c>
      <c r="DB95" s="19"/>
      <c r="DC95" s="19"/>
      <c r="DE95" s="16" t="s">
        <v>151</v>
      </c>
      <c r="DF95" s="19">
        <v>15</v>
      </c>
      <c r="DG95" s="19">
        <v>15</v>
      </c>
      <c r="DH95" s="19">
        <v>15</v>
      </c>
      <c r="DI95" s="19">
        <v>15</v>
      </c>
      <c r="DJ95" s="19">
        <v>15</v>
      </c>
      <c r="DK95" s="19">
        <v>15</v>
      </c>
      <c r="DL95" s="19">
        <v>15</v>
      </c>
      <c r="DM95" s="19">
        <v>15</v>
      </c>
      <c r="DN95" s="19">
        <v>15</v>
      </c>
      <c r="DO95" s="19">
        <v>15</v>
      </c>
      <c r="DP95" s="19">
        <v>15</v>
      </c>
      <c r="DQ95" s="19">
        <v>15</v>
      </c>
      <c r="DR95" s="19">
        <v>15</v>
      </c>
      <c r="DS95" s="19">
        <v>15</v>
      </c>
      <c r="DT95" s="19">
        <v>15</v>
      </c>
      <c r="DU95" s="19">
        <v>15</v>
      </c>
      <c r="DV95" s="19">
        <v>15</v>
      </c>
      <c r="DW95" s="19">
        <v>15</v>
      </c>
      <c r="DX95" s="19">
        <v>15</v>
      </c>
      <c r="DY95" s="19">
        <v>15</v>
      </c>
      <c r="DZ95" s="19">
        <v>15</v>
      </c>
      <c r="EA95" s="19">
        <v>15</v>
      </c>
      <c r="EB95" s="19">
        <v>15</v>
      </c>
      <c r="EC95" s="19">
        <v>15</v>
      </c>
    </row>
    <row r="96" spans="1:133" ht="12.75">
      <c r="A96" t="s">
        <v>455</v>
      </c>
      <c r="B96" s="178">
        <v>0.2993180570810607</v>
      </c>
      <c r="C96" s="11" t="s">
        <v>44</v>
      </c>
      <c r="D96" s="230"/>
      <c r="E96" s="230"/>
      <c r="F96" s="223"/>
      <c r="G96" s="178">
        <v>0.949649109825356</v>
      </c>
      <c r="H96" s="178">
        <v>0.9097348275891695</v>
      </c>
      <c r="I96" s="223"/>
      <c r="J96" s="166">
        <f>B264</f>
        <v>112.90524587721418</v>
      </c>
      <c r="K96" s="17" t="str">
        <f>A264</f>
        <v>P_aux_input[MW]</v>
      </c>
      <c r="L96" s="19">
        <v>68.58946096909168</v>
      </c>
      <c r="M96" s="19">
        <v>69.70761298873988</v>
      </c>
      <c r="N96" s="19">
        <v>30.766363815918034</v>
      </c>
      <c r="O96" s="19">
        <v>59.86675215247499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6" t="str">
        <f t="shared" si="8"/>
        <v>P_aux_input[MW]</v>
      </c>
      <c r="AE96" s="19">
        <v>63.82130717882325</v>
      </c>
      <c r="AF96" s="19">
        <v>69.70761298873988</v>
      </c>
      <c r="AG96" s="19">
        <v>30.766363815918034</v>
      </c>
      <c r="AH96" s="19">
        <v>59.86675215247499</v>
      </c>
      <c r="AI96" s="19">
        <v>26.939401767742595</v>
      </c>
      <c r="AJ96" s="19">
        <v>63.82130717882325</v>
      </c>
      <c r="AK96" s="19">
        <v>69.70761298873988</v>
      </c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X96" s="16" t="str">
        <f t="shared" si="9"/>
        <v>P_aux_input[MW]</v>
      </c>
      <c r="AY96" s="19">
        <v>43.82320797834709</v>
      </c>
      <c r="AZ96" s="19">
        <v>46.68519569259672</v>
      </c>
      <c r="BA96" s="19">
        <v>49.264911919464936</v>
      </c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>
        <v>41.98268317756534</v>
      </c>
      <c r="BR96" s="16" t="str">
        <f t="shared" si="10"/>
        <v>P_aux_input[MW]</v>
      </c>
      <c r="BS96" s="19">
        <v>70.46350639850708</v>
      </c>
      <c r="BT96" s="19">
        <v>65.20061273006984</v>
      </c>
      <c r="BU96" s="19">
        <v>69.0932012305894</v>
      </c>
      <c r="BV96" s="19">
        <v>54.77887770077393</v>
      </c>
      <c r="BW96" s="19">
        <v>59.79377026948102</v>
      </c>
      <c r="BX96" s="19">
        <v>64.44418581319685</v>
      </c>
      <c r="BY96" s="19">
        <v>51.127223538350925</v>
      </c>
      <c r="BZ96" s="19">
        <v>56.66847281405831</v>
      </c>
      <c r="CA96" s="19">
        <v>62.022882875565834</v>
      </c>
      <c r="CB96" s="19">
        <v>49.03662640041753</v>
      </c>
      <c r="CC96" s="19">
        <v>54.61541416129939</v>
      </c>
      <c r="CD96" s="19">
        <v>59.62227011407004</v>
      </c>
      <c r="CE96" s="19">
        <v>47.117753876706935</v>
      </c>
      <c r="CF96" s="19">
        <v>52.77958375473615</v>
      </c>
      <c r="CG96" s="19">
        <v>57.854742250966034</v>
      </c>
      <c r="CH96" s="19">
        <v>45.32076004439992</v>
      </c>
      <c r="CI96" s="19">
        <v>51.06264179851343</v>
      </c>
      <c r="CJ96" s="19">
        <v>56.24218895019407</v>
      </c>
      <c r="CL96" s="16" t="str">
        <f t="shared" si="11"/>
        <v>P_aux_input[MW]</v>
      </c>
      <c r="CM96" s="19">
        <v>30.063297558325154</v>
      </c>
      <c r="CN96" s="19">
        <v>29.204817096198322</v>
      </c>
      <c r="CO96" s="19">
        <v>28.48692113010768</v>
      </c>
      <c r="CP96" s="19">
        <v>27.579427206336273</v>
      </c>
      <c r="CQ96" s="19">
        <v>26.956088696513607</v>
      </c>
      <c r="CR96" s="19">
        <v>32.45918530443458</v>
      </c>
      <c r="CS96" s="19">
        <v>30.42273059856353</v>
      </c>
      <c r="CT96" s="19">
        <v>30.246102277555714</v>
      </c>
      <c r="CU96" s="19">
        <v>29.967353402509744</v>
      </c>
      <c r="CV96" s="19">
        <v>29.712687541822802</v>
      </c>
      <c r="CW96" s="19">
        <v>27.564694220646942</v>
      </c>
      <c r="CX96" s="19">
        <v>27.574706463211</v>
      </c>
      <c r="CY96" s="19">
        <v>27.58504769382654</v>
      </c>
      <c r="CZ96" s="19">
        <v>27.59566563682719</v>
      </c>
      <c r="DA96" s="19">
        <v>27.606514914696838</v>
      </c>
      <c r="DB96" s="19"/>
      <c r="DC96" s="19"/>
      <c r="DE96" s="16" t="s">
        <v>383</v>
      </c>
      <c r="DF96" s="19">
        <v>72.66709017601556</v>
      </c>
      <c r="DG96" s="19">
        <v>79.02195837567184</v>
      </c>
      <c r="DH96" s="19">
        <v>71.2456874533036</v>
      </c>
      <c r="DI96" s="19">
        <v>69.8131101618687</v>
      </c>
      <c r="DJ96" s="19">
        <v>68.44240819905771</v>
      </c>
      <c r="DK96" s="19">
        <v>67.14088991961037</v>
      </c>
      <c r="DL96" s="19">
        <v>124.01498817444475</v>
      </c>
      <c r="DM96" s="19">
        <v>133.96080328853066</v>
      </c>
      <c r="DN96" s="19">
        <v>136.59203598943327</v>
      </c>
      <c r="DO96" s="19">
        <v>133.21632986102932</v>
      </c>
      <c r="DP96" s="19">
        <v>125.56548012460645</v>
      </c>
      <c r="DQ96" s="19">
        <v>116.59001261541626</v>
      </c>
      <c r="DR96" s="19">
        <v>165.969932998428</v>
      </c>
      <c r="DS96" s="19">
        <v>178.29978401209695</v>
      </c>
      <c r="DT96" s="19">
        <v>177.45713390143803</v>
      </c>
      <c r="DU96" s="19">
        <v>164.88932041793313</v>
      </c>
      <c r="DV96" s="19">
        <v>143.7590995869643</v>
      </c>
      <c r="DW96" s="19">
        <v>120.17490811677406</v>
      </c>
      <c r="DX96" s="19">
        <v>201.75209330210785</v>
      </c>
      <c r="DY96" s="19">
        <v>217.57771832013748</v>
      </c>
      <c r="DZ96" s="19">
        <v>218.14361001625159</v>
      </c>
      <c r="EA96" s="19">
        <v>208.80167209225647</v>
      </c>
      <c r="EB96" s="19">
        <v>192.23036511319543</v>
      </c>
      <c r="EC96" s="19">
        <v>167.32775705210918</v>
      </c>
    </row>
    <row r="97" spans="1:133" ht="12.75">
      <c r="A97" t="s">
        <v>0</v>
      </c>
      <c r="B97" s="183">
        <f>fGW*Ip/(PI()*R0^2*e^2*(1+0.5*alpha_N))*100000000000000000000</f>
        <v>1.716180338103451E+20</v>
      </c>
      <c r="C97" s="11"/>
      <c r="D97" s="11"/>
      <c r="E97" s="11"/>
      <c r="J97" s="166">
        <f>B51</f>
        <v>127.93316632012895</v>
      </c>
      <c r="K97" s="17" t="str">
        <f>A51</f>
        <v>∑P_tf[MW]</v>
      </c>
      <c r="L97" s="19">
        <v>177.2311038132078</v>
      </c>
      <c r="M97" s="19">
        <v>127.93316631895998</v>
      </c>
      <c r="N97" s="19">
        <v>249.02337523879783</v>
      </c>
      <c r="O97" s="19">
        <v>266.7948768510961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6" t="str">
        <f t="shared" si="8"/>
        <v>∑P_tf[MW]</v>
      </c>
      <c r="AE97" s="19">
        <v>52.366465765049206</v>
      </c>
      <c r="AF97" s="19">
        <v>127.93316631895998</v>
      </c>
      <c r="AG97" s="19">
        <v>249.02337523879783</v>
      </c>
      <c r="AH97" s="19">
        <v>266.7948768510961</v>
      </c>
      <c r="AI97" s="19">
        <v>155.49256229921517</v>
      </c>
      <c r="AJ97" s="19">
        <v>52.366465765049206</v>
      </c>
      <c r="AK97" s="19">
        <v>127.93316631895998</v>
      </c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X97" s="16" t="str">
        <f t="shared" si="9"/>
        <v>∑P_tf[MW]</v>
      </c>
      <c r="AY97" s="19">
        <v>91.50875131971803</v>
      </c>
      <c r="AZ97" s="19">
        <v>124.40168800853017</v>
      </c>
      <c r="BA97" s="19">
        <v>163.64701218971334</v>
      </c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>
        <v>181.54184185095045</v>
      </c>
      <c r="BR97" s="16" t="str">
        <f t="shared" si="10"/>
        <v>∑P_tf[MW]</v>
      </c>
      <c r="BS97" s="19">
        <v>80.90305216309727</v>
      </c>
      <c r="BT97" s="19">
        <v>111.22876164745082</v>
      </c>
      <c r="BU97" s="19">
        <v>147.63086229151352</v>
      </c>
      <c r="BV97" s="19">
        <v>121.89640755863834</v>
      </c>
      <c r="BW97" s="19">
        <v>165.13668631878357</v>
      </c>
      <c r="BX97" s="19">
        <v>189.02824973207893</v>
      </c>
      <c r="BY97" s="19">
        <v>159.28468948644007</v>
      </c>
      <c r="BZ97" s="19">
        <v>166.03607071299794</v>
      </c>
      <c r="CA97" s="19">
        <v>177.0735705798922</v>
      </c>
      <c r="CB97" s="19">
        <v>162.41177919880178</v>
      </c>
      <c r="CC97" s="19">
        <v>175.78882048083386</v>
      </c>
      <c r="CD97" s="19">
        <v>189.49689705671415</v>
      </c>
      <c r="CE97" s="19">
        <v>164.65930095431327</v>
      </c>
      <c r="CF97" s="19">
        <v>177.98369514380565</v>
      </c>
      <c r="CG97" s="19">
        <v>191.66230775447485</v>
      </c>
      <c r="CH97" s="19">
        <v>167.45029296105483</v>
      </c>
      <c r="CI97" s="19">
        <v>180.74311260374952</v>
      </c>
      <c r="CJ97" s="19">
        <v>194.41581206682832</v>
      </c>
      <c r="CL97" s="16" t="str">
        <f t="shared" si="11"/>
        <v>∑P_tf[MW]</v>
      </c>
      <c r="CM97" s="19">
        <v>310.0869954364965</v>
      </c>
      <c r="CN97" s="19">
        <v>253.0465095156037</v>
      </c>
      <c r="CO97" s="19">
        <v>239.36729313862543</v>
      </c>
      <c r="CP97" s="19">
        <v>247.89338687621364</v>
      </c>
      <c r="CQ97" s="19">
        <v>266.5387095747022</v>
      </c>
      <c r="CR97" s="19">
        <v>268.20975815054044</v>
      </c>
      <c r="CS97" s="19">
        <v>297.51849899581316</v>
      </c>
      <c r="CT97" s="19">
        <v>273.63005257320754</v>
      </c>
      <c r="CU97" s="19">
        <v>256.5798260508102</v>
      </c>
      <c r="CV97" s="19">
        <v>243.13477896885982</v>
      </c>
      <c r="CW97" s="19">
        <v>304.75877449296814</v>
      </c>
      <c r="CX97" s="19">
        <v>289.5753205586643</v>
      </c>
      <c r="CY97" s="19">
        <v>276.38810056164624</v>
      </c>
      <c r="CZ97" s="19">
        <v>264.8382804137698</v>
      </c>
      <c r="DA97" s="19">
        <v>254.6476369270112</v>
      </c>
      <c r="DB97" s="19"/>
      <c r="DC97" s="19"/>
      <c r="DE97" s="16" t="s">
        <v>20</v>
      </c>
      <c r="DF97" s="19">
        <v>80.33993866281261</v>
      </c>
      <c r="DG97" s="19">
        <v>106.29905241077273</v>
      </c>
      <c r="DH97" s="19">
        <v>112.04097837158116</v>
      </c>
      <c r="DI97" s="19">
        <v>99.54202265333835</v>
      </c>
      <c r="DJ97" s="19">
        <v>89.75470512788937</v>
      </c>
      <c r="DK97" s="19">
        <v>81.8629105555728</v>
      </c>
      <c r="DL97" s="19">
        <v>77.69304995834845</v>
      </c>
      <c r="DM97" s="19">
        <v>98.00597799282139</v>
      </c>
      <c r="DN97" s="19">
        <v>119.63458091119865</v>
      </c>
      <c r="DO97" s="19">
        <v>143.00951024919712</v>
      </c>
      <c r="DP97" s="19">
        <v>168.6711164067142</v>
      </c>
      <c r="DQ97" s="19">
        <v>194.0423486888731</v>
      </c>
      <c r="DR97" s="19">
        <v>82.09655921944746</v>
      </c>
      <c r="DS97" s="19">
        <v>102.26075002200785</v>
      </c>
      <c r="DT97" s="19">
        <v>122.1716491499115</v>
      </c>
      <c r="DU97" s="19">
        <v>142.1048442801959</v>
      </c>
      <c r="DV97" s="19">
        <v>161.31394357518639</v>
      </c>
      <c r="DW97" s="19">
        <v>176.7843007236766</v>
      </c>
      <c r="DX97" s="19">
        <v>86.48208420818125</v>
      </c>
      <c r="DY97" s="19">
        <v>110.03805314611448</v>
      </c>
      <c r="DZ97" s="19">
        <v>137.31031702380426</v>
      </c>
      <c r="EA97" s="19">
        <v>166.61982630495552</v>
      </c>
      <c r="EB97" s="19">
        <v>198.52440451438477</v>
      </c>
      <c r="EC97" s="19">
        <v>233.45645682902568</v>
      </c>
    </row>
    <row r="98" spans="1:133" ht="12.75">
      <c r="A98" t="s">
        <v>206</v>
      </c>
      <c r="B98" s="30">
        <f>0.5*(2+alpha_N)*xne/10000000000000000000</f>
        <v>18.019893550086234</v>
      </c>
      <c r="C98" s="11"/>
      <c r="D98" s="11"/>
      <c r="E98" s="11"/>
      <c r="J98" s="166">
        <f>B67</f>
        <v>0</v>
      </c>
      <c r="K98" s="19" t="str">
        <f>A67</f>
        <v>∑P_pf[MW]</v>
      </c>
      <c r="L98" s="19">
        <v>0</v>
      </c>
      <c r="M98" s="19">
        <v>0</v>
      </c>
      <c r="N98" s="19">
        <v>0</v>
      </c>
      <c r="O98" s="19"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6" t="str">
        <f t="shared" si="8"/>
        <v>∑P_pf[MW]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X98" s="16" t="str">
        <f t="shared" si="9"/>
        <v>∑P_pf[MW]</v>
      </c>
      <c r="AY98" s="19">
        <v>0</v>
      </c>
      <c r="AZ98" s="19">
        <v>0</v>
      </c>
      <c r="BA98" s="19">
        <v>0</v>
      </c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>
        <v>0</v>
      </c>
      <c r="BR98" s="16" t="str">
        <f t="shared" si="10"/>
        <v>∑P_pf[MW]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0</v>
      </c>
      <c r="CI98" s="19">
        <v>0</v>
      </c>
      <c r="CJ98" s="19">
        <v>0</v>
      </c>
      <c r="CL98" s="16" t="str">
        <f t="shared" si="11"/>
        <v>∑P_pf[MW]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19"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/>
      <c r="DC98" s="19"/>
      <c r="DE98" s="16" t="s">
        <v>195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  <c r="DX98" s="19">
        <v>0</v>
      </c>
      <c r="DY98" s="19">
        <v>0</v>
      </c>
      <c r="DZ98" s="19">
        <v>0</v>
      </c>
      <c r="EA98" s="19">
        <v>0</v>
      </c>
      <c r="EB98" s="19">
        <v>0</v>
      </c>
      <c r="EC98" s="19">
        <v>0</v>
      </c>
    </row>
    <row r="99" spans="1:133" ht="12.75">
      <c r="A99" t="s">
        <v>586</v>
      </c>
      <c r="B99" s="209">
        <f>IF(Mode="CTF",F99,IF(Mode="DEMO",G99,IF(Mode="NSTX",D99,IF(Mode="NSST",E99,IF(Mode="REACTOR",H99,IF(Mode="ARIES",I99,"Error"))))))</f>
        <v>5</v>
      </c>
      <c r="C99" s="157">
        <v>20</v>
      </c>
      <c r="D99" s="157"/>
      <c r="E99" s="157">
        <v>5</v>
      </c>
      <c r="F99" s="157">
        <v>5</v>
      </c>
      <c r="G99" s="157">
        <v>5</v>
      </c>
      <c r="H99" s="157">
        <v>1</v>
      </c>
      <c r="I99" s="157">
        <v>1</v>
      </c>
      <c r="J99" s="166">
        <f>B262</f>
        <v>0</v>
      </c>
      <c r="K99" s="17" t="str">
        <f>A262</f>
        <v>P_bop[MW]</v>
      </c>
      <c r="L99" s="19">
        <v>0</v>
      </c>
      <c r="M99" s="19">
        <v>0</v>
      </c>
      <c r="N99" s="19">
        <v>42.19885989270864</v>
      </c>
      <c r="O99" s="19">
        <v>147.40684766144753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6" t="str">
        <f t="shared" si="8"/>
        <v>P_bop[MW]</v>
      </c>
      <c r="AE99" s="19">
        <v>0</v>
      </c>
      <c r="AF99" s="19">
        <v>0</v>
      </c>
      <c r="AG99" s="19">
        <v>42.19885989270864</v>
      </c>
      <c r="AH99" s="19">
        <v>147.40684766144753</v>
      </c>
      <c r="AI99" s="19">
        <v>100.07191174111581</v>
      </c>
      <c r="AJ99" s="19">
        <v>0</v>
      </c>
      <c r="AK99" s="19">
        <v>0</v>
      </c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X99" s="16" t="str">
        <f t="shared" si="9"/>
        <v>P_bop[MW]</v>
      </c>
      <c r="AY99" s="19">
        <v>20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>
        <v>20</v>
      </c>
      <c r="BR99" s="16" t="str">
        <f t="shared" si="10"/>
        <v>P_bop[MW]</v>
      </c>
      <c r="BS99" s="19">
        <v>20</v>
      </c>
      <c r="BT99" s="19">
        <v>20</v>
      </c>
      <c r="BU99" s="19">
        <v>20</v>
      </c>
      <c r="BV99" s="19">
        <v>20</v>
      </c>
      <c r="BW99" s="19">
        <v>20</v>
      </c>
      <c r="BX99" s="19">
        <v>20</v>
      </c>
      <c r="BY99" s="19">
        <v>20</v>
      </c>
      <c r="BZ99" s="19">
        <v>20</v>
      </c>
      <c r="CA99" s="19">
        <v>20</v>
      </c>
      <c r="CB99" s="19">
        <v>20</v>
      </c>
      <c r="CC99" s="19">
        <v>20</v>
      </c>
      <c r="CD99" s="19">
        <v>20</v>
      </c>
      <c r="CE99" s="19">
        <v>20</v>
      </c>
      <c r="CF99" s="19">
        <v>20</v>
      </c>
      <c r="CG99" s="19">
        <v>20</v>
      </c>
      <c r="CH99" s="19">
        <v>20</v>
      </c>
      <c r="CI99" s="19">
        <v>20</v>
      </c>
      <c r="CJ99" s="19">
        <v>20</v>
      </c>
      <c r="CL99" s="16" t="str">
        <f t="shared" si="11"/>
        <v>P_bop[MW]</v>
      </c>
      <c r="CM99" s="19">
        <v>42.65374718852504</v>
      </c>
      <c r="CN99" s="19">
        <v>41.81038923849235</v>
      </c>
      <c r="CO99" s="19">
        <v>41.01298833616518</v>
      </c>
      <c r="CP99" s="19">
        <v>40.68216155221539</v>
      </c>
      <c r="CQ99" s="19">
        <v>40.25108300505619</v>
      </c>
      <c r="CR99" s="19">
        <v>35.730300297915065</v>
      </c>
      <c r="CS99" s="19">
        <v>59.22508223760632</v>
      </c>
      <c r="CT99" s="19">
        <v>59.22148189431354</v>
      </c>
      <c r="CU99" s="19">
        <v>59.296567382870364</v>
      </c>
      <c r="CV99" s="19">
        <v>59.40826345735126</v>
      </c>
      <c r="CW99" s="19">
        <v>69.13135572078626</v>
      </c>
      <c r="CX99" s="19">
        <v>69.1933369880362</v>
      </c>
      <c r="CY99" s="19">
        <v>69.2537754585144</v>
      </c>
      <c r="CZ99" s="19">
        <v>69.31282911302978</v>
      </c>
      <c r="DA99" s="19">
        <v>69.37063215766959</v>
      </c>
      <c r="DB99" s="19"/>
      <c r="DC99" s="19"/>
      <c r="DE99" s="16" t="s">
        <v>382</v>
      </c>
      <c r="DF99" s="19">
        <v>20</v>
      </c>
      <c r="DG99" s="19">
        <v>20</v>
      </c>
      <c r="DH99" s="19">
        <v>20</v>
      </c>
      <c r="DI99" s="19">
        <v>20</v>
      </c>
      <c r="DJ99" s="19">
        <v>20</v>
      </c>
      <c r="DK99" s="19">
        <v>20</v>
      </c>
      <c r="DL99" s="19">
        <v>20</v>
      </c>
      <c r="DM99" s="19">
        <v>20</v>
      </c>
      <c r="DN99" s="19">
        <v>20</v>
      </c>
      <c r="DO99" s="19">
        <v>20</v>
      </c>
      <c r="DP99" s="19">
        <v>20</v>
      </c>
      <c r="DQ99" s="19">
        <v>20</v>
      </c>
      <c r="DR99" s="19">
        <v>20</v>
      </c>
      <c r="DS99" s="19">
        <v>20</v>
      </c>
      <c r="DT99" s="19">
        <v>20</v>
      </c>
      <c r="DU99" s="19">
        <v>20</v>
      </c>
      <c r="DV99" s="19">
        <v>20</v>
      </c>
      <c r="DW99" s="19">
        <v>20</v>
      </c>
      <c r="DX99" s="19">
        <v>20</v>
      </c>
      <c r="DY99" s="19">
        <v>20</v>
      </c>
      <c r="DZ99" s="19">
        <v>20</v>
      </c>
      <c r="EA99" s="19">
        <v>20</v>
      </c>
      <c r="EB99" s="19">
        <v>20</v>
      </c>
      <c r="EC99" s="19">
        <v>20</v>
      </c>
    </row>
    <row r="100" spans="1:133" ht="12.75">
      <c r="A100" t="s">
        <v>241</v>
      </c>
      <c r="B100" s="197">
        <v>0.06387183500332581</v>
      </c>
      <c r="C100" s="9" t="s">
        <v>472</v>
      </c>
      <c r="D100" s="223"/>
      <c r="E100" s="223"/>
      <c r="F100" s="223"/>
      <c r="G100" s="197">
        <v>0.26085298393795797</v>
      </c>
      <c r="H100" s="197">
        <v>0.11049936885583118</v>
      </c>
      <c r="I100" s="223"/>
      <c r="J100" s="166">
        <f>B265</f>
        <v>240.83841219734313</v>
      </c>
      <c r="K100" s="17" t="str">
        <f>A265</f>
        <v>∑P_elec input[MW]</v>
      </c>
      <c r="L100" s="19">
        <v>245.82056478229947</v>
      </c>
      <c r="M100" s="19">
        <v>197.64077930769986</v>
      </c>
      <c r="N100" s="19">
        <v>321.9885989474245</v>
      </c>
      <c r="O100" s="19">
        <v>474.0684766650186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6" t="str">
        <f t="shared" si="8"/>
        <v>∑P_elec input[MW]</v>
      </c>
      <c r="AE100" s="19">
        <v>116.18777294387246</v>
      </c>
      <c r="AF100" s="19">
        <v>197.64077930769986</v>
      </c>
      <c r="AG100" s="19">
        <v>321.9885989474245</v>
      </c>
      <c r="AH100" s="19">
        <v>474.0684766650186</v>
      </c>
      <c r="AI100" s="19">
        <v>282.5038758080736</v>
      </c>
      <c r="AJ100" s="19">
        <v>116.18777294387246</v>
      </c>
      <c r="AK100" s="19">
        <v>197.64077930769986</v>
      </c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X100" s="16" t="str">
        <f t="shared" si="9"/>
        <v>∑P_elec input[MW]</v>
      </c>
      <c r="AY100" s="19">
        <v>155.33195929806513</v>
      </c>
      <c r="AZ100" s="19">
        <v>191.0868837011269</v>
      </c>
      <c r="BA100" s="19">
        <v>232.91192410917827</v>
      </c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>
        <v>243.5245250285158</v>
      </c>
      <c r="BR100" s="16" t="str">
        <f t="shared" si="10"/>
        <v>∑P_elec input[MW]</v>
      </c>
      <c r="BS100" s="19">
        <v>171.36655856160434</v>
      </c>
      <c r="BT100" s="19">
        <v>196.42937437752067</v>
      </c>
      <c r="BU100" s="19">
        <v>236.72406352210294</v>
      </c>
      <c r="BV100" s="19">
        <v>196.67528525941228</v>
      </c>
      <c r="BW100" s="19">
        <v>244.9304565882646</v>
      </c>
      <c r="BX100" s="19">
        <v>273.4724355452758</v>
      </c>
      <c r="BY100" s="19">
        <v>230.411913024791</v>
      </c>
      <c r="BZ100" s="19">
        <v>242.70454352705625</v>
      </c>
      <c r="CA100" s="19">
        <v>259.096453455458</v>
      </c>
      <c r="CB100" s="19">
        <v>231.4484055992193</v>
      </c>
      <c r="CC100" s="19">
        <v>250.40423464213325</v>
      </c>
      <c r="CD100" s="19">
        <v>269.1191671707842</v>
      </c>
      <c r="CE100" s="19">
        <v>231.7770548310202</v>
      </c>
      <c r="CF100" s="19">
        <v>250.76327889854178</v>
      </c>
      <c r="CG100" s="19">
        <v>269.51705000544086</v>
      </c>
      <c r="CH100" s="19">
        <v>232.77105300545475</v>
      </c>
      <c r="CI100" s="19">
        <v>251.80575440226295</v>
      </c>
      <c r="CJ100" s="19">
        <v>270.6580010170224</v>
      </c>
      <c r="CL100" s="16" t="str">
        <f t="shared" si="11"/>
        <v>∑P_elec input[MW]</v>
      </c>
      <c r="CM100" s="19">
        <v>382.8040401833467</v>
      </c>
      <c r="CN100" s="19">
        <v>324.0617158502944</v>
      </c>
      <c r="CO100" s="19">
        <v>308.8672026048983</v>
      </c>
      <c r="CP100" s="19">
        <v>316.1549756347653</v>
      </c>
      <c r="CQ100" s="19">
        <v>333.74588127627203</v>
      </c>
      <c r="CR100" s="19">
        <v>336.3992437528901</v>
      </c>
      <c r="CS100" s="19">
        <v>387.166311831983</v>
      </c>
      <c r="CT100" s="19">
        <v>363.0976367450768</v>
      </c>
      <c r="CU100" s="19">
        <v>345.8437468361903</v>
      </c>
      <c r="CV100" s="19">
        <v>332.2557299680339</v>
      </c>
      <c r="CW100" s="19">
        <v>401.4548244344013</v>
      </c>
      <c r="CX100" s="19">
        <v>386.3433640099115</v>
      </c>
      <c r="CY100" s="19">
        <v>373.22692371398716</v>
      </c>
      <c r="CZ100" s="19">
        <v>361.7467751636267</v>
      </c>
      <c r="DA100" s="19">
        <v>351.62478399937766</v>
      </c>
      <c r="DB100" s="19"/>
      <c r="DC100" s="19"/>
      <c r="DE100" s="16" t="s">
        <v>124</v>
      </c>
      <c r="DF100" s="19">
        <v>173.00702883882818</v>
      </c>
      <c r="DG100" s="19">
        <v>205.32101078644456</v>
      </c>
      <c r="DH100" s="19">
        <v>203.28666582488478</v>
      </c>
      <c r="DI100" s="19">
        <v>189.35513281520707</v>
      </c>
      <c r="DJ100" s="19">
        <v>178.1971133269471</v>
      </c>
      <c r="DK100" s="19">
        <v>169.00380047518317</v>
      </c>
      <c r="DL100" s="19">
        <v>221.7080381327932</v>
      </c>
      <c r="DM100" s="19">
        <v>251.96678128135204</v>
      </c>
      <c r="DN100" s="19">
        <v>276.22661690063194</v>
      </c>
      <c r="DO100" s="19">
        <v>296.22584011022644</v>
      </c>
      <c r="DP100" s="19">
        <v>314.23659653132063</v>
      </c>
      <c r="DQ100" s="19">
        <v>330.63236130428936</v>
      </c>
      <c r="DR100" s="19">
        <v>268.06649221787546</v>
      </c>
      <c r="DS100" s="19">
        <v>300.5605340341048</v>
      </c>
      <c r="DT100" s="19">
        <v>319.6287830513495</v>
      </c>
      <c r="DU100" s="19">
        <v>326.994164698129</v>
      </c>
      <c r="DV100" s="19">
        <v>325.0730431621507</v>
      </c>
      <c r="DW100" s="19">
        <v>316.9592088404507</v>
      </c>
      <c r="DX100" s="19">
        <v>308.2341775102891</v>
      </c>
      <c r="DY100" s="19">
        <v>347.61577146625194</v>
      </c>
      <c r="DZ100" s="19">
        <v>375.4539270400559</v>
      </c>
      <c r="EA100" s="19">
        <v>395.42149839721196</v>
      </c>
      <c r="EB100" s="19">
        <v>410.75476962758023</v>
      </c>
      <c r="EC100" s="19">
        <v>420.78421388113486</v>
      </c>
    </row>
    <row r="101" spans="1:133" ht="12.75">
      <c r="A101" t="s">
        <v>207</v>
      </c>
      <c r="B101" s="184">
        <f>1.5*tpote*(Beta_N*Ip*Bt/(R0*e*2*mu0))/(3.52*0.00000000000016*(1+(5/Q)-frad))</f>
        <v>6.408029723643787E+18</v>
      </c>
      <c r="C101" s="9" t="s">
        <v>404</v>
      </c>
      <c r="F101" s="6"/>
      <c r="G101" s="6"/>
      <c r="H101" s="6"/>
      <c r="I101" s="6"/>
      <c r="J101" s="166">
        <f>B260</f>
        <v>0</v>
      </c>
      <c r="K101" s="19" t="str">
        <f>A260</f>
        <v>P_elec gen[MW]</v>
      </c>
      <c r="L101" s="19">
        <v>0</v>
      </c>
      <c r="M101" s="19">
        <v>0</v>
      </c>
      <c r="N101" s="19">
        <v>421.98859892708634</v>
      </c>
      <c r="O101" s="19">
        <v>1474.0684766144752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6" t="str">
        <f t="shared" si="8"/>
        <v>P_elec gen[MW]</v>
      </c>
      <c r="AE101" s="19">
        <v>0</v>
      </c>
      <c r="AF101" s="19">
        <v>0</v>
      </c>
      <c r="AG101" s="19">
        <v>421.98859892708634</v>
      </c>
      <c r="AH101" s="19">
        <v>1474.0684766144752</v>
      </c>
      <c r="AI101" s="19">
        <v>1000.7191174111581</v>
      </c>
      <c r="AJ101" s="19">
        <v>0</v>
      </c>
      <c r="AK101" s="19">
        <v>0</v>
      </c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X101" s="16" t="str">
        <f t="shared" si="9"/>
        <v>P_elec gen[MW]</v>
      </c>
      <c r="AY101" s="19">
        <v>0</v>
      </c>
      <c r="AZ101" s="19">
        <v>0</v>
      </c>
      <c r="BA101" s="19">
        <v>0</v>
      </c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>
        <v>0</v>
      </c>
      <c r="BR101" s="16" t="str">
        <f t="shared" si="10"/>
        <v>P_elec gen[MW]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L101" s="16" t="str">
        <f t="shared" si="11"/>
        <v>P_elec gen[MW]</v>
      </c>
      <c r="CM101" s="19">
        <v>426.53747188525034</v>
      </c>
      <c r="CN101" s="19">
        <v>418.1038923849234</v>
      </c>
      <c r="CO101" s="19">
        <v>410.12988336165176</v>
      </c>
      <c r="CP101" s="19">
        <v>406.8216155221539</v>
      </c>
      <c r="CQ101" s="19">
        <v>402.5108300505619</v>
      </c>
      <c r="CR101" s="19">
        <v>357.3030029791506</v>
      </c>
      <c r="CS101" s="19">
        <v>592.2508223760632</v>
      </c>
      <c r="CT101" s="19">
        <v>592.2148189431354</v>
      </c>
      <c r="CU101" s="19">
        <v>592.9656738287036</v>
      </c>
      <c r="CV101" s="19">
        <v>594.0826345735126</v>
      </c>
      <c r="CW101" s="19">
        <v>691.3135572078626</v>
      </c>
      <c r="CX101" s="19">
        <v>691.933369880362</v>
      </c>
      <c r="CY101" s="19">
        <v>692.537754585144</v>
      </c>
      <c r="CZ101" s="19">
        <v>693.1282911302977</v>
      </c>
      <c r="DA101" s="19">
        <v>693.7063215766958</v>
      </c>
      <c r="DB101" s="19"/>
      <c r="DC101" s="19"/>
      <c r="DE101" s="16" t="s">
        <v>381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>
        <v>0</v>
      </c>
      <c r="DO101" s="19">
        <v>0</v>
      </c>
      <c r="DP101" s="19">
        <v>0</v>
      </c>
      <c r="DQ101" s="19">
        <v>0</v>
      </c>
      <c r="DR101" s="19">
        <v>0</v>
      </c>
      <c r="DS101" s="19">
        <v>0</v>
      </c>
      <c r="DT101" s="19">
        <v>0</v>
      </c>
      <c r="DU101" s="19">
        <v>0</v>
      </c>
      <c r="DV101" s="19">
        <v>0</v>
      </c>
      <c r="DW101" s="19">
        <v>0</v>
      </c>
      <c r="DX101" s="19">
        <v>0</v>
      </c>
      <c r="DY101" s="19">
        <v>0</v>
      </c>
      <c r="DZ101" s="19">
        <v>0</v>
      </c>
      <c r="EA101" s="19">
        <v>0</v>
      </c>
      <c r="EB101" s="19">
        <v>0</v>
      </c>
      <c r="EC101" s="19">
        <v>0</v>
      </c>
    </row>
    <row r="102" spans="1:133" ht="12.75">
      <c r="A102" t="s">
        <v>407</v>
      </c>
      <c r="B102" s="209">
        <f>IF(Mode="CTF",F102,IF(Mode="DEMO",G102,IF(Mode="NSTX",D102,IF(Mode="NSST",E102,IF(Mode="REACTOR",H102,IF(Mode="ARIES",I102,"Error"))))))</f>
        <v>4</v>
      </c>
      <c r="C102" s="157" t="s">
        <v>473</v>
      </c>
      <c r="D102" s="157"/>
      <c r="E102" s="157">
        <v>4</v>
      </c>
      <c r="F102" s="157">
        <v>4</v>
      </c>
      <c r="G102" s="157">
        <v>4</v>
      </c>
      <c r="H102" s="157">
        <v>36</v>
      </c>
      <c r="I102" s="157">
        <v>36</v>
      </c>
      <c r="J102" s="166">
        <f>B266</f>
        <v>-240.83841219734313</v>
      </c>
      <c r="K102" s="19" t="str">
        <f>A266</f>
        <v>P_net elec[MW]</v>
      </c>
      <c r="L102" s="19">
        <v>-245.82056478229947</v>
      </c>
      <c r="M102" s="19">
        <v>-197.64077930769986</v>
      </c>
      <c r="N102" s="19">
        <v>99.99999997966182</v>
      </c>
      <c r="O102" s="19">
        <v>999.9999999494567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6" t="str">
        <f t="shared" si="8"/>
        <v>P_net elec[MW]</v>
      </c>
      <c r="AE102" s="19">
        <v>-116.18777294387246</v>
      </c>
      <c r="AF102" s="19">
        <v>-197.64077930769986</v>
      </c>
      <c r="AG102" s="19">
        <v>99.99999997966182</v>
      </c>
      <c r="AH102" s="19">
        <v>999.9999999494567</v>
      </c>
      <c r="AI102" s="19">
        <v>718.2152416030845</v>
      </c>
      <c r="AJ102" s="19">
        <v>-116.18777294387246</v>
      </c>
      <c r="AK102" s="19">
        <v>-197.64077930769986</v>
      </c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X102" s="16" t="str">
        <f t="shared" si="9"/>
        <v>P_net elec[MW]</v>
      </c>
      <c r="AY102" s="19">
        <v>-155.33195929806513</v>
      </c>
      <c r="AZ102" s="19">
        <v>-191.0868837011269</v>
      </c>
      <c r="BA102" s="19">
        <v>-232.91192410917827</v>
      </c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>
        <v>-243.5245250285158</v>
      </c>
      <c r="BR102" s="16" t="str">
        <f t="shared" si="10"/>
        <v>P_net elec[MW]</v>
      </c>
      <c r="BS102" s="19">
        <v>-171.36655856160434</v>
      </c>
      <c r="BT102" s="19">
        <v>-196.42937437752067</v>
      </c>
      <c r="BU102" s="19">
        <v>-236.72406352210294</v>
      </c>
      <c r="BV102" s="19">
        <v>-196.67528525941228</v>
      </c>
      <c r="BW102" s="19">
        <v>-244.9304565882646</v>
      </c>
      <c r="BX102" s="19">
        <v>-273.4724355452758</v>
      </c>
      <c r="BY102" s="19">
        <v>-230.411913024791</v>
      </c>
      <c r="BZ102" s="19">
        <v>-242.70454352705625</v>
      </c>
      <c r="CA102" s="19">
        <v>-259.096453455458</v>
      </c>
      <c r="CB102" s="19">
        <v>-231.4484055992193</v>
      </c>
      <c r="CC102" s="19">
        <v>-250.40423464213325</v>
      </c>
      <c r="CD102" s="19">
        <v>-269.1191671707842</v>
      </c>
      <c r="CE102" s="19">
        <v>-231.7770548310202</v>
      </c>
      <c r="CF102" s="19">
        <v>-250.76327889854178</v>
      </c>
      <c r="CG102" s="19">
        <v>-269.51705000544086</v>
      </c>
      <c r="CH102" s="19">
        <v>-232.77105300545475</v>
      </c>
      <c r="CI102" s="19">
        <v>-251.80575440226295</v>
      </c>
      <c r="CJ102" s="19">
        <v>-270.6580010170224</v>
      </c>
      <c r="CL102" s="16" t="str">
        <f t="shared" si="11"/>
        <v>P_net elec[MW]</v>
      </c>
      <c r="CM102" s="19">
        <v>43.73343170190367</v>
      </c>
      <c r="CN102" s="19">
        <v>94.04217653462905</v>
      </c>
      <c r="CO102" s="19">
        <v>101.26268075675347</v>
      </c>
      <c r="CP102" s="19">
        <v>90.66663988738856</v>
      </c>
      <c r="CQ102" s="19">
        <v>68.76494877428985</v>
      </c>
      <c r="CR102" s="19">
        <v>20.903759226260547</v>
      </c>
      <c r="CS102" s="19">
        <v>205.08451054408016</v>
      </c>
      <c r="CT102" s="19">
        <v>229.11718219805857</v>
      </c>
      <c r="CU102" s="19">
        <v>247.12192699251335</v>
      </c>
      <c r="CV102" s="19">
        <v>261.82690460547866</v>
      </c>
      <c r="CW102" s="19">
        <v>289.85873277346127</v>
      </c>
      <c r="CX102" s="19">
        <v>305.59000587045045</v>
      </c>
      <c r="CY102" s="19">
        <v>319.3108308711568</v>
      </c>
      <c r="CZ102" s="19">
        <v>331.38151596667103</v>
      </c>
      <c r="DA102" s="19">
        <v>342.08153757731816</v>
      </c>
      <c r="DB102" s="19"/>
      <c r="DC102" s="19"/>
      <c r="DE102" s="16" t="s">
        <v>125</v>
      </c>
      <c r="DF102" s="19">
        <v>-173.00702883882818</v>
      </c>
      <c r="DG102" s="19">
        <v>-205.32101078644456</v>
      </c>
      <c r="DH102" s="19">
        <v>-203.28666582488478</v>
      </c>
      <c r="DI102" s="19">
        <v>-189.35513281520707</v>
      </c>
      <c r="DJ102" s="19">
        <v>-178.1971133269471</v>
      </c>
      <c r="DK102" s="19">
        <v>-169.00380047518317</v>
      </c>
      <c r="DL102" s="19">
        <v>-221.7080381327932</v>
      </c>
      <c r="DM102" s="19">
        <v>-251.96678128135204</v>
      </c>
      <c r="DN102" s="19">
        <v>-276.22661690063194</v>
      </c>
      <c r="DO102" s="19">
        <v>-296.22584011022644</v>
      </c>
      <c r="DP102" s="19">
        <v>-314.23659653132063</v>
      </c>
      <c r="DQ102" s="19">
        <v>-330.63236130428936</v>
      </c>
      <c r="DR102" s="19">
        <v>-268.06649221787546</v>
      </c>
      <c r="DS102" s="19">
        <v>-300.5605340341048</v>
      </c>
      <c r="DT102" s="19">
        <v>-319.6287830513495</v>
      </c>
      <c r="DU102" s="19">
        <v>-326.994164698129</v>
      </c>
      <c r="DV102" s="19">
        <v>-325.0730431621507</v>
      </c>
      <c r="DW102" s="19">
        <v>-316.9592088404507</v>
      </c>
      <c r="DX102" s="19">
        <v>-308.2341775102891</v>
      </c>
      <c r="DY102" s="19">
        <v>-347.61577146625194</v>
      </c>
      <c r="DZ102" s="19">
        <v>-375.4539270400559</v>
      </c>
      <c r="EA102" s="19">
        <v>-395.42149839721196</v>
      </c>
      <c r="EB102" s="19">
        <v>-410.75476962758023</v>
      </c>
      <c r="EC102" s="19">
        <v>-420.78421388113486</v>
      </c>
    </row>
    <row r="103" spans="1:133" ht="12.75">
      <c r="A103" t="s">
        <v>408</v>
      </c>
      <c r="B103" s="216">
        <f>IF(Mode="CTF",F103,IF(Mode="DEMO",G103,IF(Mode="NSTX",D103,IF(Mode="NSST",E103,IF(Mode="REACTOR",H103,IF(Mode="ARIES",I103,"Error"))))))</f>
        <v>0.03</v>
      </c>
      <c r="C103" s="217" t="s">
        <v>313</v>
      </c>
      <c r="D103" s="217"/>
      <c r="E103" s="217">
        <v>0.06</v>
      </c>
      <c r="F103" s="217">
        <v>0.03</v>
      </c>
      <c r="G103" s="217">
        <v>0.03</v>
      </c>
      <c r="H103" s="217">
        <v>0.03</v>
      </c>
      <c r="I103" s="217">
        <v>0.03</v>
      </c>
      <c r="J103" s="164">
        <f>Q_elec</f>
        <v>0</v>
      </c>
      <c r="K103" s="21" t="str">
        <f>A267</f>
        <v>Q_elec</v>
      </c>
      <c r="L103" s="21">
        <v>0</v>
      </c>
      <c r="M103" s="21">
        <v>0</v>
      </c>
      <c r="N103" s="21">
        <v>1.3105700024987226</v>
      </c>
      <c r="O103" s="21">
        <v>3.109399905651323</v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16" t="str">
        <f t="shared" si="8"/>
        <v>Q_elec</v>
      </c>
      <c r="AE103" s="21">
        <v>0</v>
      </c>
      <c r="AF103" s="21">
        <v>0</v>
      </c>
      <c r="AG103" s="21">
        <v>1.3105700024987226</v>
      </c>
      <c r="AH103" s="21">
        <v>3.109399905651323</v>
      </c>
      <c r="AI103" s="21">
        <v>3.5423199577305016</v>
      </c>
      <c r="AJ103" s="21">
        <v>0</v>
      </c>
      <c r="AK103" s="21">
        <v>0</v>
      </c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X103" s="16" t="str">
        <f t="shared" si="9"/>
        <v>Q_elec</v>
      </c>
      <c r="AY103" s="21">
        <v>0</v>
      </c>
      <c r="AZ103" s="21">
        <v>0</v>
      </c>
      <c r="BA103" s="21">
        <v>0</v>
      </c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>
        <v>0</v>
      </c>
      <c r="BR103" s="16" t="str">
        <f t="shared" si="10"/>
        <v>Q_elec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E103" s="21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0</v>
      </c>
      <c r="CL103" s="16" t="str">
        <f t="shared" si="11"/>
        <v>Q_elec</v>
      </c>
      <c r="CM103" s="21">
        <v>1.1142449585457803</v>
      </c>
      <c r="CN103" s="21">
        <v>1.290198354001413</v>
      </c>
      <c r="CO103" s="21">
        <v>1.3278518402171962</v>
      </c>
      <c r="CP103" s="21">
        <v>1.2867791016268244</v>
      </c>
      <c r="CQ103" s="21">
        <v>1.2060398423834535</v>
      </c>
      <c r="CR103" s="21">
        <v>1.0621397331131217</v>
      </c>
      <c r="CS103" s="21">
        <v>1.5297064963469236</v>
      </c>
      <c r="CT103" s="21">
        <v>1.6310070873827167</v>
      </c>
      <c r="CU103" s="21">
        <v>1.7145479114577233</v>
      </c>
      <c r="CV103" s="21">
        <v>1.7880282595296968</v>
      </c>
      <c r="CW103" s="21">
        <v>1.7220207981852884</v>
      </c>
      <c r="CX103" s="21">
        <v>1.7909803411625589</v>
      </c>
      <c r="CY103" s="21">
        <v>1.8555407195539098</v>
      </c>
      <c r="CZ103" s="21">
        <v>1.9160593506791574</v>
      </c>
      <c r="DA103" s="21">
        <v>1.972859574022301</v>
      </c>
      <c r="DB103" s="21"/>
      <c r="DC103" s="21"/>
      <c r="DE103" s="16" t="s">
        <v>356</v>
      </c>
      <c r="DF103" s="21">
        <v>0</v>
      </c>
      <c r="DG103" s="21">
        <v>0</v>
      </c>
      <c r="DH103" s="21">
        <v>0</v>
      </c>
      <c r="DI103" s="21">
        <v>0</v>
      </c>
      <c r="DJ103" s="21">
        <v>0</v>
      </c>
      <c r="DK103" s="21">
        <v>0</v>
      </c>
      <c r="DL103" s="21">
        <v>0</v>
      </c>
      <c r="DM103" s="21">
        <v>0</v>
      </c>
      <c r="DN103" s="21">
        <v>0</v>
      </c>
      <c r="DO103" s="21">
        <v>0</v>
      </c>
      <c r="DP103" s="21">
        <v>0</v>
      </c>
      <c r="DQ103" s="21">
        <v>0</v>
      </c>
      <c r="DR103" s="21">
        <v>0</v>
      </c>
      <c r="DS103" s="21">
        <v>0</v>
      </c>
      <c r="DT103" s="21">
        <v>0</v>
      </c>
      <c r="DU103" s="21">
        <v>0</v>
      </c>
      <c r="DV103" s="21">
        <v>0</v>
      </c>
      <c r="DW103" s="21">
        <v>0</v>
      </c>
      <c r="DX103" s="21">
        <v>0</v>
      </c>
      <c r="DY103" s="21">
        <v>0</v>
      </c>
      <c r="DZ103" s="21">
        <v>0</v>
      </c>
      <c r="EA103" s="21">
        <v>0</v>
      </c>
      <c r="EB103" s="21">
        <v>0</v>
      </c>
      <c r="EC103" s="21">
        <v>0</v>
      </c>
    </row>
    <row r="104" spans="1:133" ht="12.75">
      <c r="A104" t="s">
        <v>208</v>
      </c>
      <c r="B104" s="184">
        <f>xne*(1-Zimp*fimp)-2*xnHe</f>
        <v>1.382078103058161E+20</v>
      </c>
      <c r="C104" s="9" t="s">
        <v>9</v>
      </c>
      <c r="J104" s="166">
        <f>B293</f>
        <v>44.31330449066234</v>
      </c>
      <c r="K104" s="17" t="str">
        <f>A293</f>
        <v>Annual Elec Cost[$M]</v>
      </c>
      <c r="L104" s="19">
        <v>45.230000637683965</v>
      </c>
      <c r="M104" s="19">
        <v>36.36511282949953</v>
      </c>
      <c r="N104" s="19">
        <v>-47.435399990352494</v>
      </c>
      <c r="O104" s="19">
        <v>-474.3539999760245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6" t="str">
        <f t="shared" si="8"/>
        <v>Annual Elec Cost[$M]</v>
      </c>
      <c r="AE104" s="19">
        <v>21.378085470580753</v>
      </c>
      <c r="AF104" s="19">
        <v>36.36511282949953</v>
      </c>
      <c r="AG104" s="19">
        <v>-47.435399990352494</v>
      </c>
      <c r="AH104" s="19">
        <v>-474.3539999760245</v>
      </c>
      <c r="AI104" s="19">
        <v>-340.6882727153895</v>
      </c>
      <c r="AJ104" s="19">
        <v>21.378085470580753</v>
      </c>
      <c r="AK104" s="19">
        <v>36.36511282949953</v>
      </c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X104" s="16" t="str">
        <f t="shared" si="9"/>
        <v>Annual Elec Cost[$M]</v>
      </c>
      <c r="AY104" s="19">
        <v>28.58045918300679</v>
      </c>
      <c r="AZ104" s="19">
        <v>35.15922225347254</v>
      </c>
      <c r="BA104" s="19">
        <v>42.854862388392355</v>
      </c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>
        <v>44.80753850714679</v>
      </c>
      <c r="BR104" s="16" t="str">
        <f t="shared" si="10"/>
        <v>Annual Elec Cost[$M]</v>
      </c>
      <c r="BS104" s="19">
        <v>31.530761309100946</v>
      </c>
      <c r="BT104" s="19">
        <v>36.14221916796629</v>
      </c>
      <c r="BU104" s="19">
        <v>43.556280791812846</v>
      </c>
      <c r="BV104" s="19">
        <v>36.18746578659082</v>
      </c>
      <c r="BW104" s="19">
        <v>45.06622429041433</v>
      </c>
      <c r="BX104" s="19">
        <v>50.31783425058857</v>
      </c>
      <c r="BY104" s="19">
        <v>42.39487034890944</v>
      </c>
      <c r="BZ104" s="19">
        <v>44.65666519080424</v>
      </c>
      <c r="CA104" s="19">
        <v>47.672711049990454</v>
      </c>
      <c r="CB104" s="19">
        <v>42.58558083663396</v>
      </c>
      <c r="CC104" s="19">
        <v>46.07337755721393</v>
      </c>
      <c r="CD104" s="19">
        <v>49.5168502827556</v>
      </c>
      <c r="CE104" s="19">
        <v>42.64605098068839</v>
      </c>
      <c r="CF104" s="19">
        <v>46.13944026421608</v>
      </c>
      <c r="CG104" s="19">
        <v>49.5900591328011</v>
      </c>
      <c r="CH104" s="19">
        <v>42.828942668791655</v>
      </c>
      <c r="CI104" s="19">
        <v>46.33125158699877</v>
      </c>
      <c r="CJ104" s="19">
        <v>49.79998955512805</v>
      </c>
      <c r="CL104" s="16" t="str">
        <f t="shared" si="11"/>
        <v>Annual Elec Cost[$M]</v>
      </c>
      <c r="CM104" s="19">
        <v>-20.745128261524805</v>
      </c>
      <c r="CN104" s="19">
        <v>-44.609282607907424</v>
      </c>
      <c r="CO104" s="19">
        <v>-48.03435766768903</v>
      </c>
      <c r="CP104" s="19">
        <v>-43.008083297142306</v>
      </c>
      <c r="CQ104" s="19">
        <v>-32.61892851087949</v>
      </c>
      <c r="CR104" s="19">
        <v>-9.915781804013594</v>
      </c>
      <c r="CS104" s="19">
        <v>-97.2826579146266</v>
      </c>
      <c r="CT104" s="19">
        <v>-108.68265184437789</v>
      </c>
      <c r="CU104" s="19">
        <v>-117.22327455660667</v>
      </c>
      <c r="CV104" s="19">
        <v>-124.1986395072272</v>
      </c>
      <c r="CW104" s="19">
        <v>-137.49564932602243</v>
      </c>
      <c r="CX104" s="19">
        <v>-144.95784164467165</v>
      </c>
      <c r="CY104" s="19">
        <v>-151.46636986705673</v>
      </c>
      <c r="CZ104" s="19">
        <v>-157.19214762485427</v>
      </c>
      <c r="DA104" s="19">
        <v>-162.26774567595112</v>
      </c>
      <c r="DB104" s="19"/>
      <c r="DC104" s="19"/>
      <c r="DE104" s="16" t="s">
        <v>479</v>
      </c>
      <c r="DF104" s="19">
        <v>31.832601278229028</v>
      </c>
      <c r="DG104" s="19">
        <v>37.77824470066265</v>
      </c>
      <c r="DH104" s="19">
        <v>37.4039333651155</v>
      </c>
      <c r="DI104" s="19">
        <v>34.84058701746683</v>
      </c>
      <c r="DJ104" s="19">
        <v>32.787556063704955</v>
      </c>
      <c r="DK104" s="19">
        <v>31.0960232722318</v>
      </c>
      <c r="DL104" s="19">
        <v>40.79339218428141</v>
      </c>
      <c r="DM104" s="19">
        <v>46.360879888643645</v>
      </c>
      <c r="DN104" s="19">
        <v>50.82459260324867</v>
      </c>
      <c r="DO104" s="19">
        <v>54.504369676921215</v>
      </c>
      <c r="DP104" s="19">
        <v>57.81827681537686</v>
      </c>
      <c r="DQ104" s="19">
        <v>60.83503195054402</v>
      </c>
      <c r="DR104" s="19">
        <v>49.32316230212021</v>
      </c>
      <c r="DS104" s="19">
        <v>55.30193602013915</v>
      </c>
      <c r="DT104" s="19">
        <v>58.8104175663161</v>
      </c>
      <c r="DU104" s="19">
        <v>60.165618327796935</v>
      </c>
      <c r="DV104" s="19">
        <v>59.81213964966307</v>
      </c>
      <c r="DW104" s="19">
        <v>58.31922658980755</v>
      </c>
      <c r="DX104" s="19">
        <v>56.71385572518316</v>
      </c>
      <c r="DY104" s="19">
        <v>63.95991148670448</v>
      </c>
      <c r="DZ104" s="19">
        <v>69.0820207596621</v>
      </c>
      <c r="EA104" s="19">
        <v>72.7559740190934</v>
      </c>
      <c r="EB104" s="19">
        <v>75.57723459239624</v>
      </c>
      <c r="EC104" s="19">
        <v>77.42261221727328</v>
      </c>
    </row>
    <row r="105" spans="1:133" ht="12.75">
      <c r="A105" t="s">
        <v>488</v>
      </c>
      <c r="B105" s="184">
        <f>xnDT*(((1+fimp)/(1-Zimp*fimp))+1)+xnHe*(2*((1+fimp)/(1-Zimp*fimp))+1)</f>
        <v>3.213824148541153E+20</v>
      </c>
      <c r="J105" s="170">
        <f>TF_Heating!B14</f>
        <v>101533.71426646966</v>
      </c>
      <c r="K105" s="17" t="s">
        <v>476</v>
      </c>
      <c r="L105" s="20">
        <v>101533.71426646966</v>
      </c>
      <c r="M105" s="100">
        <v>101533.71426646966</v>
      </c>
      <c r="N105" s="100">
        <v>449139.52489753993</v>
      </c>
      <c r="O105" s="100">
        <v>721639.1982702</v>
      </c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20"/>
      <c r="AB105" s="20"/>
      <c r="AC105" s="100"/>
      <c r="AD105" s="16" t="str">
        <f t="shared" si="8"/>
        <v>Mass_TF_CS</v>
      </c>
      <c r="AE105" s="100">
        <v>101533.71426646966</v>
      </c>
      <c r="AF105" s="100">
        <v>101533.71426646966</v>
      </c>
      <c r="AG105" s="100">
        <v>449139.52489753993</v>
      </c>
      <c r="AH105" s="100">
        <v>721639.1982702</v>
      </c>
      <c r="AI105" s="20">
        <v>1205965.8213954684</v>
      </c>
      <c r="AJ105" s="100">
        <v>101533.71426646966</v>
      </c>
      <c r="AK105" s="100">
        <v>101533.71426646966</v>
      </c>
      <c r="AL105" s="100"/>
      <c r="AM105" s="100"/>
      <c r="AN105" s="20"/>
      <c r="AO105" s="20"/>
      <c r="AP105" s="20"/>
      <c r="AQ105" s="20"/>
      <c r="AR105" s="20"/>
      <c r="AS105" s="20"/>
      <c r="AT105" s="20"/>
      <c r="AU105" s="20"/>
      <c r="AV105" s="20"/>
      <c r="AX105" s="16" t="str">
        <f t="shared" si="9"/>
        <v>Mass_TF_CS</v>
      </c>
      <c r="AY105" s="100">
        <v>105241.42805667495</v>
      </c>
      <c r="AZ105" s="100">
        <v>130787.09412084497</v>
      </c>
      <c r="BA105" s="100">
        <v>159411.19631617784</v>
      </c>
      <c r="BB105" s="100"/>
      <c r="BC105" s="20"/>
      <c r="BD105" s="100"/>
      <c r="BE105" s="100"/>
      <c r="BF105" s="100"/>
      <c r="BG105" s="100"/>
      <c r="BH105" s="20"/>
      <c r="BI105" s="20"/>
      <c r="BJ105" s="20"/>
      <c r="BK105" s="20"/>
      <c r="BL105" s="20"/>
      <c r="BM105" s="20"/>
      <c r="BN105" s="20"/>
      <c r="BO105" s="20"/>
      <c r="BP105" s="20">
        <v>198470.30968512493</v>
      </c>
      <c r="BR105" s="16" t="str">
        <f t="shared" si="10"/>
        <v>Mass_TF_CS</v>
      </c>
      <c r="BS105" s="100">
        <v>105241.42805667495</v>
      </c>
      <c r="BT105" s="100">
        <v>130787.09412084497</v>
      </c>
      <c r="BU105" s="100">
        <v>159411.19631617784</v>
      </c>
      <c r="BV105" s="100">
        <v>110316.14598859705</v>
      </c>
      <c r="BW105" s="20">
        <v>137082.23410943963</v>
      </c>
      <c r="BX105" s="100">
        <v>167082.42019016817</v>
      </c>
      <c r="BY105" s="100">
        <v>115267.23308279</v>
      </c>
      <c r="BZ105" s="100">
        <v>146611.56327050153</v>
      </c>
      <c r="CA105" s="100">
        <v>180935.883300397</v>
      </c>
      <c r="CB105" s="20">
        <v>118353.08453448315</v>
      </c>
      <c r="CC105" s="20">
        <v>147017.1987892628</v>
      </c>
      <c r="CD105" s="20">
        <v>179148.4008014441</v>
      </c>
      <c r="CE105" s="20">
        <v>121526.44425161026</v>
      </c>
      <c r="CF105" s="20">
        <v>150921.91826860575</v>
      </c>
      <c r="CG105" s="20">
        <v>183869.43162785328</v>
      </c>
      <c r="CH105" s="20">
        <v>124255.2908864271</v>
      </c>
      <c r="CI105" s="20">
        <v>154268.15809610803</v>
      </c>
      <c r="CJ105" s="20">
        <v>187901.62200205724</v>
      </c>
      <c r="CL105" s="16" t="str">
        <f t="shared" si="11"/>
        <v>Mass_TF_CS</v>
      </c>
      <c r="CM105" s="100">
        <v>512105.822008041</v>
      </c>
      <c r="CN105" s="100">
        <v>555422.4549344276</v>
      </c>
      <c r="CO105" s="100">
        <v>591731.0388768635</v>
      </c>
      <c r="CP105" s="100">
        <v>619741.3441621339</v>
      </c>
      <c r="CQ105" s="20">
        <v>643670.6523109385</v>
      </c>
      <c r="CR105" s="100">
        <v>665702.6686753854</v>
      </c>
      <c r="CS105" s="100">
        <v>414845.88215455745</v>
      </c>
      <c r="CT105" s="100">
        <v>472403.9264692687</v>
      </c>
      <c r="CU105" s="100">
        <v>533459.4255988662</v>
      </c>
      <c r="CV105" s="100">
        <v>596768.4676433675</v>
      </c>
      <c r="CW105" s="100">
        <v>661182.040933223</v>
      </c>
      <c r="CX105" s="100">
        <v>731896.3924590132</v>
      </c>
      <c r="CY105" s="100">
        <v>806994.4502776382</v>
      </c>
      <c r="CZ105" s="100">
        <v>886580.8949174302</v>
      </c>
      <c r="DA105" s="100">
        <v>970760.4695487969</v>
      </c>
      <c r="DB105" s="100"/>
      <c r="DC105" s="100"/>
      <c r="DE105" s="16" t="s">
        <v>476</v>
      </c>
      <c r="DF105" s="100">
        <v>105241.42805667495</v>
      </c>
      <c r="DG105" s="100">
        <v>130787.09412084497</v>
      </c>
      <c r="DH105" s="100">
        <v>159411.19631617784</v>
      </c>
      <c r="DI105" s="100">
        <v>191197.78964504262</v>
      </c>
      <c r="DJ105" s="20">
        <v>226230.92910980806</v>
      </c>
      <c r="DK105" s="100">
        <v>264594.66971284326</v>
      </c>
      <c r="DL105" s="20">
        <v>105241.42805667495</v>
      </c>
      <c r="DM105" s="100">
        <v>130787.09412084497</v>
      </c>
      <c r="DN105" s="100">
        <v>159411.19631617784</v>
      </c>
      <c r="DO105" s="100">
        <v>191197.78964504262</v>
      </c>
      <c r="DP105" s="100">
        <v>226230.92910980806</v>
      </c>
      <c r="DQ105" s="20">
        <v>264594.66971284326</v>
      </c>
      <c r="DR105" s="20">
        <v>105241.42805667495</v>
      </c>
      <c r="DS105" s="100">
        <v>130787.09412084497</v>
      </c>
      <c r="DT105" s="100">
        <v>159411.19631617784</v>
      </c>
      <c r="DU105" s="100">
        <v>191197.78964504262</v>
      </c>
      <c r="DV105" s="100">
        <v>226230.92910980806</v>
      </c>
      <c r="DW105" s="20">
        <v>264594.66971284326</v>
      </c>
      <c r="DX105" s="20">
        <v>105241.42805667495</v>
      </c>
      <c r="DY105" s="100">
        <v>130787.09412084497</v>
      </c>
      <c r="DZ105" s="100">
        <v>159411.19631617784</v>
      </c>
      <c r="EA105" s="100">
        <v>191197.78964504262</v>
      </c>
      <c r="EB105" s="100">
        <v>226230.92910980806</v>
      </c>
      <c r="EC105" s="20">
        <v>264594.66971284326</v>
      </c>
    </row>
    <row r="106" spans="1:133" ht="12.75">
      <c r="A106" t="s">
        <v>489</v>
      </c>
      <c r="B106" s="184">
        <f>xnTotal-xne</f>
        <v>1.497643810437702E+20</v>
      </c>
      <c r="J106" s="170">
        <f>TF_outer!B22</f>
        <v>745138.4902152923</v>
      </c>
      <c r="K106" s="17" t="s">
        <v>477</v>
      </c>
      <c r="L106" s="20">
        <v>745138.4902152923</v>
      </c>
      <c r="M106" s="100">
        <v>745138.4902152923</v>
      </c>
      <c r="N106" s="100">
        <v>1733495.77336173</v>
      </c>
      <c r="O106" s="100">
        <v>2219511.886499449</v>
      </c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20"/>
      <c r="AB106" s="20"/>
      <c r="AC106" s="100"/>
      <c r="AD106" s="16" t="str">
        <f t="shared" si="8"/>
        <v>Mass_TF_Outer</v>
      </c>
      <c r="AE106" s="100">
        <v>745138.4902152923</v>
      </c>
      <c r="AF106" s="100">
        <v>745138.4902152923</v>
      </c>
      <c r="AG106" s="100">
        <v>1733495.77336173</v>
      </c>
      <c r="AH106" s="100">
        <v>2219511.886499449</v>
      </c>
      <c r="AI106" s="20">
        <v>2463590.586841522</v>
      </c>
      <c r="AJ106" s="100">
        <v>745138.4902152923</v>
      </c>
      <c r="AK106" s="100">
        <v>745138.4902152923</v>
      </c>
      <c r="AL106" s="100"/>
      <c r="AM106" s="100"/>
      <c r="AN106" s="20"/>
      <c r="AO106" s="20"/>
      <c r="AP106" s="20"/>
      <c r="AQ106" s="20"/>
      <c r="AR106" s="20"/>
      <c r="AS106" s="20"/>
      <c r="AT106" s="20"/>
      <c r="AU106" s="20"/>
      <c r="AV106" s="20"/>
      <c r="AX106" s="16" t="str">
        <f t="shared" si="9"/>
        <v>Mass_TF_Outer</v>
      </c>
      <c r="AY106" s="100">
        <v>626910.1999622193</v>
      </c>
      <c r="AZ106" s="100">
        <v>682841.768455532</v>
      </c>
      <c r="BA106" s="100">
        <v>741088.0858928774</v>
      </c>
      <c r="BB106" s="100"/>
      <c r="BC106" s="20"/>
      <c r="BD106" s="100"/>
      <c r="BE106" s="100"/>
      <c r="BF106" s="100"/>
      <c r="BG106" s="100"/>
      <c r="BH106" s="20"/>
      <c r="BI106" s="20"/>
      <c r="BJ106" s="20"/>
      <c r="BK106" s="20"/>
      <c r="BL106" s="20"/>
      <c r="BM106" s="20"/>
      <c r="BN106" s="20"/>
      <c r="BO106" s="20"/>
      <c r="BP106" s="20">
        <v>614163.1332473325</v>
      </c>
      <c r="BR106" s="16" t="str">
        <f t="shared" si="10"/>
        <v>Mass_TF_Outer</v>
      </c>
      <c r="BS106" s="100">
        <v>626910.1999622193</v>
      </c>
      <c r="BT106" s="100">
        <v>682841.768455532</v>
      </c>
      <c r="BU106" s="100">
        <v>741088.0858928774</v>
      </c>
      <c r="BV106" s="100">
        <v>601025.7501652162</v>
      </c>
      <c r="BW106" s="20">
        <v>653036.3411834608</v>
      </c>
      <c r="BX106" s="100">
        <v>707119.4025102168</v>
      </c>
      <c r="BY106" s="100">
        <v>579117.3686780309</v>
      </c>
      <c r="BZ106" s="100">
        <v>627831.5465438494</v>
      </c>
      <c r="CA106" s="100">
        <v>678417.1810811416</v>
      </c>
      <c r="CB106" s="20">
        <v>560352.8036988217</v>
      </c>
      <c r="CC106" s="20">
        <v>606260.9213643803</v>
      </c>
      <c r="CD106" s="20">
        <v>653871.4768464419</v>
      </c>
      <c r="CE106" s="20">
        <v>544114.7181006805</v>
      </c>
      <c r="CF106" s="20">
        <v>587608.2585757169</v>
      </c>
      <c r="CG106" s="20">
        <v>632660.460752582</v>
      </c>
      <c r="CH106" s="20">
        <v>529935.8379501018</v>
      </c>
      <c r="CI106" s="20">
        <v>571331.9327196594</v>
      </c>
      <c r="CJ106" s="20">
        <v>614163.1332473325</v>
      </c>
      <c r="CL106" s="16" t="str">
        <f t="shared" si="11"/>
        <v>Mass_TF_Outer</v>
      </c>
      <c r="CM106" s="100">
        <v>1457706.0591773198</v>
      </c>
      <c r="CN106" s="100">
        <v>1368964.2328813102</v>
      </c>
      <c r="CO106" s="100">
        <v>1294394.9864480903</v>
      </c>
      <c r="CP106" s="100">
        <v>1230947.3224612619</v>
      </c>
      <c r="CQ106" s="20">
        <v>1176374.691660027</v>
      </c>
      <c r="CR106" s="100">
        <v>1128988.401783611</v>
      </c>
      <c r="CS106" s="100">
        <v>1377593.2295787262</v>
      </c>
      <c r="CT106" s="100">
        <v>1455585.5974232326</v>
      </c>
      <c r="CU106" s="100">
        <v>1535681.3504747774</v>
      </c>
      <c r="CV106" s="100">
        <v>1617880.488733359</v>
      </c>
      <c r="CW106" s="100">
        <v>1702183.012198977</v>
      </c>
      <c r="CX106" s="100">
        <v>1788588.9208716324</v>
      </c>
      <c r="CY106" s="100">
        <v>1877098.2147513244</v>
      </c>
      <c r="CZ106" s="100">
        <v>1967710.8938380543</v>
      </c>
      <c r="DA106" s="100">
        <v>2060426.9581318204</v>
      </c>
      <c r="DB106" s="100"/>
      <c r="DC106" s="100"/>
      <c r="DE106" s="16" t="s">
        <v>477</v>
      </c>
      <c r="DF106" s="100">
        <v>626910.1999622193</v>
      </c>
      <c r="DG106" s="100">
        <v>682841.768455532</v>
      </c>
      <c r="DH106" s="100">
        <v>741088.0858928774</v>
      </c>
      <c r="DI106" s="100">
        <v>801649.1522742558</v>
      </c>
      <c r="DJ106" s="20">
        <v>864524.9675996666</v>
      </c>
      <c r="DK106" s="100">
        <v>929715.5318691104</v>
      </c>
      <c r="DL106" s="20">
        <v>626910.1999622193</v>
      </c>
      <c r="DM106" s="100">
        <v>682841.768455532</v>
      </c>
      <c r="DN106" s="100">
        <v>741088.0858928774</v>
      </c>
      <c r="DO106" s="100">
        <v>801649.1522742558</v>
      </c>
      <c r="DP106" s="100">
        <v>864524.9675996666</v>
      </c>
      <c r="DQ106" s="20">
        <v>929715.5318691104</v>
      </c>
      <c r="DR106" s="20">
        <v>626910.1999622193</v>
      </c>
      <c r="DS106" s="100">
        <v>682841.768455532</v>
      </c>
      <c r="DT106" s="100">
        <v>741088.0858928774</v>
      </c>
      <c r="DU106" s="100">
        <v>801649.1522742558</v>
      </c>
      <c r="DV106" s="100">
        <v>864524.9675996666</v>
      </c>
      <c r="DW106" s="20">
        <v>929715.5318691104</v>
      </c>
      <c r="DX106" s="20">
        <v>626910.1999622193</v>
      </c>
      <c r="DY106" s="100">
        <v>682841.768455532</v>
      </c>
      <c r="DZ106" s="100">
        <v>741088.0858928774</v>
      </c>
      <c r="EA106" s="100">
        <v>801649.1522742558</v>
      </c>
      <c r="EB106" s="100">
        <v>864524.9675996666</v>
      </c>
      <c r="EC106" s="20">
        <v>929715.5318691104</v>
      </c>
    </row>
    <row r="107" spans="1:133" ht="12.75">
      <c r="A107" t="s">
        <v>542</v>
      </c>
      <c r="B107" s="184">
        <f>IF(TiETe="Yes",xnTotal/2,xni)</f>
        <v>1.497643810437702E+20</v>
      </c>
      <c r="E107" s="9" t="s">
        <v>39</v>
      </c>
      <c r="J107" s="170">
        <f>B59</f>
        <v>647442.2284983246</v>
      </c>
      <c r="K107" s="17" t="s">
        <v>478</v>
      </c>
      <c r="L107" s="20">
        <v>494781.11925325985</v>
      </c>
      <c r="M107" s="100">
        <v>647442.2284984194</v>
      </c>
      <c r="N107" s="100">
        <v>1718291.137021167</v>
      </c>
      <c r="O107" s="100">
        <v>2179462.1405038815</v>
      </c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20"/>
      <c r="AB107" s="20"/>
      <c r="AC107" s="100"/>
      <c r="AD107" s="16" t="str">
        <f t="shared" si="8"/>
        <v>Mass_PF_Outer</v>
      </c>
      <c r="AE107" s="100">
        <v>419822.2778304091</v>
      </c>
      <c r="AF107" s="100">
        <v>647442.2284984194</v>
      </c>
      <c r="AG107" s="100">
        <v>1718291.137021167</v>
      </c>
      <c r="AH107" s="100">
        <v>2179462.1405038815</v>
      </c>
      <c r="AI107" s="20">
        <v>1986500.941022725</v>
      </c>
      <c r="AJ107" s="100">
        <v>419822.2778304091</v>
      </c>
      <c r="AK107" s="100">
        <v>647442.2284984194</v>
      </c>
      <c r="AL107" s="100"/>
      <c r="AM107" s="100"/>
      <c r="AN107" s="20"/>
      <c r="AO107" s="20"/>
      <c r="AP107" s="20"/>
      <c r="AQ107" s="20"/>
      <c r="AR107" s="20"/>
      <c r="AS107" s="20"/>
      <c r="AT107" s="20"/>
      <c r="AU107" s="20"/>
      <c r="AV107" s="20"/>
      <c r="AX107" s="16" t="str">
        <f t="shared" si="9"/>
        <v>Mass_PF_Outer</v>
      </c>
      <c r="AY107" s="100">
        <v>390665.26008822815</v>
      </c>
      <c r="AZ107" s="100">
        <v>439912.9651963931</v>
      </c>
      <c r="BA107" s="100">
        <v>490707.5907019753</v>
      </c>
      <c r="BB107" s="100"/>
      <c r="BC107" s="20"/>
      <c r="BD107" s="100"/>
      <c r="BE107" s="100"/>
      <c r="BF107" s="100"/>
      <c r="BG107" s="100"/>
      <c r="BH107" s="20"/>
      <c r="BI107" s="20"/>
      <c r="BJ107" s="20"/>
      <c r="BK107" s="20"/>
      <c r="BL107" s="20"/>
      <c r="BM107" s="20"/>
      <c r="BN107" s="20"/>
      <c r="BO107" s="20"/>
      <c r="BP107" s="20">
        <v>314860.2275443499</v>
      </c>
      <c r="BR107" s="16" t="str">
        <f t="shared" si="10"/>
        <v>Mass_PF_Outer</v>
      </c>
      <c r="BS107" s="100">
        <v>415912.98141723406</v>
      </c>
      <c r="BT107" s="100">
        <v>540676.4700967221</v>
      </c>
      <c r="BU107" s="100">
        <v>606472.6763823223</v>
      </c>
      <c r="BV107" s="100">
        <v>424127.0816508785</v>
      </c>
      <c r="BW107" s="20">
        <v>484847.0762119116</v>
      </c>
      <c r="BX107" s="100">
        <v>545284.3697962422</v>
      </c>
      <c r="BY107" s="100">
        <v>383721.951214296</v>
      </c>
      <c r="BZ107" s="100">
        <v>437499.59639563184</v>
      </c>
      <c r="CA107" s="100">
        <v>494487.839967752</v>
      </c>
      <c r="CB107" s="20">
        <v>349886.57802745985</v>
      </c>
      <c r="CC107" s="20">
        <v>399413.51930724975</v>
      </c>
      <c r="CD107" s="20">
        <v>449860.4496211867</v>
      </c>
      <c r="CE107" s="20">
        <v>320667.2918888948</v>
      </c>
      <c r="CF107" s="20">
        <v>366731.2087048591</v>
      </c>
      <c r="CG107" s="20">
        <v>413446.01858923194</v>
      </c>
      <c r="CH107" s="20">
        <v>295192.3845776156</v>
      </c>
      <c r="CI107" s="20">
        <v>338252.8191506088</v>
      </c>
      <c r="CJ107" s="20">
        <v>381898.0703303296</v>
      </c>
      <c r="CL107" s="16" t="str">
        <f t="shared" si="11"/>
        <v>Mass_PF_Outer</v>
      </c>
      <c r="CM107" s="100">
        <v>1585599.2326022978</v>
      </c>
      <c r="CN107" s="100">
        <v>1462957.984984055</v>
      </c>
      <c r="CO107" s="100">
        <v>1358371.9540965003</v>
      </c>
      <c r="CP107" s="100">
        <v>1276985.985929563</v>
      </c>
      <c r="CQ107" s="20">
        <v>1204174.4765731862</v>
      </c>
      <c r="CR107" s="100">
        <v>1093390.1695287358</v>
      </c>
      <c r="CS107" s="100">
        <v>1449110.7217047263</v>
      </c>
      <c r="CT107" s="100">
        <v>1503293.212172943</v>
      </c>
      <c r="CU107" s="100">
        <v>1559087.2503404154</v>
      </c>
      <c r="CV107" s="100">
        <v>1615662.5140712443</v>
      </c>
      <c r="CW107" s="100">
        <v>1820812.1823799305</v>
      </c>
      <c r="CX107" s="100">
        <v>1880872.519898653</v>
      </c>
      <c r="CY107" s="100">
        <v>1941250.7557884464</v>
      </c>
      <c r="CZ107" s="100">
        <v>2001944.903275496</v>
      </c>
      <c r="DA107" s="100">
        <v>2062952.7408024601</v>
      </c>
      <c r="DB107" s="100"/>
      <c r="DC107" s="100"/>
      <c r="DE107" s="16" t="s">
        <v>478</v>
      </c>
      <c r="DF107" s="100">
        <v>414398.3916293336</v>
      </c>
      <c r="DG107" s="100">
        <v>533392.3767056775</v>
      </c>
      <c r="DH107" s="100">
        <v>609273.290950263</v>
      </c>
      <c r="DI107" s="100">
        <v>633404.2565764765</v>
      </c>
      <c r="DJ107" s="20">
        <v>657285.7853190548</v>
      </c>
      <c r="DK107" s="100">
        <v>680977.3885378649</v>
      </c>
      <c r="DL107" s="20">
        <v>407213.5981779837</v>
      </c>
      <c r="DM107" s="100">
        <v>511211.23844553967</v>
      </c>
      <c r="DN107" s="100">
        <v>624727.4064590471</v>
      </c>
      <c r="DO107" s="100">
        <v>749126.1255321288</v>
      </c>
      <c r="DP107" s="100">
        <v>886071.4141795537</v>
      </c>
      <c r="DQ107" s="20">
        <v>1029514.8741720841</v>
      </c>
      <c r="DR107" s="20">
        <v>419107.39655712846</v>
      </c>
      <c r="DS107" s="100">
        <v>522693.20054876443</v>
      </c>
      <c r="DT107" s="100">
        <v>631620.1159529442</v>
      </c>
      <c r="DU107" s="100">
        <v>746643.9873214331</v>
      </c>
      <c r="DV107" s="100">
        <v>866032.4209109436</v>
      </c>
      <c r="DW107" s="20">
        <v>982050.2182492525</v>
      </c>
      <c r="DX107" s="20">
        <v>430668.48624824325</v>
      </c>
      <c r="DY107" s="100">
        <v>526333.050808036</v>
      </c>
      <c r="DZ107" s="100">
        <v>616526.0052676665</v>
      </c>
      <c r="EA107" s="100">
        <v>712302.7598315129</v>
      </c>
      <c r="EB107" s="100">
        <v>812639.0399856457</v>
      </c>
      <c r="EC107" s="20">
        <v>918328.4946956087</v>
      </c>
    </row>
    <row r="108" spans="1:133" ht="12.75">
      <c r="A108" t="s">
        <v>490</v>
      </c>
      <c r="B108" s="177">
        <f>((Beta_N_i*Ip*Bt)/(R0*e*2*mu0)*(1+alpha_N+alpha_Ti)/((1+alpha_N)*xnix*0.00000000000000016))</f>
        <v>36.325091353019175</v>
      </c>
      <c r="J108" s="164">
        <f>J72/vol</f>
        <v>6.316275823827411</v>
      </c>
      <c r="K108" s="21" t="s">
        <v>483</v>
      </c>
      <c r="L108" s="21">
        <v>1.579068955955231</v>
      </c>
      <c r="M108" s="21">
        <v>3.1999488255452433</v>
      </c>
      <c r="N108" s="21">
        <v>3.022635753189694</v>
      </c>
      <c r="O108" s="21">
        <v>4.212682331215619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16" t="str">
        <f t="shared" si="8"/>
        <v>P_Density[MW/m^3]</v>
      </c>
      <c r="AE108" s="21">
        <v>1.89215478355472</v>
      </c>
      <c r="AF108" s="21">
        <v>3.1999488255452433</v>
      </c>
      <c r="AG108" s="21">
        <v>3.022635753189694</v>
      </c>
      <c r="AH108" s="21">
        <v>4.212682331215619</v>
      </c>
      <c r="AI108" s="21">
        <v>2.3825519298316835</v>
      </c>
      <c r="AJ108" s="21">
        <v>1.5790689559552316</v>
      </c>
      <c r="AK108" s="21">
        <v>6.316275823820931</v>
      </c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X108" s="16" t="str">
        <f t="shared" si="9"/>
        <v>P_Density[MW/m^3]</v>
      </c>
      <c r="AY108" s="21">
        <v>1.8921547835548187</v>
      </c>
      <c r="AZ108" s="21">
        <v>1.7226206792238896</v>
      </c>
      <c r="BA108" s="21">
        <v>1.579068955955219</v>
      </c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>
        <v>2.489660646039826</v>
      </c>
      <c r="BR108" s="16" t="str">
        <f t="shared" si="10"/>
        <v>P_Density[MW/m^3]</v>
      </c>
      <c r="BS108" s="21">
        <v>3.784309567117125</v>
      </c>
      <c r="BT108" s="21">
        <v>3.4452413584477912</v>
      </c>
      <c r="BU108" s="21">
        <v>3.1581379119104596</v>
      </c>
      <c r="BV108" s="21">
        <v>4.145427385694622</v>
      </c>
      <c r="BW108" s="21">
        <v>3.822401732254894</v>
      </c>
      <c r="BX108" s="21">
        <v>3.5123841366968738</v>
      </c>
      <c r="BY108" s="21">
        <v>4.590977669425894</v>
      </c>
      <c r="BZ108" s="21">
        <v>4.160490295353185</v>
      </c>
      <c r="CA108" s="21">
        <v>3.86305629094891</v>
      </c>
      <c r="CB108" s="21">
        <v>5.060434460293395</v>
      </c>
      <c r="CC108" s="21">
        <v>4.5750211258265</v>
      </c>
      <c r="CD108" s="21">
        <v>4.181396264246872</v>
      </c>
      <c r="CE108" s="21">
        <v>5.548639609385319</v>
      </c>
      <c r="CF108" s="21">
        <v>5.011335013417579</v>
      </c>
      <c r="CG108" s="21">
        <v>4.571059683317726</v>
      </c>
      <c r="CH108" s="21">
        <v>6.056129758967324</v>
      </c>
      <c r="CI108" s="21">
        <v>5.463533569758233</v>
      </c>
      <c r="CJ108" s="21">
        <v>4.979321292079661</v>
      </c>
      <c r="CL108" s="16" t="str">
        <f t="shared" si="11"/>
        <v>P_Density[MW/m^3]</v>
      </c>
      <c r="CM108" s="21">
        <v>4.45283495927623</v>
      </c>
      <c r="CN108" s="21">
        <v>5.336937064413442</v>
      </c>
      <c r="CO108" s="21">
        <v>6.3100163829629095</v>
      </c>
      <c r="CP108" s="21">
        <v>7.4588628429956545</v>
      </c>
      <c r="CQ108" s="21">
        <v>8.693319393446494</v>
      </c>
      <c r="CR108" s="21">
        <v>8.9806825965739</v>
      </c>
      <c r="CS108" s="21">
        <v>5.258842729931397</v>
      </c>
      <c r="CT108" s="21">
        <v>4.594708911824211</v>
      </c>
      <c r="CU108" s="21">
        <v>4.043336993554237</v>
      </c>
      <c r="CV108" s="21">
        <v>3.5793756282855713</v>
      </c>
      <c r="CW108" s="21">
        <v>3.7030374068578373</v>
      </c>
      <c r="CX108" s="21">
        <v>3.305856297059023</v>
      </c>
      <c r="CY108" s="21">
        <v>2.9636353992933033</v>
      </c>
      <c r="CZ108" s="21">
        <v>2.667178489588781</v>
      </c>
      <c r="DA108" s="21">
        <v>2.409076646596025</v>
      </c>
      <c r="DB108" s="21"/>
      <c r="DC108" s="21"/>
      <c r="DE108" s="16" t="s">
        <v>483</v>
      </c>
      <c r="DF108" s="21">
        <v>3.884770574893967</v>
      </c>
      <c r="DG108" s="21">
        <v>4.089888096180515</v>
      </c>
      <c r="DH108" s="21">
        <v>3.1803443398315374</v>
      </c>
      <c r="DI108" s="21">
        <v>2.3409469972838344</v>
      </c>
      <c r="DJ108" s="21">
        <v>1.7623227354079882</v>
      </c>
      <c r="DK108" s="21">
        <v>1.3525258840620729</v>
      </c>
      <c r="DL108" s="21">
        <v>4.356977870083792</v>
      </c>
      <c r="DM108" s="21">
        <v>5.174340400103836</v>
      </c>
      <c r="DN108" s="21">
        <v>5.918415523886019</v>
      </c>
      <c r="DO108" s="21">
        <v>6.525440472377179</v>
      </c>
      <c r="DP108" s="21">
        <v>6.98223972906821</v>
      </c>
      <c r="DQ108" s="21">
        <v>7.164968204500171</v>
      </c>
      <c r="DR108" s="21">
        <v>3.571383380042997</v>
      </c>
      <c r="DS108" s="21">
        <v>4.617963042770096</v>
      </c>
      <c r="DT108" s="21">
        <v>5.668272259971666</v>
      </c>
      <c r="DU108" s="21">
        <v>6.594280822906646</v>
      </c>
      <c r="DV108" s="21">
        <v>7.267133618332108</v>
      </c>
      <c r="DW108" s="21">
        <v>7.498213364557309</v>
      </c>
      <c r="DX108" s="21">
        <v>2.788974961253313</v>
      </c>
      <c r="DY108" s="21">
        <v>3.6009481120437634</v>
      </c>
      <c r="DZ108" s="21">
        <v>4.1756786254339575</v>
      </c>
      <c r="EA108" s="21">
        <v>4.728870899249102</v>
      </c>
      <c r="EB108" s="21">
        <v>5.194351295395264</v>
      </c>
      <c r="EC108" s="21">
        <v>5.561589032306774</v>
      </c>
    </row>
    <row r="109" spans="1:133" ht="12.75">
      <c r="A109" t="s">
        <v>491</v>
      </c>
      <c r="B109" s="177">
        <f>((Beta_N_i*Ip*Bt)/(R0*e*2*mu0)/(xnix*0.00000000000000016))</f>
        <v>19.027428803962422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155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X109" s="155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R109" s="155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L109" s="155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E109" s="155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</row>
    <row r="110" spans="1:133" ht="12.75">
      <c r="A110" t="s">
        <v>543</v>
      </c>
      <c r="B110" s="184">
        <f>IF(TiETe="Yes",xnTotal/2,xne)</f>
        <v>1.716180338103451E+20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155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X110" s="155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R110" s="155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L110" s="155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E110" s="155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</row>
    <row r="111" spans="1:39" ht="12.75">
      <c r="A111" t="s">
        <v>492</v>
      </c>
      <c r="B111" s="184">
        <f>((Beta_N_e*Ip*Bt)/(R0*e*2*mu0)*(1+alpha_N+alpha_Te)/((1+alpha_N)*xnex*0.00000000000000016))</f>
        <v>15.13266166557799</v>
      </c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155"/>
      <c r="AE111" s="42"/>
      <c r="AF111" s="42"/>
      <c r="AG111" s="42"/>
      <c r="AH111" s="42"/>
      <c r="AI111" s="42"/>
      <c r="AJ111" s="42"/>
      <c r="AK111" s="42"/>
      <c r="AL111" s="42"/>
      <c r="AM111" s="42"/>
    </row>
    <row r="112" spans="1:39" ht="12.75">
      <c r="A112" t="s">
        <v>213</v>
      </c>
      <c r="B112" s="177">
        <f>((Beta_N_e*Ip*Bt)/(R0*e*2*mu0)/(xnex*0.00000000000000016))</f>
        <v>11.097285221423858</v>
      </c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155"/>
      <c r="AE112" s="42"/>
      <c r="AF112" s="42"/>
      <c r="AG112" s="42"/>
      <c r="AH112" s="42"/>
      <c r="AI112" s="42"/>
      <c r="AJ112" s="42"/>
      <c r="AK112" s="42"/>
      <c r="AL112" s="42"/>
      <c r="AM112" s="42"/>
    </row>
    <row r="113" spans="1:39" ht="12.75">
      <c r="A113" t="s">
        <v>214</v>
      </c>
      <c r="B113" s="177">
        <f>((Beta_N*Ip*Bt)/(R0*e*2*mu0)*(1+alpha_N+alpha_T)/((1+alpha_N)*xnTotal*0.00000000000000016))</f>
        <v>24.20629603664537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155"/>
      <c r="AE113" s="42"/>
      <c r="AF113" s="42"/>
      <c r="AG113" s="42"/>
      <c r="AH113" s="42" t="s">
        <v>39</v>
      </c>
      <c r="AI113" s="42" t="s">
        <v>39</v>
      </c>
      <c r="AJ113" s="42" t="s">
        <v>39</v>
      </c>
      <c r="AK113" s="42" t="s">
        <v>39</v>
      </c>
      <c r="AL113" s="42"/>
      <c r="AM113" s="42"/>
    </row>
    <row r="114" spans="1:115" ht="12.75">
      <c r="A114" t="s">
        <v>215</v>
      </c>
      <c r="B114" s="177">
        <f>((Beta_N*Ip*Bt)/(R0*e*2*mu0)/(xnTotal*0.00000000000000016))</f>
        <v>14.792736466838837</v>
      </c>
      <c r="C114" s="9" t="s">
        <v>715</v>
      </c>
      <c r="J114" s="42" t="s">
        <v>335</v>
      </c>
      <c r="K114" s="42" t="s">
        <v>253</v>
      </c>
      <c r="L114" s="42" t="s">
        <v>254</v>
      </c>
      <c r="M114" s="42" t="s">
        <v>255</v>
      </c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155"/>
      <c r="AE114" s="42"/>
      <c r="AG114" s="42" t="s">
        <v>335</v>
      </c>
      <c r="AH114" s="42" t="s">
        <v>253</v>
      </c>
      <c r="AI114" s="42" t="s">
        <v>254</v>
      </c>
      <c r="AJ114" s="42" t="s">
        <v>255</v>
      </c>
      <c r="AK114" s="42" t="s">
        <v>39</v>
      </c>
      <c r="AL114" s="42"/>
      <c r="AM114" s="42"/>
      <c r="BA114" s="42" t="s">
        <v>335</v>
      </c>
      <c r="BB114" s="42" t="s">
        <v>253</v>
      </c>
      <c r="BC114" s="42" t="s">
        <v>254</v>
      </c>
      <c r="BD114" s="42" t="s">
        <v>255</v>
      </c>
      <c r="BU114" s="42" t="s">
        <v>335</v>
      </c>
      <c r="BV114" s="42" t="s">
        <v>253</v>
      </c>
      <c r="BW114" s="42" t="s">
        <v>254</v>
      </c>
      <c r="BX114" s="42" t="s">
        <v>255</v>
      </c>
      <c r="CO114" s="42" t="s">
        <v>335</v>
      </c>
      <c r="CP114" s="42" t="s">
        <v>340</v>
      </c>
      <c r="DE114" s="42" t="s">
        <v>2</v>
      </c>
      <c r="DF114" s="42" t="s">
        <v>343</v>
      </c>
      <c r="DG114" s="42" t="s">
        <v>352</v>
      </c>
      <c r="DH114" s="42" t="s">
        <v>353</v>
      </c>
      <c r="DI114" s="21" t="s">
        <v>354</v>
      </c>
      <c r="DJ114" s="42" t="s">
        <v>39</v>
      </c>
      <c r="DK114" s="42" t="s">
        <v>39</v>
      </c>
    </row>
    <row r="115" spans="1:113" ht="12.75">
      <c r="A115" t="s">
        <v>216</v>
      </c>
      <c r="B115" s="177">
        <f>T0e/(1+alpha_Te)</f>
        <v>10.809044046841422</v>
      </c>
      <c r="J115">
        <v>1.5</v>
      </c>
      <c r="K115" s="21">
        <f>L79</f>
        <v>0.9999999973545797</v>
      </c>
      <c r="L115" s="21">
        <f>M79</f>
        <v>4.000000012391863</v>
      </c>
      <c r="M115" s="21">
        <f>N79</f>
        <v>3.9878928626852894</v>
      </c>
      <c r="N115" s="23"/>
      <c r="O115" s="23"/>
      <c r="P115" s="23"/>
      <c r="AG115">
        <v>1.5</v>
      </c>
      <c r="AH115" s="21" t="e">
        <f>#REF!</f>
        <v>#REF!</v>
      </c>
      <c r="AI115" s="21">
        <f>AF79</f>
        <v>4.000000012391863</v>
      </c>
      <c r="AJ115" s="21">
        <f>AG79</f>
        <v>3.9878928626852894</v>
      </c>
      <c r="AK115" s="42" t="s">
        <v>39</v>
      </c>
      <c r="BA115">
        <v>1.5</v>
      </c>
      <c r="BB115" s="21">
        <f>AY79</f>
        <v>0.9999999988631598</v>
      </c>
      <c r="BC115" s="21">
        <f>AZ79</f>
        <v>0.9999999997526106</v>
      </c>
      <c r="BD115" s="21">
        <f>BA79</f>
        <v>0.999999999885799</v>
      </c>
      <c r="BU115">
        <v>1.5</v>
      </c>
      <c r="BV115" s="21">
        <f>BS79</f>
        <v>2.0000000058006657</v>
      </c>
      <c r="BW115" s="21">
        <f>BT79</f>
        <v>1.9999999835856364</v>
      </c>
      <c r="BX115" s="21">
        <f>BU79</f>
        <v>1.9999999965247286</v>
      </c>
      <c r="CO115">
        <v>1.5</v>
      </c>
      <c r="CP115" s="21">
        <f>CM102</f>
        <v>43.73343170190367</v>
      </c>
      <c r="DE115">
        <v>1</v>
      </c>
      <c r="DF115" s="21">
        <f>DF79</f>
        <v>2.0530934406951</v>
      </c>
      <c r="DG115" s="21">
        <f>DL79</f>
        <v>2.3026540470967753</v>
      </c>
      <c r="DH115" s="63">
        <f>DR79</f>
        <v>1.8874689421054156</v>
      </c>
      <c r="DI115" s="21">
        <f>DX79</f>
        <v>1.4739676613592656</v>
      </c>
    </row>
    <row r="116" spans="1:113" ht="12.75">
      <c r="A116" t="s">
        <v>481</v>
      </c>
      <c r="B116" s="177">
        <f>R0</f>
        <v>1.2</v>
      </c>
      <c r="J116">
        <v>1.6</v>
      </c>
      <c r="K116" s="21">
        <f>O79</f>
        <v>6.669566765615038</v>
      </c>
      <c r="L116" s="21">
        <f>P79</f>
        <v>0</v>
      </c>
      <c r="M116" s="21">
        <f>Q79</f>
        <v>0</v>
      </c>
      <c r="N116" s="23"/>
      <c r="O116" s="23"/>
      <c r="P116" s="23"/>
      <c r="AG116">
        <v>1.6</v>
      </c>
      <c r="AH116" s="21">
        <f>AH79</f>
        <v>6.669566765615038</v>
      </c>
      <c r="AI116" s="21">
        <f>AI79</f>
        <v>3.843864189373905</v>
      </c>
      <c r="AJ116" s="21">
        <f>AJ79</f>
        <v>1.0000000000204028</v>
      </c>
      <c r="AK116" s="42" t="s">
        <v>39</v>
      </c>
      <c r="BA116">
        <v>1.6</v>
      </c>
      <c r="BB116" s="21">
        <f>BB79</f>
        <v>0</v>
      </c>
      <c r="BC116" s="21">
        <f>BC79</f>
        <v>0</v>
      </c>
      <c r="BD116" s="21">
        <f>BD79</f>
        <v>0</v>
      </c>
      <c r="BU116">
        <v>1.6</v>
      </c>
      <c r="BV116" s="21">
        <f>BV79</f>
        <v>2.000000000568255</v>
      </c>
      <c r="BW116" s="21">
        <f>BW79</f>
        <v>2.000000000717338</v>
      </c>
      <c r="BX116" s="21">
        <f>BX79</f>
        <v>1.9999999999998352</v>
      </c>
      <c r="CO116">
        <v>1.6</v>
      </c>
      <c r="CP116" s="21">
        <f>CN102</f>
        <v>94.04217653462905</v>
      </c>
      <c r="DE116">
        <v>1.1</v>
      </c>
      <c r="DF116" s="21">
        <f>DG79</f>
        <v>2.3742244303472253</v>
      </c>
      <c r="DG116" s="21">
        <f>DM79</f>
        <v>3.0037607599390483</v>
      </c>
      <c r="DH116" s="63">
        <f>DS79</f>
        <v>2.680777672691591</v>
      </c>
      <c r="DI116" s="21">
        <f>DY79</f>
        <v>2.090389455591614</v>
      </c>
    </row>
    <row r="117" spans="1:113" ht="12.75">
      <c r="A117" t="s">
        <v>217</v>
      </c>
      <c r="B117" s="186">
        <f>100*xne/100000000000000000000*SQRT((R0+R0/A)^2-Rtan^2)</f>
        <v>274.5888540965522</v>
      </c>
      <c r="C117" s="157"/>
      <c r="J117">
        <v>1.7</v>
      </c>
      <c r="K117" s="21">
        <f>R79</f>
        <v>0</v>
      </c>
      <c r="L117" s="21">
        <f>S79</f>
        <v>0</v>
      </c>
      <c r="M117" s="21">
        <f>T79</f>
        <v>0</v>
      </c>
      <c r="N117" s="23"/>
      <c r="O117" s="23"/>
      <c r="P117" s="23"/>
      <c r="AG117">
        <v>1.7</v>
      </c>
      <c r="AH117" s="21">
        <f>AK79</f>
        <v>4.000000012391863</v>
      </c>
      <c r="AI117" s="21">
        <f>AL79</f>
        <v>0</v>
      </c>
      <c r="AJ117" s="21">
        <f>AM79</f>
        <v>0</v>
      </c>
      <c r="AK117" s="42" t="s">
        <v>39</v>
      </c>
      <c r="BA117">
        <v>1.7</v>
      </c>
      <c r="BB117" s="21">
        <f>BE79</f>
        <v>0</v>
      </c>
      <c r="BC117" s="21">
        <f>BF79</f>
        <v>0</v>
      </c>
      <c r="BD117" s="21">
        <f>BG79</f>
        <v>0</v>
      </c>
      <c r="BU117">
        <v>1.7</v>
      </c>
      <c r="BV117" s="21">
        <f>BY79</f>
        <v>2.0000000000002447</v>
      </c>
      <c r="BW117" s="21">
        <f>BZ79</f>
        <v>1.999999999982618</v>
      </c>
      <c r="BX117" s="21">
        <f>CA79</f>
        <v>1.9999999998465625</v>
      </c>
      <c r="CO117">
        <v>1.7</v>
      </c>
      <c r="CP117" s="21">
        <f>CO102</f>
        <v>101.26268075675347</v>
      </c>
      <c r="DE117">
        <v>1.2</v>
      </c>
      <c r="DF117" s="21">
        <f>DH79</f>
        <v>2.0140629792343767</v>
      </c>
      <c r="DG117" s="21">
        <f>DN79</f>
        <v>3.7480412025785093</v>
      </c>
      <c r="DH117" s="63">
        <f>DT79</f>
        <v>3.589629343339461</v>
      </c>
      <c r="DI117" s="21">
        <f>DZ79</f>
        <v>2.6443928301384925</v>
      </c>
    </row>
    <row r="118" spans="1:113" ht="12.75" hidden="1">
      <c r="A118" t="s">
        <v>399</v>
      </c>
      <c r="B118" s="181">
        <v>0.001</v>
      </c>
      <c r="C118" s="157"/>
      <c r="J118">
        <v>1.8</v>
      </c>
      <c r="K118" s="21">
        <f>U79</f>
        <v>0</v>
      </c>
      <c r="L118" s="21">
        <f>V79</f>
        <v>0</v>
      </c>
      <c r="M118" s="21">
        <f>W79</f>
        <v>0</v>
      </c>
      <c r="N118" s="23"/>
      <c r="O118" s="23"/>
      <c r="P118" s="23"/>
      <c r="AG118">
        <v>1.8</v>
      </c>
      <c r="AH118" s="21">
        <f>AN79</f>
        <v>0</v>
      </c>
      <c r="AI118" s="21">
        <f>AO79</f>
        <v>0</v>
      </c>
      <c r="AJ118" s="21">
        <f>AP79</f>
        <v>0</v>
      </c>
      <c r="AK118" s="42" t="s">
        <v>39</v>
      </c>
      <c r="BA118">
        <v>1.8</v>
      </c>
      <c r="BB118" s="21">
        <f>BH79</f>
        <v>0</v>
      </c>
      <c r="BC118" s="21">
        <f>BI79</f>
        <v>0</v>
      </c>
      <c r="BD118" s="21">
        <f>BJ79</f>
        <v>0</v>
      </c>
      <c r="BU118">
        <v>1.8</v>
      </c>
      <c r="BV118" s="21">
        <f>CB79</f>
        <v>1.9999999956621912</v>
      </c>
      <c r="BW118" s="21">
        <f>CC79</f>
        <v>1.9999999999894478</v>
      </c>
      <c r="BX118" s="21">
        <f>CD79</f>
        <v>2.0000000010892327</v>
      </c>
      <c r="CO118">
        <v>1.8</v>
      </c>
      <c r="CP118" s="21">
        <f>CP102</f>
        <v>90.66663988738856</v>
      </c>
      <c r="DE118">
        <v>1.3</v>
      </c>
      <c r="DF118" s="21">
        <f>DI79</f>
        <v>1.6060260726169724</v>
      </c>
      <c r="DG118" s="21">
        <f>DO79</f>
        <v>4.476832472545319</v>
      </c>
      <c r="DH118" s="63">
        <f>DU79</f>
        <v>4.524060964255426</v>
      </c>
      <c r="DI118" s="21">
        <f>EA79</f>
        <v>3.2442810697504227</v>
      </c>
    </row>
    <row r="119" spans="1:113" ht="12.75" hidden="1">
      <c r="A119" t="s">
        <v>670</v>
      </c>
      <c r="B119" s="181">
        <v>51.71335002622514</v>
      </c>
      <c r="C119" s="157"/>
      <c r="J119">
        <v>1.9</v>
      </c>
      <c r="K119" s="21">
        <f>X79</f>
        <v>0</v>
      </c>
      <c r="L119" s="21">
        <f>Y79</f>
        <v>0</v>
      </c>
      <c r="M119" s="21">
        <f>Z79</f>
        <v>0</v>
      </c>
      <c r="N119" s="23"/>
      <c r="O119" s="23"/>
      <c r="P119" s="23"/>
      <c r="AG119">
        <v>1.9</v>
      </c>
      <c r="AH119" s="21">
        <f>AQ79</f>
        <v>0</v>
      </c>
      <c r="AI119" s="21">
        <f>AR79</f>
        <v>0</v>
      </c>
      <c r="AJ119" s="21">
        <f>AS79</f>
        <v>0</v>
      </c>
      <c r="AK119" s="42" t="s">
        <v>39</v>
      </c>
      <c r="BA119">
        <v>1.9</v>
      </c>
      <c r="BB119" s="21">
        <f>BK79</f>
        <v>0</v>
      </c>
      <c r="BC119" s="21">
        <f>BL79</f>
        <v>0</v>
      </c>
      <c r="BD119" s="21">
        <f>BM79</f>
        <v>0</v>
      </c>
      <c r="BU119">
        <v>1.9</v>
      </c>
      <c r="BV119" s="21">
        <f>CE79</f>
        <v>1.9999999999178624</v>
      </c>
      <c r="BW119" s="21">
        <f>CF79</f>
        <v>1.999999999999902</v>
      </c>
      <c r="BX119" s="21">
        <f>CG79</f>
        <v>1.9999999961079615</v>
      </c>
      <c r="CO119">
        <v>1.9</v>
      </c>
      <c r="CP119" s="21">
        <f>CQ102</f>
        <v>68.76494877428985</v>
      </c>
      <c r="DE119">
        <v>1.4</v>
      </c>
      <c r="DF119" s="21">
        <f>DJ79</f>
        <v>1.3020604204644644</v>
      </c>
      <c r="DG119" s="21">
        <f>DP79</f>
        <v>5.15870210726991</v>
      </c>
      <c r="DH119" s="63">
        <f>DV79</f>
        <v>5.369190827763421</v>
      </c>
      <c r="DI119" s="21">
        <f>EB79</f>
        <v>3.837752925524529</v>
      </c>
    </row>
    <row r="120" spans="1:113" ht="12.75" hidden="1">
      <c r="A120" t="s">
        <v>671</v>
      </c>
      <c r="B120" s="181">
        <v>-0.1907850865286393</v>
      </c>
      <c r="C120" s="157"/>
      <c r="J120">
        <v>2</v>
      </c>
      <c r="K120" s="21">
        <f>AA79</f>
        <v>0</v>
      </c>
      <c r="L120" s="21">
        <f>AB79</f>
        <v>0</v>
      </c>
      <c r="M120" s="21">
        <f>AC79</f>
        <v>0</v>
      </c>
      <c r="N120" s="23"/>
      <c r="O120" s="23"/>
      <c r="P120" s="23"/>
      <c r="AG120">
        <v>2</v>
      </c>
      <c r="AH120" s="21">
        <f>AT79</f>
        <v>0</v>
      </c>
      <c r="AI120" s="21">
        <f>AU79</f>
        <v>0</v>
      </c>
      <c r="AJ120" s="21">
        <f>AV79</f>
        <v>0</v>
      </c>
      <c r="AK120" s="42" t="s">
        <v>39</v>
      </c>
      <c r="BA120">
        <v>2</v>
      </c>
      <c r="BB120" s="21">
        <f>BN79</f>
        <v>0</v>
      </c>
      <c r="BC120" s="21">
        <f>BO79</f>
        <v>0</v>
      </c>
      <c r="BD120" s="21">
        <f>BP79</f>
        <v>1.000000000002943</v>
      </c>
      <c r="BU120">
        <v>2</v>
      </c>
      <c r="BV120" s="21">
        <f>CH79</f>
        <v>1.9999999942357571</v>
      </c>
      <c r="BW120" s="21">
        <f>CI79</f>
        <v>1.999999999676342</v>
      </c>
      <c r="BX120" s="21">
        <f>CJ79</f>
        <v>1.999999997176008</v>
      </c>
      <c r="CO120">
        <v>2</v>
      </c>
      <c r="CP120" s="21">
        <f>CR102</f>
        <v>20.903759226260547</v>
      </c>
      <c r="DE120">
        <v>1.5</v>
      </c>
      <c r="DF120" s="21">
        <f>DK79</f>
        <v>1.070667211513751</v>
      </c>
      <c r="DG120" s="21">
        <f>DQ79</f>
        <v>5.6718297358844785</v>
      </c>
      <c r="DH120" s="63">
        <f>DW79</f>
        <v>5.935628504599926</v>
      </c>
      <c r="DI120" s="21">
        <f>EC79</f>
        <v>4.402585622796842</v>
      </c>
    </row>
    <row r="121" spans="1:95" ht="12.75" hidden="1">
      <c r="A121" t="s">
        <v>391</v>
      </c>
      <c r="B121" s="181">
        <v>50202.42270285045</v>
      </c>
      <c r="C121" s="157"/>
      <c r="J121" t="s">
        <v>39</v>
      </c>
      <c r="N121" s="23"/>
      <c r="O121" s="23"/>
      <c r="P121" s="23"/>
      <c r="AG121" t="s">
        <v>39</v>
      </c>
      <c r="AH121" s="4"/>
      <c r="AI121" s="4"/>
      <c r="AK121" s="42" t="s">
        <v>39</v>
      </c>
      <c r="BA121" t="s">
        <v>39</v>
      </c>
      <c r="BB121" s="4"/>
      <c r="BC121" s="4"/>
      <c r="BU121" t="s">
        <v>39</v>
      </c>
      <c r="BV121" s="4"/>
      <c r="BW121" s="4"/>
      <c r="CO121" t="s">
        <v>39</v>
      </c>
      <c r="CP121" s="4"/>
      <c r="CQ121" s="4"/>
    </row>
    <row r="122" spans="1:95" ht="12.75" hidden="1">
      <c r="A122" t="s">
        <v>392</v>
      </c>
      <c r="B122" s="181">
        <v>1.4825007536697323</v>
      </c>
      <c r="C122" s="157"/>
      <c r="J122" s="42" t="s">
        <v>335</v>
      </c>
      <c r="K122" s="42" t="s">
        <v>256</v>
      </c>
      <c r="L122" s="42" t="s">
        <v>257</v>
      </c>
      <c r="M122" s="42" t="s">
        <v>258</v>
      </c>
      <c r="N122" s="23"/>
      <c r="O122" s="23"/>
      <c r="P122" s="23"/>
      <c r="AG122" s="42" t="s">
        <v>335</v>
      </c>
      <c r="AH122" s="42" t="s">
        <v>256</v>
      </c>
      <c r="AI122" s="42" t="s">
        <v>257</v>
      </c>
      <c r="AJ122" s="42" t="s">
        <v>258</v>
      </c>
      <c r="AK122" s="42" t="s">
        <v>39</v>
      </c>
      <c r="BA122" s="42" t="s">
        <v>335</v>
      </c>
      <c r="BB122" s="42" t="s">
        <v>256</v>
      </c>
      <c r="BC122" s="42" t="s">
        <v>257</v>
      </c>
      <c r="BD122" s="42" t="s">
        <v>258</v>
      </c>
      <c r="BU122" s="42" t="s">
        <v>335</v>
      </c>
      <c r="BV122" s="42" t="s">
        <v>256</v>
      </c>
      <c r="BW122" s="42" t="s">
        <v>257</v>
      </c>
      <c r="BX122" s="42" t="s">
        <v>258</v>
      </c>
      <c r="CO122" t="s">
        <v>39</v>
      </c>
      <c r="CP122" s="4"/>
      <c r="CQ122" s="4"/>
    </row>
    <row r="123" spans="1:95" ht="12.75" hidden="1">
      <c r="A123" t="s">
        <v>393</v>
      </c>
      <c r="B123" s="181">
        <v>0.00922533811426895</v>
      </c>
      <c r="C123" s="157"/>
      <c r="J123">
        <v>1.5</v>
      </c>
      <c r="K123" s="21">
        <f>L83</f>
        <v>17.840825419932315</v>
      </c>
      <c r="L123" s="21">
        <f>M83</f>
        <v>17.840825419932315</v>
      </c>
      <c r="M123" s="21">
        <f>N83</f>
        <v>92.92096572881414</v>
      </c>
      <c r="N123" s="23"/>
      <c r="O123" s="23"/>
      <c r="P123" s="23"/>
      <c r="AG123">
        <v>1.5</v>
      </c>
      <c r="AH123" s="21" t="e">
        <f>#REF!</f>
        <v>#REF!</v>
      </c>
      <c r="AI123" s="21">
        <f>AF83</f>
        <v>17.840825419932315</v>
      </c>
      <c r="AJ123" s="21">
        <f>AG83</f>
        <v>92.92096572881414</v>
      </c>
      <c r="AK123" s="42" t="s">
        <v>39</v>
      </c>
      <c r="BA123">
        <v>1.5</v>
      </c>
      <c r="BB123" s="21">
        <f>AY83</f>
        <v>11.68168652155115</v>
      </c>
      <c r="BC123" s="21">
        <f>AZ83</f>
        <v>11.447862977789901</v>
      </c>
      <c r="BD123" s="21">
        <f>BA83</f>
        <v>16.056742877939083</v>
      </c>
      <c r="BU123">
        <v>1.5</v>
      </c>
      <c r="BV123" s="21">
        <f>BS83</f>
        <v>8.761264891163362</v>
      </c>
      <c r="BW123" s="21">
        <f>BT83</f>
        <v>11.447862977789901</v>
      </c>
      <c r="BX123" s="21">
        <f>BU83</f>
        <v>16.056742877939083</v>
      </c>
      <c r="CO123" t="s">
        <v>39</v>
      </c>
      <c r="CP123" s="4"/>
      <c r="CQ123" s="4"/>
    </row>
    <row r="124" spans="1:95" ht="12.75" hidden="1">
      <c r="A124" t="s">
        <v>394</v>
      </c>
      <c r="B124" s="181">
        <v>0.4173930512790883</v>
      </c>
      <c r="C124" s="157"/>
      <c r="J124">
        <v>1.6</v>
      </c>
      <c r="K124" s="21">
        <f>O83</f>
        <v>133.80619064949235</v>
      </c>
      <c r="L124" s="21">
        <f>P83</f>
        <v>0</v>
      </c>
      <c r="M124" s="21">
        <f>Q83</f>
        <v>0</v>
      </c>
      <c r="N124" s="23"/>
      <c r="O124" s="23"/>
      <c r="P124" s="23"/>
      <c r="AG124">
        <v>1.6</v>
      </c>
      <c r="AH124" s="21">
        <f>AH83</f>
        <v>133.80619064949235</v>
      </c>
      <c r="AI124" s="21">
        <f>AI83</f>
        <v>150.71060210943995</v>
      </c>
      <c r="AJ124" s="21">
        <f>AJ83</f>
        <v>17.840825419932315</v>
      </c>
      <c r="AK124" s="42" t="s">
        <v>39</v>
      </c>
      <c r="BA124">
        <v>1.6</v>
      </c>
      <c r="BB124" s="21">
        <f>BB83</f>
        <v>0</v>
      </c>
      <c r="BC124" s="21">
        <f>BC83</f>
        <v>0</v>
      </c>
      <c r="BD124" s="21">
        <f>BD83</f>
        <v>0</v>
      </c>
      <c r="BU124">
        <v>1.6</v>
      </c>
      <c r="BV124" s="21">
        <f>BV83</f>
        <v>5.148496366335933</v>
      </c>
      <c r="BW124" s="21">
        <f>BW83</f>
        <v>10.028684404157339</v>
      </c>
      <c r="BX124" s="21">
        <f>BX83</f>
        <v>12.895024779417323</v>
      </c>
      <c r="CO124" t="s">
        <v>39</v>
      </c>
      <c r="CP124" s="4"/>
      <c r="CQ124" s="4"/>
    </row>
    <row r="125" spans="1:95" ht="12.75" hidden="1">
      <c r="A125" t="s">
        <v>395</v>
      </c>
      <c r="B125" s="181">
        <v>-0.24986496557307541</v>
      </c>
      <c r="C125" s="157"/>
      <c r="J125">
        <v>1.7</v>
      </c>
      <c r="K125" s="21">
        <f>R83</f>
        <v>0</v>
      </c>
      <c r="L125" s="21">
        <f>S83</f>
        <v>0</v>
      </c>
      <c r="M125" s="21">
        <f>T83</f>
        <v>0</v>
      </c>
      <c r="N125" s="23"/>
      <c r="O125" s="23"/>
      <c r="P125" s="23"/>
      <c r="AG125">
        <v>1.7</v>
      </c>
      <c r="AH125" s="21">
        <f>AK83</f>
        <v>17.840825419932315</v>
      </c>
      <c r="AI125" s="21">
        <f>AL83</f>
        <v>0</v>
      </c>
      <c r="AJ125" s="21">
        <f>AM83</f>
        <v>0</v>
      </c>
      <c r="AK125" s="42" t="s">
        <v>39</v>
      </c>
      <c r="BA125">
        <v>1.7</v>
      </c>
      <c r="BB125" s="21">
        <f>BE83</f>
        <v>0</v>
      </c>
      <c r="BC125" s="21">
        <f>BF83</f>
        <v>0</v>
      </c>
      <c r="BD125" s="21">
        <f>BG83</f>
        <v>0</v>
      </c>
      <c r="BU125">
        <v>1.7</v>
      </c>
      <c r="BV125" s="21">
        <f>BY83</f>
        <v>5</v>
      </c>
      <c r="BW125" s="21">
        <f>BZ83</f>
        <v>6.19841229765426</v>
      </c>
      <c r="BX125" s="21">
        <f>CA83</f>
        <v>11.197690614769833</v>
      </c>
      <c r="CO125" t="s">
        <v>39</v>
      </c>
      <c r="CP125" s="4"/>
      <c r="CQ125" s="4"/>
    </row>
    <row r="126" spans="1:95" ht="12.75" hidden="1">
      <c r="A126" t="s">
        <v>396</v>
      </c>
      <c r="B126" s="181">
        <v>1.1638808389190496</v>
      </c>
      <c r="C126" s="157"/>
      <c r="J126">
        <v>1.8</v>
      </c>
      <c r="K126" s="21">
        <f>U83</f>
        <v>0</v>
      </c>
      <c r="L126" s="21">
        <f>V83</f>
        <v>0</v>
      </c>
      <c r="M126" s="21">
        <f>W83</f>
        <v>0</v>
      </c>
      <c r="N126" s="23"/>
      <c r="O126" s="23"/>
      <c r="P126" s="23"/>
      <c r="AG126">
        <v>1.8</v>
      </c>
      <c r="AH126" s="21">
        <f>AN83</f>
        <v>0</v>
      </c>
      <c r="AI126" s="21">
        <f>AO83</f>
        <v>0</v>
      </c>
      <c r="AJ126" s="21">
        <f>AP83</f>
        <v>0</v>
      </c>
      <c r="AK126" s="42" t="s">
        <v>39</v>
      </c>
      <c r="BA126">
        <v>1.8</v>
      </c>
      <c r="BB126" s="21">
        <f>BH83</f>
        <v>0</v>
      </c>
      <c r="BC126" s="21">
        <f>BI83</f>
        <v>0</v>
      </c>
      <c r="BD126" s="21">
        <f>BJ83</f>
        <v>0</v>
      </c>
      <c r="BU126">
        <v>1.8</v>
      </c>
      <c r="BV126" s="21">
        <f>CB83</f>
        <v>5</v>
      </c>
      <c r="BW126" s="21">
        <f>CC83</f>
        <v>6</v>
      </c>
      <c r="BX126" s="21">
        <f>CD83</f>
        <v>7.193340718406601</v>
      </c>
      <c r="CO126" t="s">
        <v>39</v>
      </c>
      <c r="CP126" s="4"/>
      <c r="CQ126" s="4"/>
    </row>
    <row r="127" spans="1:95" ht="12.75" hidden="1">
      <c r="A127" t="s">
        <v>397</v>
      </c>
      <c r="B127" s="181">
        <v>-1323.1785523208005</v>
      </c>
      <c r="C127" s="157"/>
      <c r="J127">
        <v>1.9</v>
      </c>
      <c r="K127" s="21">
        <f>X83</f>
        <v>0</v>
      </c>
      <c r="L127" s="21">
        <f>Y83</f>
        <v>0</v>
      </c>
      <c r="M127" s="21">
        <f>Z83</f>
        <v>0</v>
      </c>
      <c r="N127" s="23"/>
      <c r="O127" s="23"/>
      <c r="P127" s="23"/>
      <c r="AG127">
        <v>1.9</v>
      </c>
      <c r="AH127" s="21">
        <f>AQ83</f>
        <v>0</v>
      </c>
      <c r="AI127" s="21">
        <f>AR83</f>
        <v>0</v>
      </c>
      <c r="AJ127" s="21">
        <f>AS83</f>
        <v>0</v>
      </c>
      <c r="AK127" s="42" t="s">
        <v>39</v>
      </c>
      <c r="BA127">
        <v>1.9</v>
      </c>
      <c r="BB127" s="21">
        <f>BK83</f>
        <v>0</v>
      </c>
      <c r="BC127" s="21">
        <f>BL83</f>
        <v>0</v>
      </c>
      <c r="BD127" s="21">
        <f>BM83</f>
        <v>0</v>
      </c>
      <c r="BU127">
        <v>1.9</v>
      </c>
      <c r="BV127" s="21">
        <f>CE83</f>
        <v>5</v>
      </c>
      <c r="BW127" s="21">
        <f>CF83</f>
        <v>5</v>
      </c>
      <c r="BX127" s="21">
        <f>CG83</f>
        <v>6</v>
      </c>
      <c r="CO127" t="s">
        <v>39</v>
      </c>
      <c r="CP127" s="4"/>
      <c r="CQ127" s="4"/>
    </row>
    <row r="128" spans="1:95" ht="12.75" hidden="1">
      <c r="A128" t="s">
        <v>398</v>
      </c>
      <c r="B128" s="181">
        <v>0.14388016487818348</v>
      </c>
      <c r="C128" s="157"/>
      <c r="J128">
        <v>2</v>
      </c>
      <c r="K128" s="21">
        <f>AA83</f>
        <v>0</v>
      </c>
      <c r="L128" s="21">
        <f>AB83</f>
        <v>0</v>
      </c>
      <c r="M128" s="21">
        <f>AC83</f>
        <v>0</v>
      </c>
      <c r="N128" s="23"/>
      <c r="O128" s="23"/>
      <c r="P128" s="23"/>
      <c r="AG128">
        <v>2</v>
      </c>
      <c r="AH128" s="21">
        <f>AT83</f>
        <v>0</v>
      </c>
      <c r="AI128" s="21">
        <f>AU83</f>
        <v>0</v>
      </c>
      <c r="AJ128" s="21">
        <f>AV83</f>
        <v>0</v>
      </c>
      <c r="AK128" s="42" t="s">
        <v>39</v>
      </c>
      <c r="BA128">
        <v>2</v>
      </c>
      <c r="BB128" s="21">
        <f>BN83</f>
        <v>0</v>
      </c>
      <c r="BC128" s="21">
        <f>BO83</f>
        <v>0</v>
      </c>
      <c r="BD128" s="21">
        <f>BP83</f>
        <v>6</v>
      </c>
      <c r="BU128">
        <v>2</v>
      </c>
      <c r="BV128" s="21">
        <f>CH83</f>
        <v>4</v>
      </c>
      <c r="BW128" s="21">
        <f>CI83</f>
        <v>5</v>
      </c>
      <c r="BX128" s="21">
        <f>CJ83</f>
        <v>6</v>
      </c>
      <c r="CO128" t="s">
        <v>39</v>
      </c>
      <c r="CP128" s="4"/>
      <c r="CQ128" s="4"/>
    </row>
    <row r="129" spans="1:2" ht="12.75">
      <c r="A129" t="s">
        <v>105</v>
      </c>
      <c r="B129" s="177">
        <v>1</v>
      </c>
    </row>
    <row r="130" spans="1:94" ht="12.75">
      <c r="A130" t="s">
        <v>281</v>
      </c>
      <c r="B130" s="177">
        <f>E_nbi^kd*(ka+kb*Tavg_ndw+kc*Tavg_ndw^2)</f>
        <v>0.2583301970769271</v>
      </c>
      <c r="F130" s="12"/>
      <c r="G130" s="12"/>
      <c r="H130" s="12"/>
      <c r="I130" s="12"/>
      <c r="J130" s="42" t="s">
        <v>335</v>
      </c>
      <c r="K130" s="42" t="s">
        <v>53</v>
      </c>
      <c r="L130" s="42" t="s">
        <v>54</v>
      </c>
      <c r="M130" s="42" t="s">
        <v>55</v>
      </c>
      <c r="AG130" s="42" t="s">
        <v>335</v>
      </c>
      <c r="AH130" s="42" t="s">
        <v>53</v>
      </c>
      <c r="AI130" s="42" t="s">
        <v>54</v>
      </c>
      <c r="AJ130" s="42" t="s">
        <v>55</v>
      </c>
      <c r="BA130" s="42" t="s">
        <v>335</v>
      </c>
      <c r="BB130" s="42" t="s">
        <v>53</v>
      </c>
      <c r="BC130" s="42" t="s">
        <v>54</v>
      </c>
      <c r="BD130" s="42" t="s">
        <v>55</v>
      </c>
      <c r="BU130" s="42" t="s">
        <v>335</v>
      </c>
      <c r="BV130" s="42" t="s">
        <v>53</v>
      </c>
      <c r="BW130" s="42" t="s">
        <v>54</v>
      </c>
      <c r="BX130" s="42" t="s">
        <v>55</v>
      </c>
      <c r="CO130" s="42" t="s">
        <v>335</v>
      </c>
      <c r="CP130" s="42" t="s">
        <v>341</v>
      </c>
    </row>
    <row r="131" spans="1:94" ht="12.75">
      <c r="A131" t="s">
        <v>3</v>
      </c>
      <c r="B131" s="177">
        <f>(xnDT+4*xnHe+Zimp^2*fimp*xne)/xne</f>
        <v>1.4346778130639266</v>
      </c>
      <c r="C131" s="9" t="s">
        <v>716</v>
      </c>
      <c r="J131">
        <v>1.5</v>
      </c>
      <c r="K131" s="21">
        <f>L90</f>
        <v>-0.2250077585533603</v>
      </c>
      <c r="L131" s="21">
        <f>M90</f>
        <v>-0.3828205081938236</v>
      </c>
      <c r="M131" s="21">
        <f>N90</f>
        <v>-17.97697830743803</v>
      </c>
      <c r="AG131">
        <v>1.5</v>
      </c>
      <c r="AH131" s="21" t="e">
        <f>#REF!</f>
        <v>#REF!</v>
      </c>
      <c r="AI131" s="21">
        <f>AF90</f>
        <v>-0.3828205081938236</v>
      </c>
      <c r="AJ131" s="21">
        <f>AG90</f>
        <v>-17.97697830743803</v>
      </c>
      <c r="BA131">
        <v>1.5</v>
      </c>
      <c r="BB131" s="21">
        <f>AY90</f>
        <v>-0.061054173488701124</v>
      </c>
      <c r="BC131" s="21">
        <f>AZ90</f>
        <v>0.4792198932732248</v>
      </c>
      <c r="BD131" s="21">
        <f>BA90</f>
        <v>0.3011228008575415</v>
      </c>
      <c r="BU131">
        <v>1.5</v>
      </c>
      <c r="BV131" s="21">
        <f>BS90</f>
        <v>1.3625341332965846</v>
      </c>
      <c r="BW131" s="21">
        <f>BT90</f>
        <v>0.8306477064805584</v>
      </c>
      <c r="BX131" s="21">
        <f>BU90</f>
        <v>0.45293303942769825</v>
      </c>
      <c r="CO131">
        <v>1.5</v>
      </c>
      <c r="CP131" s="21">
        <f>CM90</f>
        <v>-16.96864756228257</v>
      </c>
    </row>
    <row r="132" spans="1:94" ht="12.75">
      <c r="A132" t="s">
        <v>219</v>
      </c>
      <c r="B132" s="181">
        <f>4.8E-43*Zeff*xne^2*(1+alpha_N)^2*T0e^0.5*(1+alpha_Te)^0.5*(2*PI()^2*R0^3*e^2*kappa)/(1+2*alpha_N+(alpha_Te/2))</f>
        <v>3.915460217531353</v>
      </c>
      <c r="C132" s="9" t="s">
        <v>115</v>
      </c>
      <c r="J132">
        <v>1.6</v>
      </c>
      <c r="K132" s="21">
        <f>O90</f>
        <v>-45.45631160934488</v>
      </c>
      <c r="L132" s="21">
        <f>P90</f>
        <v>0</v>
      </c>
      <c r="M132" s="21">
        <f>Q90</f>
        <v>0</v>
      </c>
      <c r="AG132">
        <v>1.6</v>
      </c>
      <c r="AH132" s="21">
        <f>AH90</f>
        <v>-45.45631160934488</v>
      </c>
      <c r="AI132" s="21">
        <f>AI90</f>
        <v>-20.79046619195293</v>
      </c>
      <c r="AJ132" s="21">
        <f>AJ90</f>
        <v>-0.25300428453421375</v>
      </c>
      <c r="BA132">
        <v>1.6</v>
      </c>
      <c r="BB132" s="21">
        <f>BB90</f>
        <v>0</v>
      </c>
      <c r="BC132" s="21">
        <f>BC90</f>
        <v>0</v>
      </c>
      <c r="BD132" s="21">
        <f>BD90</f>
        <v>0</v>
      </c>
      <c r="BU132">
        <v>1.6</v>
      </c>
      <c r="BV132" s="21">
        <f>BV90</f>
        <v>1.3091133960690744</v>
      </c>
      <c r="BW132" s="21">
        <f>BW90</f>
        <v>1.3612457535600093</v>
      </c>
      <c r="BX132" s="21">
        <f>BX90</f>
        <v>1.2047530676845426</v>
      </c>
      <c r="CO132">
        <v>1.6</v>
      </c>
      <c r="CP132" s="21">
        <f>CN90</f>
        <v>-9.528664804647605</v>
      </c>
    </row>
    <row r="133" spans="1:94" ht="12.75">
      <c r="A133" t="s">
        <v>25</v>
      </c>
      <c r="B133" s="181">
        <v>216.60449344188274</v>
      </c>
      <c r="F133" s="4" t="s">
        <v>39</v>
      </c>
      <c r="J133">
        <v>1.7</v>
      </c>
      <c r="K133" s="21">
        <f>R90</f>
        <v>0</v>
      </c>
      <c r="L133" s="21">
        <f>S90</f>
        <v>0</v>
      </c>
      <c r="M133" s="21">
        <f>T90</f>
        <v>0</v>
      </c>
      <c r="AG133">
        <v>1.7</v>
      </c>
      <c r="AH133" s="21">
        <f>AK90</f>
        <v>-0.3828205081938236</v>
      </c>
      <c r="AI133" s="21">
        <f>AL90</f>
        <v>0</v>
      </c>
      <c r="AJ133" s="21">
        <f>AM90</f>
        <v>0</v>
      </c>
      <c r="BA133">
        <v>1.7</v>
      </c>
      <c r="BB133" s="21">
        <f>BE90</f>
        <v>0</v>
      </c>
      <c r="BC133" s="21">
        <f>BF90</f>
        <v>0</v>
      </c>
      <c r="BD133" s="21">
        <f>BG90</f>
        <v>0</v>
      </c>
      <c r="BU133">
        <v>1.7</v>
      </c>
      <c r="BV133" s="21">
        <f>BY90</f>
        <v>1.7405226520591501</v>
      </c>
      <c r="BW133" s="21">
        <f>BZ90</f>
        <v>1.629938442763768</v>
      </c>
      <c r="BX133" s="21">
        <f>CA90</f>
        <v>1.7901771035956884</v>
      </c>
      <c r="CO133">
        <v>1.7</v>
      </c>
      <c r="CP133" s="21">
        <f>CO90</f>
        <v>-2.7474813201395705</v>
      </c>
    </row>
    <row r="134" spans="1:94" ht="12.75">
      <c r="A134" t="s">
        <v>274</v>
      </c>
      <c r="B134" s="181">
        <f>IF(TiETe="Yes",0.5,1/(1+2.9*(B133/E_nbi)^1.2))</f>
        <v>0.3143051123419399</v>
      </c>
      <c r="J134">
        <v>1.8</v>
      </c>
      <c r="K134" s="21">
        <f>U90</f>
        <v>0</v>
      </c>
      <c r="L134" s="21">
        <f>V90</f>
        <v>0</v>
      </c>
      <c r="M134" s="21">
        <f>W90</f>
        <v>0</v>
      </c>
      <c r="AG134">
        <v>1.8</v>
      </c>
      <c r="AH134" s="21">
        <f>AN90</f>
        <v>0</v>
      </c>
      <c r="AI134" s="21">
        <f>AO90</f>
        <v>0</v>
      </c>
      <c r="AJ134" s="21">
        <f>AP90</f>
        <v>0</v>
      </c>
      <c r="BA134">
        <v>1.8</v>
      </c>
      <c r="BB134" s="21">
        <f>BH90</f>
        <v>0</v>
      </c>
      <c r="BC134" s="21">
        <f>BI90</f>
        <v>0</v>
      </c>
      <c r="BD134" s="21">
        <f>BJ90</f>
        <v>0</v>
      </c>
      <c r="BU134">
        <v>1.8</v>
      </c>
      <c r="BV134" s="21">
        <f>CB90</f>
        <v>2.1541000408027333</v>
      </c>
      <c r="BW134" s="21">
        <f>CC90</f>
        <v>2.1107078174156975</v>
      </c>
      <c r="BX134" s="21">
        <f>CD90</f>
        <v>2.0744182559784043</v>
      </c>
      <c r="CO134">
        <v>1.8</v>
      </c>
      <c r="CP134" s="21">
        <f>CP90</f>
        <v>3.4870756427486924</v>
      </c>
    </row>
    <row r="135" spans="1:94" ht="12.75">
      <c r="A135" t="s">
        <v>62</v>
      </c>
      <c r="B135" s="181">
        <f>1-fPauxe</f>
        <v>0.6856948876580601</v>
      </c>
      <c r="J135">
        <v>1.9</v>
      </c>
      <c r="K135" s="21">
        <f>X90</f>
        <v>0</v>
      </c>
      <c r="L135" s="21">
        <f>Y90</f>
        <v>0</v>
      </c>
      <c r="M135" s="21">
        <f>Z90</f>
        <v>0</v>
      </c>
      <c r="AG135">
        <v>1.9</v>
      </c>
      <c r="AH135" s="21">
        <f>AQ90</f>
        <v>0</v>
      </c>
      <c r="AI135" s="21">
        <f>AR90</f>
        <v>0</v>
      </c>
      <c r="AJ135" s="21">
        <f>AS90</f>
        <v>0</v>
      </c>
      <c r="BA135">
        <v>1.9</v>
      </c>
      <c r="BB135" s="21">
        <f>BK90</f>
        <v>0</v>
      </c>
      <c r="BC135" s="21">
        <f>BL90</f>
        <v>0</v>
      </c>
      <c r="BD135" s="21">
        <f>BM90</f>
        <v>0</v>
      </c>
      <c r="BU135">
        <v>1.9</v>
      </c>
      <c r="BV135" s="21">
        <f>CE90</f>
        <v>2.492380404781665</v>
      </c>
      <c r="BW135" s="21">
        <f>CF90</f>
        <v>2.528572960357387</v>
      </c>
      <c r="BX135" s="21">
        <f>CG90</f>
        <v>2.553391345772692</v>
      </c>
      <c r="CO135">
        <v>1.9</v>
      </c>
      <c r="CP135" s="21">
        <f>CQ90</f>
        <v>9.294831341671085</v>
      </c>
    </row>
    <row r="136" spans="1:94" ht="12.75">
      <c r="A136" t="s">
        <v>26</v>
      </c>
      <c r="B136" s="181">
        <v>433.2089868837655</v>
      </c>
      <c r="J136">
        <v>2</v>
      </c>
      <c r="K136" s="21">
        <f>AA90</f>
        <v>0</v>
      </c>
      <c r="L136" s="21">
        <f>AB90</f>
        <v>0</v>
      </c>
      <c r="M136" s="21">
        <f>AC90</f>
        <v>0</v>
      </c>
      <c r="AG136">
        <v>2</v>
      </c>
      <c r="AH136" s="21">
        <f>AT90</f>
        <v>0</v>
      </c>
      <c r="AI136" s="21">
        <f>AU90</f>
        <v>0</v>
      </c>
      <c r="AJ136" s="21">
        <f>AV90</f>
        <v>0</v>
      </c>
      <c r="BA136">
        <v>2</v>
      </c>
      <c r="BB136" s="21">
        <f>BN90</f>
        <v>0</v>
      </c>
      <c r="BC136" s="21">
        <f>BO90</f>
        <v>0</v>
      </c>
      <c r="BD136" s="21">
        <f>BP90</f>
        <v>1.562712877416347</v>
      </c>
      <c r="BU136">
        <v>2</v>
      </c>
      <c r="BV136" s="21">
        <f>CH90</f>
        <v>2.770679481694481</v>
      </c>
      <c r="BW136" s="21">
        <f>CI90</f>
        <v>2.8725295820525734</v>
      </c>
      <c r="BX136" s="21">
        <f>CJ90</f>
        <v>2.968786841457309</v>
      </c>
      <c r="CO136">
        <v>2</v>
      </c>
      <c r="CP136" s="21">
        <f>CR90</f>
        <v>13.323721717176</v>
      </c>
    </row>
    <row r="137" spans="1:2" ht="12.75">
      <c r="A137" t="s">
        <v>275</v>
      </c>
      <c r="B137" s="181">
        <f>IF(TiETe="Yes",0.5,2.4*B136/3500-2*(B136/3500)^1.5)</f>
        <v>0.2099664229464675</v>
      </c>
    </row>
    <row r="138" spans="1:94" ht="12.75">
      <c r="A138" t="s">
        <v>200</v>
      </c>
      <c r="B138" s="181">
        <f>1-B137</f>
        <v>0.7900335770535325</v>
      </c>
      <c r="AG138" s="42" t="s">
        <v>335</v>
      </c>
      <c r="AH138" s="42" t="s">
        <v>56</v>
      </c>
      <c r="AI138" s="42" t="s">
        <v>57</v>
      </c>
      <c r="AJ138" s="42" t="s">
        <v>58</v>
      </c>
      <c r="BA138" s="42" t="s">
        <v>335</v>
      </c>
      <c r="BB138" s="42" t="s">
        <v>56</v>
      </c>
      <c r="BC138" s="42" t="s">
        <v>57</v>
      </c>
      <c r="BD138" s="42" t="s">
        <v>58</v>
      </c>
      <c r="BU138" s="42" t="s">
        <v>335</v>
      </c>
      <c r="BV138" s="42" t="s">
        <v>56</v>
      </c>
      <c r="BW138" s="42" t="s">
        <v>57</v>
      </c>
      <c r="BX138" s="42" t="s">
        <v>58</v>
      </c>
      <c r="CO138" s="42" t="s">
        <v>335</v>
      </c>
      <c r="CP138" s="42" t="s">
        <v>56</v>
      </c>
    </row>
    <row r="139" spans="1:94" ht="12.75">
      <c r="A139" t="s">
        <v>574</v>
      </c>
      <c r="B139" s="181">
        <f>IF(TiETe="Yes",0.5,0)</f>
        <v>0</v>
      </c>
      <c r="K139"/>
      <c r="L139"/>
      <c r="AG139">
        <v>1.5</v>
      </c>
      <c r="AH139" s="21" t="e">
        <f>#REF!</f>
        <v>#REF!</v>
      </c>
      <c r="AI139" s="21">
        <f>AF104</f>
        <v>36.36511282949953</v>
      </c>
      <c r="AJ139" s="21">
        <f>AG104</f>
        <v>-47.435399990352494</v>
      </c>
      <c r="BA139">
        <v>1.5</v>
      </c>
      <c r="BB139" s="21">
        <f>AY104</f>
        <v>28.58045918300679</v>
      </c>
      <c r="BC139" s="21">
        <f>AZ104</f>
        <v>35.15922225347254</v>
      </c>
      <c r="BD139" s="21">
        <f>BA104</f>
        <v>42.854862388392355</v>
      </c>
      <c r="BU139">
        <v>1.5</v>
      </c>
      <c r="BV139" s="21">
        <f>BS104</f>
        <v>31.530761309100946</v>
      </c>
      <c r="BW139" s="21">
        <f>BT104</f>
        <v>36.14221916796629</v>
      </c>
      <c r="BX139" s="21">
        <f>BU104</f>
        <v>43.556280791812846</v>
      </c>
      <c r="CO139">
        <v>1.5</v>
      </c>
      <c r="CP139" s="21">
        <f>CM104</f>
        <v>-20.745128261524805</v>
      </c>
    </row>
    <row r="140" spans="1:94" ht="12.75">
      <c r="A140" t="s">
        <v>575</v>
      </c>
      <c r="B140" s="181">
        <f>1-B139</f>
        <v>1</v>
      </c>
      <c r="E140" s="28"/>
      <c r="F140" s="9" t="s">
        <v>39</v>
      </c>
      <c r="G140" t="s">
        <v>39</v>
      </c>
      <c r="H140" t="s">
        <v>39</v>
      </c>
      <c r="N140" t="s">
        <v>39</v>
      </c>
      <c r="O140" t="s">
        <v>39</v>
      </c>
      <c r="AG140">
        <v>1.6</v>
      </c>
      <c r="AH140" s="21">
        <f>AH104</f>
        <v>-474.3539999760245</v>
      </c>
      <c r="AI140" s="21">
        <f>AI104</f>
        <v>-340.6882727153895</v>
      </c>
      <c r="AJ140" s="21">
        <f>AJ104</f>
        <v>21.378085470580753</v>
      </c>
      <c r="BA140">
        <v>1.6</v>
      </c>
      <c r="BB140" s="21">
        <f>BB104</f>
        <v>0</v>
      </c>
      <c r="BC140" s="21">
        <f>BC104</f>
        <v>0</v>
      </c>
      <c r="BD140" s="21">
        <f>BD104</f>
        <v>0</v>
      </c>
      <c r="BU140">
        <v>1.6</v>
      </c>
      <c r="BV140" s="21">
        <f>BV104</f>
        <v>36.18746578659082</v>
      </c>
      <c r="BW140" s="21">
        <f>BW104</f>
        <v>45.06622429041433</v>
      </c>
      <c r="BX140" s="21">
        <f>BX104</f>
        <v>50.31783425058857</v>
      </c>
      <c r="CO140">
        <v>1.6</v>
      </c>
      <c r="CP140" s="21">
        <f>CN104</f>
        <v>-44.609282607907424</v>
      </c>
    </row>
    <row r="141" spans="1:94" ht="12.75">
      <c r="A141" t="s">
        <v>27</v>
      </c>
      <c r="B141" s="177">
        <f>2*PI()^2*R0^3*e^2*kappa</f>
        <v>48.526876533984435</v>
      </c>
      <c r="K141"/>
      <c r="L141"/>
      <c r="AG141">
        <v>1.7</v>
      </c>
      <c r="AH141" s="21">
        <f>AK104</f>
        <v>36.36511282949953</v>
      </c>
      <c r="AI141" s="21">
        <f>AL104</f>
        <v>0</v>
      </c>
      <c r="AJ141" s="21">
        <f>AM104</f>
        <v>0</v>
      </c>
      <c r="BA141">
        <v>1.7</v>
      </c>
      <c r="BB141" s="21">
        <f>BE104</f>
        <v>0</v>
      </c>
      <c r="BC141" s="21">
        <f>BF104</f>
        <v>0</v>
      </c>
      <c r="BD141" s="21">
        <f>BG104</f>
        <v>0</v>
      </c>
      <c r="BU141">
        <v>1.7</v>
      </c>
      <c r="BV141" s="21">
        <f>BY104</f>
        <v>42.39487034890944</v>
      </c>
      <c r="BW141" s="21">
        <f>BZ104</f>
        <v>44.65666519080424</v>
      </c>
      <c r="BX141" s="21">
        <f>CA104</f>
        <v>47.672711049990454</v>
      </c>
      <c r="CO141">
        <v>1.7</v>
      </c>
      <c r="CP141" s="21">
        <f>CO104</f>
        <v>-48.03435766768903</v>
      </c>
    </row>
    <row r="142" spans="1:94" ht="12.75">
      <c r="A142" t="s">
        <v>70</v>
      </c>
      <c r="B142" s="177">
        <f>P_alpha*(fPalphai+5/Q*fPauxi-fradi*frad)-0.1</f>
        <v>39.86781733234413</v>
      </c>
      <c r="K142"/>
      <c r="L142"/>
      <c r="AH142" s="21"/>
      <c r="AI142" s="21"/>
      <c r="AJ142" s="21"/>
      <c r="BB142" s="21"/>
      <c r="BC142" s="21"/>
      <c r="BD142" s="21"/>
      <c r="BV142" s="21"/>
      <c r="BW142" s="21"/>
      <c r="BX142" s="21"/>
      <c r="CP142" s="21"/>
    </row>
    <row r="143" spans="1:94" ht="12.75">
      <c r="A143" t="s">
        <v>28</v>
      </c>
      <c r="B143" s="181">
        <f>X169</f>
        <v>36.507550374795805</v>
      </c>
      <c r="K143"/>
      <c r="L143"/>
      <c r="AG143">
        <v>1.8</v>
      </c>
      <c r="AH143" s="21">
        <f>AN104</f>
        <v>0</v>
      </c>
      <c r="AI143" s="21">
        <f>AO104</f>
        <v>0</v>
      </c>
      <c r="AJ143" s="21">
        <f>AP104</f>
        <v>0</v>
      </c>
      <c r="BA143">
        <v>1.8</v>
      </c>
      <c r="BB143" s="21">
        <f>BH104</f>
        <v>0</v>
      </c>
      <c r="BC143" s="21">
        <f>BI104</f>
        <v>0</v>
      </c>
      <c r="BD143" s="21">
        <f>BJ104</f>
        <v>0</v>
      </c>
      <c r="BU143">
        <v>1.8</v>
      </c>
      <c r="BV143" s="21">
        <f>CB104</f>
        <v>42.58558083663396</v>
      </c>
      <c r="BW143" s="21">
        <f>CC104</f>
        <v>46.07337755721393</v>
      </c>
      <c r="BX143" s="21">
        <f>CD104</f>
        <v>49.5168502827556</v>
      </c>
      <c r="CO143">
        <v>1.8</v>
      </c>
      <c r="CP143" s="21">
        <f>CP104</f>
        <v>-43.008083297142306</v>
      </c>
    </row>
    <row r="144" spans="1:94" ht="12.75">
      <c r="A144" t="s">
        <v>361</v>
      </c>
      <c r="B144" s="214">
        <f>P_aux*(1+alpha_nbi)/(2*PI()^2*R0^3*e^2*kappa)</f>
        <v>1.6286577204016193</v>
      </c>
      <c r="F144" t="s">
        <v>39</v>
      </c>
      <c r="G144" t="s">
        <v>538</v>
      </c>
      <c r="K144"/>
      <c r="L144"/>
      <c r="AG144">
        <v>1.9</v>
      </c>
      <c r="AH144" s="21">
        <f>AQ104</f>
        <v>0</v>
      </c>
      <c r="AI144" s="21">
        <f>AR104</f>
        <v>0</v>
      </c>
      <c r="AJ144" s="21">
        <f>AS104</f>
        <v>0</v>
      </c>
      <c r="BA144">
        <v>1.9</v>
      </c>
      <c r="BB144" s="21">
        <f>BK104</f>
        <v>0</v>
      </c>
      <c r="BC144" s="21">
        <f>BL104</f>
        <v>0</v>
      </c>
      <c r="BD144" s="21">
        <f>BM104</f>
        <v>0</v>
      </c>
      <c r="BU144">
        <v>1.9</v>
      </c>
      <c r="BV144" s="21">
        <f>CE104</f>
        <v>42.64605098068839</v>
      </c>
      <c r="BW144" s="21">
        <f>CF104</f>
        <v>46.13944026421608</v>
      </c>
      <c r="BX144" s="21">
        <f>CG104</f>
        <v>49.5900591328011</v>
      </c>
      <c r="CO144">
        <v>1.9</v>
      </c>
      <c r="CP144" s="21">
        <f>CQ104</f>
        <v>-32.61892851087949</v>
      </c>
    </row>
    <row r="145" spans="1:94" ht="12.75">
      <c r="A145" t="s">
        <v>293</v>
      </c>
      <c r="B145" s="209">
        <f>IF(Mode="CTF",F145,IF(Mode="DEMO",G145,IF(Mode="NSTX",D145,IF(Mode="NSST",E145,IF(Mode="REACTOR",H145,IF(Mode="ARIES",I145,"Error"))))))</f>
        <v>0.5</v>
      </c>
      <c r="C145" s="160">
        <v>0.5</v>
      </c>
      <c r="D145" s="207"/>
      <c r="E145" s="207">
        <v>0.5</v>
      </c>
      <c r="F145" s="207">
        <v>0.5</v>
      </c>
      <c r="G145" s="207">
        <v>0.5</v>
      </c>
      <c r="H145" s="207">
        <v>0.5</v>
      </c>
      <c r="I145" s="207">
        <v>0.5</v>
      </c>
      <c r="K145"/>
      <c r="L145"/>
      <c r="AG145">
        <v>2</v>
      </c>
      <c r="AH145" s="21">
        <f>AT104</f>
        <v>0</v>
      </c>
      <c r="AI145" s="21">
        <f>AU104</f>
        <v>0</v>
      </c>
      <c r="AJ145" s="21">
        <f>AV104</f>
        <v>0</v>
      </c>
      <c r="BA145">
        <v>2</v>
      </c>
      <c r="BB145" s="21">
        <f>BN104</f>
        <v>0</v>
      </c>
      <c r="BC145" s="21">
        <f>BO104</f>
        <v>0</v>
      </c>
      <c r="BD145" s="21">
        <f>BP104</f>
        <v>44.80753850714679</v>
      </c>
      <c r="BU145">
        <v>2</v>
      </c>
      <c r="BV145" s="21">
        <f>CH104</f>
        <v>42.828942668791655</v>
      </c>
      <c r="BW145" s="21">
        <f>CI104</f>
        <v>46.33125158699877</v>
      </c>
      <c r="BX145" s="21">
        <f>CJ104</f>
        <v>49.79998955512805</v>
      </c>
      <c r="CO145">
        <v>2</v>
      </c>
      <c r="CP145" s="21">
        <f>CR104</f>
        <v>-9.915781804013594</v>
      </c>
    </row>
    <row r="146" spans="1:12" ht="12.75">
      <c r="A146" t="s">
        <v>92</v>
      </c>
      <c r="B146" s="28">
        <v>20</v>
      </c>
      <c r="C146" s="9" t="s">
        <v>728</v>
      </c>
      <c r="K146"/>
      <c r="L146"/>
    </row>
    <row r="147" spans="1:12" ht="12.75">
      <c r="A147" t="s">
        <v>93</v>
      </c>
      <c r="B147" s="28">
        <f>R0*e/nrdiv</f>
        <v>0.039999999999999994</v>
      </c>
      <c r="C147" s="9" t="s">
        <v>729</v>
      </c>
      <c r="K147"/>
      <c r="L147"/>
    </row>
    <row r="148" spans="2:24" ht="12.75">
      <c r="B148" s="28" t="s">
        <v>404</v>
      </c>
      <c r="C148" s="9" t="s">
        <v>508</v>
      </c>
      <c r="D148" t="s">
        <v>94</v>
      </c>
      <c r="E148" t="s">
        <v>311</v>
      </c>
      <c r="F148" s="4" t="s">
        <v>267</v>
      </c>
      <c r="G148" t="s">
        <v>268</v>
      </c>
      <c r="H148" t="s">
        <v>269</v>
      </c>
      <c r="J148" t="s">
        <v>270</v>
      </c>
      <c r="K148" t="s">
        <v>529</v>
      </c>
      <c r="L148" t="s">
        <v>530</v>
      </c>
      <c r="M148" t="s">
        <v>360</v>
      </c>
      <c r="N148" t="s">
        <v>204</v>
      </c>
      <c r="O148" t="s">
        <v>400</v>
      </c>
      <c r="P148" t="s">
        <v>401</v>
      </c>
      <c r="Q148" t="s">
        <v>276</v>
      </c>
      <c r="R148" t="s">
        <v>344</v>
      </c>
      <c r="S148" t="s">
        <v>203</v>
      </c>
      <c r="T148" t="s">
        <v>205</v>
      </c>
      <c r="U148" t="s">
        <v>104</v>
      </c>
      <c r="V148" t="s">
        <v>173</v>
      </c>
      <c r="W148" t="s">
        <v>68</v>
      </c>
      <c r="X148" t="s">
        <v>438</v>
      </c>
    </row>
    <row r="149" spans="1:24" ht="12.75">
      <c r="A149">
        <v>1</v>
      </c>
      <c r="B149" s="28">
        <f>(A149-0.5)*dr</f>
        <v>0.019999999999999997</v>
      </c>
      <c r="C149" s="9" t="s">
        <v>718</v>
      </c>
      <c r="D149">
        <f>T0i*(1-(B149/R0/e)^2)^alpha_Ti</f>
        <v>36.302388170923535</v>
      </c>
      <c r="E149">
        <f aca="true" t="shared" si="12" ref="E149:E168">xnDT*(1+alpha_N)*(1-(B149/R0/e)^2)^alpha_N</f>
        <v>1.5201908687600334E+20</v>
      </c>
      <c r="F149" s="4">
        <f aca="true" t="shared" si="13" ref="F149:F168">2*PI()*R0*2*PI()*B149*dr*kappa</f>
        <v>0.12131719133496104</v>
      </c>
      <c r="G149" s="12">
        <f aca="true" t="shared" si="14" ref="G149:G168">0.5*E149*0.000001</f>
        <v>76009543438001.67</v>
      </c>
      <c r="H149">
        <f aca="true" t="shared" si="15" ref="H149:H168">-23.836-22.712*D149^(-0.275)-0.09393*D149+0.0007994*D149^2-0.000003144*D149^3</f>
        <v>-34.80090478179048</v>
      </c>
      <c r="J149">
        <f>EXP(H149)</f>
        <v>7.694122349300025E-16</v>
      </c>
      <c r="K149">
        <f aca="true" t="shared" si="16" ref="K149:K168">(0.00000056*G149^2*J149)*0.000001</f>
        <v>2.4893351002250106</v>
      </c>
      <c r="L149">
        <f>K149*F149</f>
        <v>0.301999142650832</v>
      </c>
      <c r="M149">
        <f aca="true" t="shared" si="17" ref="M149:M168">Qnbi0*(1-(B149/R0/e)^2)^alpha_nbi*F149</f>
        <v>0.1974606901724465</v>
      </c>
      <c r="N149">
        <f>T0e*(1-(B149/R0/e)^2)^alpha_Te</f>
        <v>15.128877790581535</v>
      </c>
      <c r="O149">
        <f>ka10*N149^ka11</f>
        <v>30.797335659692052</v>
      </c>
      <c r="P149">
        <f>ka20*N149^ka21</f>
        <v>2817014.0942097935</v>
      </c>
      <c r="Q149">
        <f>ka30*N149^ka31</f>
        <v>0.028669849743800883</v>
      </c>
      <c r="R149">
        <f>ka40*N149^ka41</f>
        <v>-5.9001057445738905</v>
      </c>
      <c r="S149">
        <f>ka50*N149^ka51</f>
        <v>-1956.0017424538448</v>
      </c>
      <c r="T149">
        <f aca="true" t="shared" si="18" ref="T149:T168">400*ka0*(S149+P149/((R149-Q149*400)^2+1))/(400*(EXP(O149/SQRT(400))-1))</f>
        <v>2.0065280951985383</v>
      </c>
      <c r="U149">
        <f aca="true" t="shared" si="19" ref="U149:U168">IF(E_nbi&lt;=400,E_nbi*ka0*(S149+P149/((R149-Q149*E_nbi)^2+1))/(E_nbi*(EXP(O149/SQRT(E_nbi))-1)),T149*400/E_nbi)</f>
        <v>2.3672832061803177</v>
      </c>
      <c r="V149">
        <f aca="true" t="shared" si="20" ref="V149:V168">fT*M149*U149</f>
        <v>0.23372268786300374</v>
      </c>
      <c r="W149" s="4">
        <f>xne/100000000000000000000*(1+alpha_N)*(1-(B149/R0/e)^2)^alpha_N</f>
        <v>1.8876803513184548</v>
      </c>
      <c r="X149" s="4">
        <f>IF(D149&gt;N149,F149*1.375/M*(W149*xnDT/xne*W149)*(D149/10-N149/10)/(N149/10)^1.5,0)</f>
        <v>0.21786848110607585</v>
      </c>
    </row>
    <row r="150" spans="1:24" ht="12.75">
      <c r="A150">
        <f>1+A149</f>
        <v>2</v>
      </c>
      <c r="B150" s="28">
        <f>(A150-0.5)*dr</f>
        <v>0.05999999999999999</v>
      </c>
      <c r="C150" s="9" t="s">
        <v>531</v>
      </c>
      <c r="D150">
        <f aca="true" t="shared" si="21" ref="D150:D168">T0i*(1-(B150/R0/e)^2)^alpha_Ti</f>
        <v>36.120762714158445</v>
      </c>
      <c r="E150">
        <f t="shared" si="12"/>
        <v>1.519428580168802E+20</v>
      </c>
      <c r="F150" s="4">
        <f t="shared" si="13"/>
        <v>0.36395157400488315</v>
      </c>
      <c r="G150" s="12">
        <f t="shared" si="14"/>
        <v>75971429008440.1</v>
      </c>
      <c r="H150">
        <f t="shared" si="15"/>
        <v>-34.80378800572727</v>
      </c>
      <c r="J150">
        <f>EXP(H150)</f>
        <v>7.671970421400014E-16</v>
      </c>
      <c r="K150">
        <f t="shared" si="16"/>
        <v>2.479679420664316</v>
      </c>
      <c r="L150">
        <f aca="true" t="shared" si="22" ref="L150:L168">L149+K150*F150</f>
        <v>1.2044823708291266</v>
      </c>
      <c r="M150">
        <f t="shared" si="17"/>
        <v>0.5894183078130627</v>
      </c>
      <c r="N150">
        <f aca="true" t="shared" si="23" ref="N150:N168">T0e*(1-(B150/R0/e)^2)^alpha_Te</f>
        <v>15.09855554700241</v>
      </c>
      <c r="O150">
        <f aca="true" t="shared" si="24" ref="O150:O168">ka10*N150^ka11</f>
        <v>30.80912612353059</v>
      </c>
      <c r="P150">
        <f aca="true" t="shared" si="25" ref="P150:P168">ka20*N150^ka21</f>
        <v>2808647.89035481</v>
      </c>
      <c r="Q150">
        <f aca="true" t="shared" si="26" ref="Q150:Q168">ka30*N150^ka31</f>
        <v>0.02864585152517372</v>
      </c>
      <c r="R150">
        <f aca="true" t="shared" si="27" ref="R150:R168">ka40*N150^ka41</f>
        <v>-5.886344694942748</v>
      </c>
      <c r="S150">
        <f aca="true" t="shared" si="28" ref="S150:S168">ka50*N150^ka51</f>
        <v>-1955.4371985986336</v>
      </c>
      <c r="T150">
        <f t="shared" si="18"/>
        <v>2.004437500210968</v>
      </c>
      <c r="U150">
        <f t="shared" si="19"/>
        <v>2.3653045822363987</v>
      </c>
      <c r="V150">
        <f t="shared" si="20"/>
        <v>0.6970769121621306</v>
      </c>
      <c r="W150" s="4">
        <f aca="true" t="shared" si="29" ref="W150:W168">xne/100000000000000000000*(1+alpha_N)*(1-(B150/R0/e)^2)^alpha_N</f>
        <v>1.8867337878143104</v>
      </c>
      <c r="X150" s="4">
        <f aca="true" t="shared" si="30" ref="X150:X168">IF(D150&gt;N150,F150*1.375/M*(W150*xnDT/xne*W150)*(D150/10-N150/10)/(N150/10)^1.5,0)</f>
        <v>0.6502381098287215</v>
      </c>
    </row>
    <row r="151" spans="1:24" ht="12.75">
      <c r="A151">
        <f aca="true" t="shared" si="31" ref="A151:A164">1+A150</f>
        <v>3</v>
      </c>
      <c r="B151" s="28">
        <f aca="true" t="shared" si="32" ref="B151:B168">(A151-0.5)*dr</f>
        <v>0.09999999999999998</v>
      </c>
      <c r="C151" s="9" t="s">
        <v>532</v>
      </c>
      <c r="D151">
        <f t="shared" si="21"/>
        <v>35.75751180062825</v>
      </c>
      <c r="E151">
        <f t="shared" si="12"/>
        <v>1.5178935970852186E+20</v>
      </c>
      <c r="F151" s="4">
        <f t="shared" si="13"/>
        <v>0.6065859566748052</v>
      </c>
      <c r="G151" s="12">
        <f t="shared" si="14"/>
        <v>75894679854260.92</v>
      </c>
      <c r="H151">
        <f t="shared" si="15"/>
        <v>-34.80968967517141</v>
      </c>
      <c r="J151">
        <f>EXP(H151)</f>
        <v>7.62682633176439E-16</v>
      </c>
      <c r="K151">
        <f t="shared" si="16"/>
        <v>2.460110139509651</v>
      </c>
      <c r="L151">
        <f t="shared" si="22"/>
        <v>2.6967506333289766</v>
      </c>
      <c r="M151">
        <f t="shared" si="17"/>
        <v>0.9724846373408482</v>
      </c>
      <c r="N151">
        <f t="shared" si="23"/>
        <v>15.037635458023932</v>
      </c>
      <c r="O151">
        <f t="shared" si="24"/>
        <v>30.832899675042633</v>
      </c>
      <c r="P151">
        <f t="shared" si="25"/>
        <v>2791863.9432313945</v>
      </c>
      <c r="Q151">
        <f t="shared" si="26"/>
        <v>0.02859755194901199</v>
      </c>
      <c r="R151">
        <f t="shared" si="27"/>
        <v>-5.858711215867595</v>
      </c>
      <c r="S151">
        <f t="shared" si="28"/>
        <v>-1954.3000394594621</v>
      </c>
      <c r="T151">
        <f t="shared" si="18"/>
        <v>2.000222295193353</v>
      </c>
      <c r="U151">
        <f t="shared" si="19"/>
        <v>2.3613113199136753</v>
      </c>
      <c r="V151">
        <f t="shared" si="20"/>
        <v>1.148169491297545</v>
      </c>
      <c r="W151" s="4">
        <f t="shared" si="29"/>
        <v>1.884827739392345</v>
      </c>
      <c r="X151" s="4">
        <f t="shared" si="30"/>
        <v>1.072471759987715</v>
      </c>
    </row>
    <row r="152" spans="1:24" ht="12.75">
      <c r="A152">
        <f t="shared" si="31"/>
        <v>4</v>
      </c>
      <c r="B152" s="28">
        <f t="shared" si="32"/>
        <v>0.13999999999999999</v>
      </c>
      <c r="C152" s="9" t="s">
        <v>533</v>
      </c>
      <c r="D152">
        <f t="shared" si="21"/>
        <v>35.21263543033296</v>
      </c>
      <c r="E152">
        <f t="shared" si="12"/>
        <v>1.515564601149441E+20</v>
      </c>
      <c r="F152" s="4">
        <f t="shared" si="13"/>
        <v>0.8492203393447274</v>
      </c>
      <c r="G152" s="12">
        <f t="shared" si="14"/>
        <v>75778230057472.05</v>
      </c>
      <c r="H152">
        <f t="shared" si="15"/>
        <v>-34.81889174777705</v>
      </c>
      <c r="J152">
        <f aca="true" t="shared" si="33" ref="J152:J168">EXP(H152)</f>
        <v>7.556965646629385E-16</v>
      </c>
      <c r="K152">
        <f t="shared" si="16"/>
        <v>2.4301013659815744</v>
      </c>
      <c r="L152">
        <f t="shared" si="22"/>
        <v>4.7604421399899355</v>
      </c>
      <c r="M152">
        <f t="shared" si="17"/>
        <v>1.3407321533472496</v>
      </c>
      <c r="N152">
        <f t="shared" si="23"/>
        <v>14.945555042288841</v>
      </c>
      <c r="O152">
        <f t="shared" si="24"/>
        <v>30.869051819721893</v>
      </c>
      <c r="P152">
        <f t="shared" si="25"/>
        <v>2766557.321532963</v>
      </c>
      <c r="Q152">
        <f t="shared" si="26"/>
        <v>0.02852433050646631</v>
      </c>
      <c r="R152">
        <f t="shared" si="27"/>
        <v>-5.816978178460366</v>
      </c>
      <c r="S152">
        <f t="shared" si="28"/>
        <v>-1952.5737203831577</v>
      </c>
      <c r="T152">
        <f t="shared" si="18"/>
        <v>1.9938127706502882</v>
      </c>
      <c r="U152">
        <f t="shared" si="19"/>
        <v>2.35522951929204</v>
      </c>
      <c r="V152">
        <f t="shared" si="20"/>
        <v>1.5788659725137122</v>
      </c>
      <c r="W152" s="4">
        <f t="shared" si="29"/>
        <v>1.8819357342128544</v>
      </c>
      <c r="X152" s="4">
        <f t="shared" si="30"/>
        <v>1.477697151017218</v>
      </c>
    </row>
    <row r="153" spans="1:24" ht="12.75">
      <c r="A153">
        <f t="shared" si="31"/>
        <v>5</v>
      </c>
      <c r="B153" s="28">
        <f t="shared" si="32"/>
        <v>0.17999999999999997</v>
      </c>
      <c r="C153" s="9" t="s">
        <v>373</v>
      </c>
      <c r="D153">
        <f t="shared" si="21"/>
        <v>34.486133603272584</v>
      </c>
      <c r="E153">
        <f t="shared" si="12"/>
        <v>1.5124082947335592E+20</v>
      </c>
      <c r="F153" s="4">
        <f t="shared" si="13"/>
        <v>1.0918547220146495</v>
      </c>
      <c r="G153" s="12">
        <f t="shared" si="14"/>
        <v>75620414736677.95</v>
      </c>
      <c r="H153">
        <f t="shared" si="15"/>
        <v>-34.8318475322197</v>
      </c>
      <c r="J153">
        <f t="shared" si="33"/>
        <v>7.459690725772528E-16</v>
      </c>
      <c r="K153">
        <f t="shared" si="16"/>
        <v>2.388839431092187</v>
      </c>
      <c r="L153">
        <f t="shared" si="22"/>
        <v>7.368707752962729</v>
      </c>
      <c r="M153">
        <f t="shared" si="17"/>
        <v>1.688233330423713</v>
      </c>
      <c r="N153">
        <f t="shared" si="23"/>
        <v>14.821441314217116</v>
      </c>
      <c r="O153">
        <f t="shared" si="24"/>
        <v>30.918202615370383</v>
      </c>
      <c r="P153">
        <f t="shared" si="25"/>
        <v>2732565.834746375</v>
      </c>
      <c r="Q153">
        <f t="shared" si="26"/>
        <v>0.028425219383810423</v>
      </c>
      <c r="R153">
        <f t="shared" si="27"/>
        <v>-5.760793562629068</v>
      </c>
      <c r="S153">
        <f t="shared" si="28"/>
        <v>-1950.2323766735085</v>
      </c>
      <c r="T153">
        <f t="shared" si="18"/>
        <v>1.9850999879311213</v>
      </c>
      <c r="U153">
        <f t="shared" si="19"/>
        <v>2.3469434507542695</v>
      </c>
      <c r="V153">
        <f t="shared" si="20"/>
        <v>1.9810940790915008</v>
      </c>
      <c r="W153" s="4">
        <f t="shared" si="29"/>
        <v>1.878016425311295</v>
      </c>
      <c r="X153" s="4">
        <f t="shared" si="30"/>
        <v>1.8588634147169878</v>
      </c>
    </row>
    <row r="154" spans="1:24" ht="12.75">
      <c r="A154">
        <f t="shared" si="31"/>
        <v>6</v>
      </c>
      <c r="B154" s="28">
        <f t="shared" si="32"/>
        <v>0.21999999999999997</v>
      </c>
      <c r="C154" s="9" t="s">
        <v>334</v>
      </c>
      <c r="D154">
        <f t="shared" si="21"/>
        <v>33.5780063194471</v>
      </c>
      <c r="E154">
        <f t="shared" si="12"/>
        <v>1.5083776564067523E+20</v>
      </c>
      <c r="F154" s="4">
        <f t="shared" si="13"/>
        <v>1.3344891046845715</v>
      </c>
      <c r="G154" s="12">
        <f t="shared" si="14"/>
        <v>75418882820337.61</v>
      </c>
      <c r="H154">
        <f t="shared" si="15"/>
        <v>-34.84922290310356</v>
      </c>
      <c r="J154">
        <f t="shared" si="33"/>
        <v>7.331195392519167E-16</v>
      </c>
      <c r="K154">
        <f t="shared" si="16"/>
        <v>2.3351942435072623</v>
      </c>
      <c r="L154">
        <f t="shared" si="22"/>
        <v>10.484999028245301</v>
      </c>
      <c r="M154">
        <f t="shared" si="17"/>
        <v>2.0090606431616838</v>
      </c>
      <c r="N154">
        <f t="shared" si="23"/>
        <v>14.664072488996364</v>
      </c>
      <c r="O154">
        <f t="shared" si="24"/>
        <v>30.981232292721504</v>
      </c>
      <c r="P154">
        <f t="shared" si="25"/>
        <v>2689663.7997837025</v>
      </c>
      <c r="Q154">
        <f t="shared" si="26"/>
        <v>0.028298854606150114</v>
      </c>
      <c r="R154">
        <f t="shared" si="27"/>
        <v>-5.689665666414195</v>
      </c>
      <c r="S154">
        <f t="shared" si="28"/>
        <v>-1947.239437083957</v>
      </c>
      <c r="T154">
        <f t="shared" si="18"/>
        <v>1.9739300050560367</v>
      </c>
      <c r="U154">
        <f t="shared" si="19"/>
        <v>2.3362890953266895</v>
      </c>
      <c r="V154">
        <f t="shared" si="20"/>
        <v>2.3468732362343334</v>
      </c>
      <c r="W154" s="4">
        <f t="shared" si="29"/>
        <v>1.8730114243412586</v>
      </c>
      <c r="X154" s="4">
        <f t="shared" si="30"/>
        <v>2.2086566433750465</v>
      </c>
    </row>
    <row r="155" spans="1:24" ht="12.75">
      <c r="A155">
        <f t="shared" si="31"/>
        <v>7</v>
      </c>
      <c r="B155" s="28">
        <f t="shared" si="32"/>
        <v>0.25999999999999995</v>
      </c>
      <c r="C155" s="9" t="s">
        <v>252</v>
      </c>
      <c r="D155">
        <f t="shared" si="21"/>
        <v>32.48825357885653</v>
      </c>
      <c r="E155">
        <f t="shared" si="12"/>
        <v>1.5034093142509575E+20</v>
      </c>
      <c r="F155" s="4">
        <f t="shared" si="13"/>
        <v>1.5771234873544935</v>
      </c>
      <c r="G155" s="12">
        <f t="shared" si="14"/>
        <v>75170465712547.88</v>
      </c>
      <c r="H155">
        <f t="shared" si="15"/>
        <v>-34.87196028985934</v>
      </c>
      <c r="J155">
        <f t="shared" si="33"/>
        <v>7.166383958565411E-16</v>
      </c>
      <c r="K155">
        <f t="shared" si="16"/>
        <v>2.2676842397387302</v>
      </c>
      <c r="L155">
        <f t="shared" si="22"/>
        <v>14.06141710464087</v>
      </c>
      <c r="M155">
        <f t="shared" si="17"/>
        <v>2.2972865661526094</v>
      </c>
      <c r="N155">
        <f t="shared" si="23"/>
        <v>14.471821018658497</v>
      </c>
      <c r="O155">
        <f t="shared" si="24"/>
        <v>31.059335269751564</v>
      </c>
      <c r="P155">
        <f t="shared" si="25"/>
        <v>2637552.841393608</v>
      </c>
      <c r="Q155">
        <f t="shared" si="26"/>
        <v>0.02814340267463069</v>
      </c>
      <c r="R155">
        <f t="shared" si="27"/>
        <v>-5.602941163375015</v>
      </c>
      <c r="S155">
        <f t="shared" si="28"/>
        <v>-1943.545532630308</v>
      </c>
      <c r="T155">
        <f t="shared" si="18"/>
        <v>1.9600951963166022</v>
      </c>
      <c r="U155">
        <f t="shared" si="19"/>
        <v>2.3230443997159615</v>
      </c>
      <c r="V155">
        <f t="shared" si="20"/>
        <v>2.6683493460217655</v>
      </c>
      <c r="W155" s="4">
        <f t="shared" si="29"/>
        <v>1.8668420399179915</v>
      </c>
      <c r="X155" s="4">
        <f t="shared" si="30"/>
        <v>2.5194005752520363</v>
      </c>
    </row>
    <row r="156" spans="1:24" ht="12.75">
      <c r="A156">
        <f t="shared" si="31"/>
        <v>8</v>
      </c>
      <c r="B156" s="28">
        <f t="shared" si="32"/>
        <v>0.29999999999999993</v>
      </c>
      <c r="C156" s="9" t="s">
        <v>384</v>
      </c>
      <c r="D156">
        <f t="shared" si="21"/>
        <v>31.216875381500852</v>
      </c>
      <c r="E156">
        <f t="shared" si="12"/>
        <v>1.4974197020796938E+20</v>
      </c>
      <c r="F156" s="4">
        <f t="shared" si="13"/>
        <v>1.8197578700244152</v>
      </c>
      <c r="G156" s="12">
        <f t="shared" si="14"/>
        <v>74870985103984.69</v>
      </c>
      <c r="H156">
        <f t="shared" si="15"/>
        <v>-34.90137574240379</v>
      </c>
      <c r="J156">
        <f t="shared" si="33"/>
        <v>6.958651777835059E-16</v>
      </c>
      <c r="K156">
        <f t="shared" si="16"/>
        <v>2.1844405304771093</v>
      </c>
      <c r="L156">
        <f t="shared" si="22"/>
        <v>18.036569951576897</v>
      </c>
      <c r="M156">
        <f t="shared" si="17"/>
        <v>2.5469835739879354</v>
      </c>
      <c r="N156">
        <f t="shared" si="23"/>
        <v>14.242571503783067</v>
      </c>
      <c r="O156">
        <f t="shared" si="24"/>
        <v>31.15409990374934</v>
      </c>
      <c r="P156">
        <f t="shared" si="25"/>
        <v>2575848.7666788655</v>
      </c>
      <c r="Q156">
        <f t="shared" si="26"/>
        <v>0.027956453575965226</v>
      </c>
      <c r="R156">
        <f t="shared" si="27"/>
        <v>-5.49977358874225</v>
      </c>
      <c r="S156">
        <f t="shared" si="28"/>
        <v>-1939.0854298231043</v>
      </c>
      <c r="T156">
        <f t="shared" si="18"/>
        <v>1.9433215772435606</v>
      </c>
      <c r="U156">
        <f t="shared" si="19"/>
        <v>2.30691498443982</v>
      </c>
      <c r="V156">
        <f t="shared" si="20"/>
        <v>2.937837285977427</v>
      </c>
      <c r="W156" s="4">
        <f t="shared" si="29"/>
        <v>1.8594045046452434</v>
      </c>
      <c r="X156" s="4">
        <f t="shared" si="30"/>
        <v>2.7829350945805125</v>
      </c>
    </row>
    <row r="157" spans="1:24" ht="12.75">
      <c r="A157">
        <f t="shared" si="31"/>
        <v>9</v>
      </c>
      <c r="B157" s="28">
        <f t="shared" si="32"/>
        <v>0.33999999999999997</v>
      </c>
      <c r="C157" s="9" t="s">
        <v>385</v>
      </c>
      <c r="D157">
        <f t="shared" si="21"/>
        <v>29.763871727380085</v>
      </c>
      <c r="E157">
        <f t="shared" si="12"/>
        <v>1.4902994540253502E+20</v>
      </c>
      <c r="F157" s="4">
        <f t="shared" si="13"/>
        <v>2.062392252694338</v>
      </c>
      <c r="G157" s="12">
        <f t="shared" si="14"/>
        <v>74514972701267.5</v>
      </c>
      <c r="H157">
        <f t="shared" si="15"/>
        <v>-34.93930619961807</v>
      </c>
      <c r="J157">
        <f t="shared" si="33"/>
        <v>6.699650013802628E-16</v>
      </c>
      <c r="K157">
        <f t="shared" si="16"/>
        <v>2.083182105643928</v>
      </c>
      <c r="L157">
        <f t="shared" si="22"/>
        <v>22.33290858720841</v>
      </c>
      <c r="M157">
        <f t="shared" si="17"/>
        <v>2.7522241412591093</v>
      </c>
      <c r="N157">
        <f t="shared" si="23"/>
        <v>13.973603174028945</v>
      </c>
      <c r="O157">
        <f t="shared" si="24"/>
        <v>31.267626046679037</v>
      </c>
      <c r="P157">
        <f t="shared" si="25"/>
        <v>2504062.999445817</v>
      </c>
      <c r="Q157">
        <f t="shared" si="26"/>
        <v>0.027734865395064486</v>
      </c>
      <c r="R157">
        <f t="shared" si="27"/>
        <v>-5.379078407076513</v>
      </c>
      <c r="S157">
        <f t="shared" si="28"/>
        <v>-1933.7735467897367</v>
      </c>
      <c r="T157">
        <f t="shared" si="18"/>
        <v>1.9232503739657305</v>
      </c>
      <c r="U157">
        <f t="shared" si="19"/>
        <v>2.287513254290994</v>
      </c>
      <c r="V157">
        <f t="shared" si="20"/>
        <v>3.147874600954931</v>
      </c>
      <c r="W157" s="4">
        <f t="shared" si="29"/>
        <v>1.8505630146554626</v>
      </c>
      <c r="X157" s="4">
        <f t="shared" si="30"/>
        <v>2.990461985484362</v>
      </c>
    </row>
    <row r="158" spans="1:24" ht="12.75">
      <c r="A158">
        <f t="shared" si="31"/>
        <v>10</v>
      </c>
      <c r="B158" s="28">
        <f t="shared" si="32"/>
        <v>0.37999999999999995</v>
      </c>
      <c r="C158" s="9" t="s">
        <v>470</v>
      </c>
      <c r="D158">
        <f t="shared" si="21"/>
        <v>28.129242616494224</v>
      </c>
      <c r="E158">
        <f t="shared" si="12"/>
        <v>1.4819051380420867E+20</v>
      </c>
      <c r="F158" s="4">
        <f t="shared" si="13"/>
        <v>2.3050266353642597</v>
      </c>
      <c r="G158" s="12">
        <f t="shared" si="14"/>
        <v>74095256902104.33</v>
      </c>
      <c r="H158">
        <f t="shared" si="15"/>
        <v>-34.9883359861383</v>
      </c>
      <c r="J158">
        <f t="shared" si="33"/>
        <v>6.379090304994865E-16</v>
      </c>
      <c r="K158">
        <f t="shared" si="16"/>
        <v>1.9612257809523936</v>
      </c>
      <c r="L158">
        <f t="shared" si="22"/>
        <v>26.85358625026675</v>
      </c>
      <c r="M158">
        <f t="shared" si="17"/>
        <v>2.9070807425575755</v>
      </c>
      <c r="N158">
        <f t="shared" si="23"/>
        <v>13.661420266877393</v>
      </c>
      <c r="O158">
        <f t="shared" si="24"/>
        <v>31.40270057739266</v>
      </c>
      <c r="P158">
        <f t="shared" si="25"/>
        <v>2421576.1585565037</v>
      </c>
      <c r="Q158">
        <f t="shared" si="26"/>
        <v>0.027474536248518602</v>
      </c>
      <c r="R158">
        <f t="shared" si="27"/>
        <v>-5.2394684675670415</v>
      </c>
      <c r="S158">
        <f t="shared" si="28"/>
        <v>-1927.497320827</v>
      </c>
      <c r="T158">
        <f t="shared" si="18"/>
        <v>1.8994109454539478</v>
      </c>
      <c r="U158">
        <f t="shared" si="19"/>
        <v>2.264327525792056</v>
      </c>
      <c r="V158">
        <f t="shared" si="20"/>
        <v>3.291291472536564</v>
      </c>
      <c r="W158" s="4">
        <f t="shared" si="29"/>
        <v>1.8401394647776177</v>
      </c>
      <c r="X158" s="4">
        <f t="shared" si="30"/>
        <v>3.1323419789757025</v>
      </c>
    </row>
    <row r="159" spans="1:24" ht="12.75">
      <c r="A159">
        <f t="shared" si="31"/>
        <v>11</v>
      </c>
      <c r="B159" s="28">
        <f t="shared" si="32"/>
        <v>0.41999999999999993</v>
      </c>
      <c r="C159" s="9" t="s">
        <v>585</v>
      </c>
      <c r="D159">
        <f t="shared" si="21"/>
        <v>26.312988048843266</v>
      </c>
      <c r="E159">
        <f t="shared" si="12"/>
        <v>1.4720467974952054E+20</v>
      </c>
      <c r="F159" s="4">
        <f t="shared" si="13"/>
        <v>2.5476610180341814</v>
      </c>
      <c r="G159" s="12">
        <f t="shared" si="14"/>
        <v>73602339874760.27</v>
      </c>
      <c r="H159">
        <f t="shared" si="15"/>
        <v>-35.052153389778994</v>
      </c>
      <c r="J159">
        <f t="shared" si="33"/>
        <v>5.984711285272051E-16</v>
      </c>
      <c r="K159">
        <f t="shared" si="16"/>
        <v>1.8155761673356483</v>
      </c>
      <c r="L159">
        <f t="shared" si="22"/>
        <v>31.479058877059686</v>
      </c>
      <c r="M159">
        <f t="shared" si="17"/>
        <v>3.005625852474781</v>
      </c>
      <c r="N159">
        <f t="shared" si="23"/>
        <v>13.30150259756952</v>
      </c>
      <c r="O159">
        <f t="shared" si="24"/>
        <v>31.56306571932711</v>
      </c>
      <c r="P159">
        <f t="shared" si="25"/>
        <v>2327599.8271104936</v>
      </c>
      <c r="Q159">
        <f t="shared" si="26"/>
        <v>0.027170062428145625</v>
      </c>
      <c r="R159">
        <f t="shared" si="27"/>
        <v>-5.079159606596832</v>
      </c>
      <c r="S159">
        <f t="shared" si="28"/>
        <v>-1920.1071783359594</v>
      </c>
      <c r="T159">
        <f t="shared" si="18"/>
        <v>1.8711801727643804</v>
      </c>
      <c r="U159">
        <f t="shared" si="19"/>
        <v>2.236675417438243</v>
      </c>
      <c r="V159">
        <f t="shared" si="20"/>
        <v>3.3613047291236033</v>
      </c>
      <c r="W159" s="4">
        <f t="shared" si="29"/>
        <v>1.8278979784423308</v>
      </c>
      <c r="X159" s="4">
        <f t="shared" si="30"/>
        <v>3.19781787529001</v>
      </c>
    </row>
    <row r="160" spans="1:24" ht="12.75">
      <c r="A160">
        <f t="shared" si="31"/>
        <v>12</v>
      </c>
      <c r="B160" s="28">
        <f t="shared" si="32"/>
        <v>0.4599999999999999</v>
      </c>
      <c r="C160" s="11" t="s">
        <v>39</v>
      </c>
      <c r="D160">
        <f t="shared" si="21"/>
        <v>24.31510802442721</v>
      </c>
      <c r="E160">
        <f t="shared" si="12"/>
        <v>1.4604685870904892E+20</v>
      </c>
      <c r="F160" s="4">
        <f t="shared" si="13"/>
        <v>2.7902954007041036</v>
      </c>
      <c r="G160" s="12">
        <f t="shared" si="14"/>
        <v>73023429354524.45</v>
      </c>
      <c r="H160">
        <f t="shared" si="15"/>
        <v>-35.13613042132821</v>
      </c>
      <c r="J160">
        <f t="shared" si="33"/>
        <v>5.502657000439386E-16</v>
      </c>
      <c r="K160">
        <f t="shared" si="16"/>
        <v>1.6431791620376892</v>
      </c>
      <c r="L160">
        <f t="shared" si="22"/>
        <v>36.06401413542628</v>
      </c>
      <c r="M160">
        <f t="shared" si="17"/>
        <v>3.0419319456021734</v>
      </c>
      <c r="N160">
        <f t="shared" si="23"/>
        <v>12.887928485661387</v>
      </c>
      <c r="O160">
        <f t="shared" si="24"/>
        <v>31.753842799413217</v>
      </c>
      <c r="P160">
        <f t="shared" si="25"/>
        <v>2221119.8050367073</v>
      </c>
      <c r="Q160">
        <f t="shared" si="26"/>
        <v>0.02681421030148466</v>
      </c>
      <c r="R160">
        <f t="shared" si="27"/>
        <v>-4.895828821575607</v>
      </c>
      <c r="S160">
        <f t="shared" si="28"/>
        <v>-1911.400884719269</v>
      </c>
      <c r="T160">
        <f t="shared" si="18"/>
        <v>1.8377197285831597</v>
      </c>
      <c r="U160">
        <f t="shared" si="19"/>
        <v>2.203631324845027</v>
      </c>
      <c r="V160">
        <f t="shared" si="20"/>
        <v>3.351648261687864</v>
      </c>
      <c r="W160" s="4">
        <f t="shared" si="29"/>
        <v>1.813520862559349</v>
      </c>
      <c r="X160" s="4">
        <f t="shared" si="30"/>
        <v>3.174622014703539</v>
      </c>
    </row>
    <row r="161" spans="1:24" ht="12.75">
      <c r="A161">
        <f t="shared" si="31"/>
        <v>13</v>
      </c>
      <c r="B161" s="28">
        <f t="shared" si="32"/>
        <v>0.49999999999999994</v>
      </c>
      <c r="C161" s="8" t="s">
        <v>680</v>
      </c>
      <c r="D161">
        <f t="shared" si="21"/>
        <v>22.13560254324606</v>
      </c>
      <c r="E161">
        <f t="shared" si="12"/>
        <v>1.446817438744266E+20</v>
      </c>
      <c r="F161" s="4">
        <f t="shared" si="13"/>
        <v>3.032929783374026</v>
      </c>
      <c r="G161" s="12">
        <f t="shared" si="14"/>
        <v>72340871937213.3</v>
      </c>
      <c r="H161">
        <f t="shared" si="15"/>
        <v>-35.24830583775944</v>
      </c>
      <c r="J161">
        <f t="shared" si="33"/>
        <v>4.918755985934082E-16</v>
      </c>
      <c r="K161">
        <f t="shared" si="16"/>
        <v>1.441487176997308</v>
      </c>
      <c r="L161">
        <f t="shared" si="22"/>
        <v>40.435943526893155</v>
      </c>
      <c r="M161">
        <f t="shared" si="17"/>
        <v>3.010071496531197</v>
      </c>
      <c r="N161">
        <f t="shared" si="23"/>
        <v>12.412783353290125</v>
      </c>
      <c r="O161">
        <f t="shared" si="24"/>
        <v>31.982230375706237</v>
      </c>
      <c r="P161">
        <f t="shared" si="25"/>
        <v>2100808.922202347</v>
      </c>
      <c r="Q161">
        <f t="shared" si="26"/>
        <v>0.02639706763262145</v>
      </c>
      <c r="R161">
        <f t="shared" si="27"/>
        <v>-4.686393371961404</v>
      </c>
      <c r="S161">
        <f t="shared" si="28"/>
        <v>-1901.0981097103286</v>
      </c>
      <c r="T161">
        <f t="shared" si="18"/>
        <v>1.7978753683304705</v>
      </c>
      <c r="U161">
        <f t="shared" si="19"/>
        <v>2.163909052383686</v>
      </c>
      <c r="V161">
        <f t="shared" si="20"/>
        <v>3.2567604798329834</v>
      </c>
      <c r="W161" s="4">
        <f t="shared" si="29"/>
        <v>1.7965696987050905</v>
      </c>
      <c r="X161" s="4">
        <f t="shared" si="30"/>
        <v>3.048395395010975</v>
      </c>
    </row>
    <row r="162" spans="1:24" ht="12.75">
      <c r="A162">
        <f t="shared" si="31"/>
        <v>14</v>
      </c>
      <c r="B162" s="28">
        <f t="shared" si="32"/>
        <v>0.5399999999999999</v>
      </c>
      <c r="C162" s="7" t="s">
        <v>681</v>
      </c>
      <c r="D162">
        <f t="shared" si="21"/>
        <v>19.774471605299816</v>
      </c>
      <c r="E162">
        <f t="shared" si="12"/>
        <v>1.4305896828891968E+20</v>
      </c>
      <c r="F162" s="4">
        <f t="shared" si="13"/>
        <v>3.2755641660439485</v>
      </c>
      <c r="G162" s="12">
        <f t="shared" si="14"/>
        <v>71529484144459.84</v>
      </c>
      <c r="H162">
        <f t="shared" si="15"/>
        <v>-35.40114426781668</v>
      </c>
      <c r="J162">
        <f t="shared" si="33"/>
        <v>4.2216127364966065E-16</v>
      </c>
      <c r="K162">
        <f t="shared" si="16"/>
        <v>1.209585590278975</v>
      </c>
      <c r="L162">
        <f t="shared" si="22"/>
        <v>44.39801874217408</v>
      </c>
      <c r="M162">
        <f t="shared" si="17"/>
        <v>2.9041169798532995</v>
      </c>
      <c r="N162">
        <f t="shared" si="23"/>
        <v>11.865187108069973</v>
      </c>
      <c r="O162">
        <f t="shared" si="24"/>
        <v>32.25871783084827</v>
      </c>
      <c r="P162">
        <f t="shared" si="25"/>
        <v>1964886.945510698</v>
      </c>
      <c r="Q162">
        <f t="shared" si="26"/>
        <v>0.025904609018931376</v>
      </c>
      <c r="R162">
        <f t="shared" si="27"/>
        <v>-4.446650326159996</v>
      </c>
      <c r="S162">
        <f t="shared" si="28"/>
        <v>-1888.7968857379433</v>
      </c>
      <c r="T162">
        <f t="shared" si="18"/>
        <v>1.7500070893928477</v>
      </c>
      <c r="U162">
        <f t="shared" si="19"/>
        <v>2.115662137771134</v>
      </c>
      <c r="V162">
        <f t="shared" si="20"/>
        <v>3.0720651689669403</v>
      </c>
      <c r="W162" s="4">
        <f t="shared" si="29"/>
        <v>1.7764190607140906</v>
      </c>
      <c r="X162" s="4">
        <f t="shared" si="30"/>
        <v>2.8017838305178504</v>
      </c>
    </row>
    <row r="163" spans="1:24" ht="12.75">
      <c r="A163">
        <f t="shared" si="31"/>
        <v>15</v>
      </c>
      <c r="B163" s="28">
        <f t="shared" si="32"/>
        <v>0.58</v>
      </c>
      <c r="C163" s="10" t="s">
        <v>403</v>
      </c>
      <c r="D163">
        <f t="shared" si="21"/>
        <v>17.231715210588465</v>
      </c>
      <c r="E163">
        <f t="shared" si="12"/>
        <v>1.4110339097187354E+20</v>
      </c>
      <c r="F163" s="4">
        <f t="shared" si="13"/>
        <v>3.5181985487138707</v>
      </c>
      <c r="G163" s="12">
        <f t="shared" si="14"/>
        <v>70551695485936.77</v>
      </c>
      <c r="H163">
        <f t="shared" si="15"/>
        <v>-35.61491218489374</v>
      </c>
      <c r="J163">
        <f t="shared" si="33"/>
        <v>3.4091033278623807E-16</v>
      </c>
      <c r="K163">
        <f t="shared" si="16"/>
        <v>0.9502614294078157</v>
      </c>
      <c r="L163">
        <f t="shared" si="22"/>
        <v>47.741227124015424</v>
      </c>
      <c r="M163">
        <f t="shared" si="17"/>
        <v>2.718140870159925</v>
      </c>
      <c r="N163">
        <f t="shared" si="23"/>
        <v>11.229593604649127</v>
      </c>
      <c r="O163">
        <f t="shared" si="24"/>
        <v>32.59934532101252</v>
      </c>
      <c r="P163">
        <f t="shared" si="25"/>
        <v>1810882.0188258868</v>
      </c>
      <c r="Q163">
        <f t="shared" si="26"/>
        <v>0.025316108231886583</v>
      </c>
      <c r="R163">
        <f t="shared" si="27"/>
        <v>-4.17065192578843</v>
      </c>
      <c r="S163">
        <f t="shared" si="28"/>
        <v>-1873.8939277250993</v>
      </c>
      <c r="T163">
        <f t="shared" si="18"/>
        <v>1.6916840325580742</v>
      </c>
      <c r="U163">
        <f t="shared" si="19"/>
        <v>2.056121699158775</v>
      </c>
      <c r="V163">
        <f t="shared" si="20"/>
        <v>2.794414212253068</v>
      </c>
      <c r="W163" s="4">
        <f t="shared" si="29"/>
        <v>1.7521358936938658</v>
      </c>
      <c r="X163" s="4">
        <f t="shared" si="30"/>
        <v>2.4129426660592177</v>
      </c>
    </row>
    <row r="164" spans="1:24" ht="12.75">
      <c r="A164">
        <f t="shared" si="31"/>
        <v>16</v>
      </c>
      <c r="B164" s="28">
        <f t="shared" si="32"/>
        <v>0.6199999999999999</v>
      </c>
      <c r="C164" s="10" t="s">
        <v>235</v>
      </c>
      <c r="D164">
        <f t="shared" si="21"/>
        <v>14.507333359112039</v>
      </c>
      <c r="E164">
        <f t="shared" si="12"/>
        <v>1.3869581567123195E+20</v>
      </c>
      <c r="F164" s="4">
        <f t="shared" si="13"/>
        <v>3.760832931383792</v>
      </c>
      <c r="G164" s="12">
        <f t="shared" si="14"/>
        <v>69347907835615.98</v>
      </c>
      <c r="H164">
        <f t="shared" si="15"/>
        <v>-35.92478770686491</v>
      </c>
      <c r="J164">
        <f t="shared" si="33"/>
        <v>2.5007077230696475E-16</v>
      </c>
      <c r="K164">
        <f t="shared" si="16"/>
        <v>0.6734691228625586</v>
      </c>
      <c r="L164">
        <f t="shared" si="22"/>
        <v>50.27403197954709</v>
      </c>
      <c r="M164">
        <f t="shared" si="17"/>
        <v>2.446215642042523</v>
      </c>
      <c r="N164">
        <f t="shared" si="23"/>
        <v>10.482567617159336</v>
      </c>
      <c r="O164">
        <f t="shared" si="24"/>
        <v>33.03031073634349</v>
      </c>
      <c r="P164">
        <f t="shared" si="25"/>
        <v>1635192.0600505937</v>
      </c>
      <c r="Q164">
        <f t="shared" si="26"/>
        <v>0.024599054111125226</v>
      </c>
      <c r="R164">
        <f t="shared" si="27"/>
        <v>-3.8495337999089507</v>
      </c>
      <c r="S164">
        <f t="shared" si="28"/>
        <v>-1855.4254514851825</v>
      </c>
      <c r="T164">
        <f t="shared" si="18"/>
        <v>1.6190890498405184</v>
      </c>
      <c r="U164">
        <f t="shared" si="19"/>
        <v>1.9808821005816437</v>
      </c>
      <c r="V164">
        <f t="shared" si="20"/>
        <v>2.422832389742434</v>
      </c>
      <c r="W164" s="4">
        <f t="shared" si="29"/>
        <v>1.722240091247376</v>
      </c>
      <c r="X164" s="4">
        <f t="shared" si="30"/>
        <v>1.8528611840499363</v>
      </c>
    </row>
    <row r="165" spans="1:24" ht="12.75">
      <c r="A165">
        <f>1+A164</f>
        <v>17</v>
      </c>
      <c r="B165" s="28">
        <f t="shared" si="32"/>
        <v>0.6599999999999999</v>
      </c>
      <c r="C165" s="8" t="s">
        <v>607</v>
      </c>
      <c r="D165">
        <f t="shared" si="21"/>
        <v>11.601326050870501</v>
      </c>
      <c r="E165">
        <f t="shared" si="12"/>
        <v>1.3562987552939975E+20</v>
      </c>
      <c r="F165" s="4">
        <f t="shared" si="13"/>
        <v>4.003467314053714</v>
      </c>
      <c r="G165" s="12">
        <f t="shared" si="14"/>
        <v>67814937764699.87</v>
      </c>
      <c r="H165">
        <f t="shared" si="15"/>
        <v>-36.397890735556665</v>
      </c>
      <c r="J165">
        <f t="shared" si="33"/>
        <v>1.558105643614973E-16</v>
      </c>
      <c r="K165">
        <f t="shared" si="16"/>
        <v>0.4012690490102068</v>
      </c>
      <c r="L165">
        <f t="shared" si="22"/>
        <v>51.88049950140087</v>
      </c>
      <c r="M165">
        <f t="shared" si="17"/>
        <v>2.082413770092537</v>
      </c>
      <c r="N165">
        <f t="shared" si="23"/>
        <v>9.585961695525468</v>
      </c>
      <c r="O165">
        <f t="shared" si="24"/>
        <v>33.59860319139142</v>
      </c>
      <c r="P165">
        <f t="shared" si="25"/>
        <v>1432188.9720120651</v>
      </c>
      <c r="Q165">
        <f t="shared" si="26"/>
        <v>0.023697918844616146</v>
      </c>
      <c r="R165">
        <f t="shared" si="27"/>
        <v>-3.4690641907975652</v>
      </c>
      <c r="S165">
        <f t="shared" si="28"/>
        <v>-1831.7084863458495</v>
      </c>
      <c r="T165">
        <f t="shared" si="18"/>
        <v>1.5257171770239666</v>
      </c>
      <c r="U165">
        <f t="shared" si="19"/>
        <v>1.8823207078037285</v>
      </c>
      <c r="V165">
        <f t="shared" si="20"/>
        <v>1.9598852808304077</v>
      </c>
      <c r="W165" s="4">
        <f t="shared" si="29"/>
        <v>1.6841691155364389</v>
      </c>
      <c r="X165" s="4">
        <f t="shared" si="30"/>
        <v>1.0800405914713311</v>
      </c>
    </row>
    <row r="166" spans="1:24" ht="12.75">
      <c r="A166">
        <f>1+A165</f>
        <v>18</v>
      </c>
      <c r="B166" s="28">
        <f t="shared" si="32"/>
        <v>0.6999999999999998</v>
      </c>
      <c r="C166" s="10" t="s">
        <v>39</v>
      </c>
      <c r="D166">
        <f t="shared" si="21"/>
        <v>8.513693285863877</v>
      </c>
      <c r="E166">
        <f t="shared" si="12"/>
        <v>1.314971680742811E+20</v>
      </c>
      <c r="F166" s="4">
        <f t="shared" si="13"/>
        <v>4.2461016967236365</v>
      </c>
      <c r="G166" s="12">
        <f t="shared" si="14"/>
        <v>65748584037140.55</v>
      </c>
      <c r="H166">
        <f t="shared" si="15"/>
        <v>-37.18265925998677</v>
      </c>
      <c r="J166">
        <f t="shared" si="33"/>
        <v>7.108472062358926E-17</v>
      </c>
      <c r="K166">
        <f t="shared" si="16"/>
        <v>0.17208265439746875</v>
      </c>
      <c r="L166">
        <f t="shared" si="22"/>
        <v>52.61117995221467</v>
      </c>
      <c r="M166">
        <f t="shared" si="17"/>
        <v>1.6208077289014153</v>
      </c>
      <c r="N166">
        <f t="shared" si="23"/>
        <v>8.469930296383064</v>
      </c>
      <c r="O166">
        <f t="shared" si="24"/>
        <v>34.401472933308966</v>
      </c>
      <c r="P166">
        <f t="shared" si="25"/>
        <v>1192085.026016422</v>
      </c>
      <c r="Q166">
        <f t="shared" si="26"/>
        <v>0.022504682404645746</v>
      </c>
      <c r="R166">
        <f t="shared" si="27"/>
        <v>-3.003633426166593</v>
      </c>
      <c r="S166">
        <f t="shared" si="28"/>
        <v>-1799.376136513653</v>
      </c>
      <c r="T166">
        <f t="shared" si="18"/>
        <v>1.3990177531263415</v>
      </c>
      <c r="U166">
        <f t="shared" si="19"/>
        <v>1.7454638550687342</v>
      </c>
      <c r="V166">
        <f t="shared" si="20"/>
        <v>1.4145306534067321</v>
      </c>
      <c r="W166" s="4">
        <f t="shared" si="29"/>
        <v>1.6328516736211487</v>
      </c>
      <c r="X166" s="4">
        <f t="shared" si="30"/>
        <v>0.02815162336857499</v>
      </c>
    </row>
    <row r="167" spans="1:24" ht="12.75">
      <c r="A167">
        <f>1+A166</f>
        <v>19</v>
      </c>
      <c r="B167" s="28">
        <f t="shared" si="32"/>
        <v>0.7399999999999999</v>
      </c>
      <c r="C167" s="8" t="s">
        <v>146</v>
      </c>
      <c r="D167">
        <f t="shared" si="21"/>
        <v>5.244435064092149</v>
      </c>
      <c r="E167">
        <f t="shared" si="12"/>
        <v>1.2527790183336342E+20</v>
      </c>
      <c r="F167" s="4">
        <f t="shared" si="13"/>
        <v>4.488736079393559</v>
      </c>
      <c r="G167" s="12">
        <f t="shared" si="14"/>
        <v>62638950916681.71</v>
      </c>
      <c r="H167">
        <f t="shared" si="15"/>
        <v>-38.706272188458435</v>
      </c>
      <c r="J167">
        <f t="shared" si="33"/>
        <v>1.54910042648303E-17</v>
      </c>
      <c r="K167">
        <f t="shared" si="16"/>
        <v>0.0340374135669185</v>
      </c>
      <c r="L167">
        <f t="shared" si="22"/>
        <v>52.76396491854174</v>
      </c>
      <c r="M167">
        <f t="shared" si="17"/>
        <v>1.0554699930606017</v>
      </c>
      <c r="N167">
        <f t="shared" si="23"/>
        <v>6.977697232651326</v>
      </c>
      <c r="O167">
        <f t="shared" si="24"/>
        <v>35.697268228444294</v>
      </c>
      <c r="P167">
        <f t="shared" si="25"/>
        <v>894393.2885428498</v>
      </c>
      <c r="Q167">
        <f t="shared" si="26"/>
        <v>0.020755914304147402</v>
      </c>
      <c r="R167">
        <f t="shared" si="27"/>
        <v>-2.397097714669458</v>
      </c>
      <c r="S167">
        <f t="shared" si="28"/>
        <v>-1749.894603368667</v>
      </c>
      <c r="T167">
        <f t="shared" si="18"/>
        <v>1.2090126405790391</v>
      </c>
      <c r="U167">
        <f t="shared" si="19"/>
        <v>1.5337319912529441</v>
      </c>
      <c r="V167">
        <f t="shared" si="20"/>
        <v>0.8094040470822839</v>
      </c>
      <c r="W167" s="4">
        <f t="shared" si="29"/>
        <v>1.5556246166518195</v>
      </c>
      <c r="X167" s="4">
        <f t="shared" si="30"/>
        <v>0</v>
      </c>
    </row>
    <row r="168" spans="1:24" ht="12.75">
      <c r="A168">
        <f>1+A167</f>
        <v>20</v>
      </c>
      <c r="B168" s="28">
        <f t="shared" si="32"/>
        <v>0.7799999999999999</v>
      </c>
      <c r="C168" s="9" t="s">
        <v>85</v>
      </c>
      <c r="D168">
        <f t="shared" si="21"/>
        <v>1.793551385555332</v>
      </c>
      <c r="E168">
        <f t="shared" si="12"/>
        <v>1.1253198569004037E+20</v>
      </c>
      <c r="F168" s="4">
        <f t="shared" si="13"/>
        <v>4.731370462063481</v>
      </c>
      <c r="G168" s="12">
        <f t="shared" si="14"/>
        <v>56265992845020.18</v>
      </c>
      <c r="H168">
        <f t="shared" si="15"/>
        <v>-43.34314437837961</v>
      </c>
      <c r="J168">
        <f t="shared" si="33"/>
        <v>1.5007611136313282E-19</v>
      </c>
      <c r="K168">
        <f t="shared" si="16"/>
        <v>0.00026606734038861073</v>
      </c>
      <c r="L168">
        <f t="shared" si="22"/>
        <v>52.765223781696974</v>
      </c>
      <c r="M168">
        <f t="shared" si="17"/>
        <v>0.3804730371615455</v>
      </c>
      <c r="N168">
        <f t="shared" si="23"/>
        <v>4.542742977872471</v>
      </c>
      <c r="O168">
        <f t="shared" si="24"/>
        <v>38.74326074944243</v>
      </c>
      <c r="P168">
        <f t="shared" si="25"/>
        <v>473368.4972889532</v>
      </c>
      <c r="Q168">
        <f t="shared" si="26"/>
        <v>0.017351711855983637</v>
      </c>
      <c r="R168">
        <f t="shared" si="27"/>
        <v>-1.4546060335105628</v>
      </c>
      <c r="S168">
        <f t="shared" si="28"/>
        <v>-1645.1045319236348</v>
      </c>
      <c r="T168">
        <f t="shared" si="18"/>
        <v>0.8380486710833221</v>
      </c>
      <c r="U168">
        <f t="shared" si="19"/>
        <v>1.0987039957560383</v>
      </c>
      <c r="V168">
        <f t="shared" si="20"/>
        <v>0.20901362310341284</v>
      </c>
      <c r="W168" s="4">
        <f t="shared" si="29"/>
        <v>1.397353599783203</v>
      </c>
      <c r="X168" s="4">
        <f t="shared" si="30"/>
        <v>0</v>
      </c>
    </row>
    <row r="169" spans="4:24" ht="12.75">
      <c r="D169"/>
      <c r="E169"/>
      <c r="F169" s="4">
        <f>SUM(F149:F168)</f>
        <v>48.52687653398442</v>
      </c>
      <c r="K169"/>
      <c r="L169"/>
      <c r="M169">
        <f>SUM(M149:M168)</f>
        <v>39.56623210209624</v>
      </c>
      <c r="V169">
        <f>SUM(V149:V168)</f>
        <v>42.68301393068263</v>
      </c>
      <c r="X169">
        <f>SUM(X149:X168)</f>
        <v>36.507550374795805</v>
      </c>
    </row>
    <row r="170" spans="1:37" ht="12.75">
      <c r="A170" t="s">
        <v>218</v>
      </c>
      <c r="B170" s="179">
        <f>V169</f>
        <v>42.68301393068263</v>
      </c>
      <c r="L170"/>
      <c r="O170" s="12"/>
      <c r="AK170" s="12"/>
    </row>
    <row r="171" spans="1:2" ht="12.75">
      <c r="A171" t="s">
        <v>66</v>
      </c>
      <c r="B171" s="179">
        <f>4*fT*(1-fT)*L168</f>
        <v>52.765223781696974</v>
      </c>
    </row>
    <row r="172" spans="1:2" ht="12.75">
      <c r="A172" t="s">
        <v>67</v>
      </c>
      <c r="B172" s="179">
        <f>B170/5</f>
        <v>8.536602786136525</v>
      </c>
    </row>
    <row r="173" spans="1:10" ht="12.75">
      <c r="A173" t="s">
        <v>29</v>
      </c>
      <c r="B173" s="179">
        <f>B171+B172</f>
        <v>61.3018265678335</v>
      </c>
      <c r="F173" t="s">
        <v>39</v>
      </c>
      <c r="J173" t="s">
        <v>39</v>
      </c>
    </row>
    <row r="174" spans="1:2" ht="12.75">
      <c r="A174" t="s">
        <v>174</v>
      </c>
      <c r="B174" s="192">
        <f>B170/5/P_alpha</f>
        <v>0.13925527613260189</v>
      </c>
    </row>
    <row r="175" spans="1:7" ht="12.75">
      <c r="A175" t="s">
        <v>536</v>
      </c>
      <c r="B175" s="211">
        <f>B95-P_alpha</f>
        <v>8.436592153771016E-07</v>
      </c>
      <c r="G175" t="s">
        <v>39</v>
      </c>
    </row>
    <row r="176" spans="1:6" ht="12.75">
      <c r="A176" t="s">
        <v>72</v>
      </c>
      <c r="B176" s="181">
        <f>P_Brem/P_alpha</f>
        <v>0.0638718360732482</v>
      </c>
      <c r="F176" t="s">
        <v>39</v>
      </c>
    </row>
    <row r="177" spans="1:2" ht="12.75">
      <c r="A177" t="s">
        <v>45</v>
      </c>
      <c r="B177" s="210">
        <f>frad-B176</f>
        <v>-1.069922386798261E-09</v>
      </c>
    </row>
    <row r="178" spans="1:2" ht="12.75">
      <c r="A178" t="s">
        <v>30</v>
      </c>
      <c r="B178" s="181">
        <f>0.18*(Tavg_ndw/10)^1.5/(xne/100000000000000000000)</f>
        <v>0.11786653404159385</v>
      </c>
    </row>
    <row r="179" spans="1:2" ht="12.75">
      <c r="A179" t="s">
        <v>686</v>
      </c>
      <c r="B179" s="181">
        <f>(1+2*alpha_N+2*alpha_Te)*(1+alpha_Te)^1.5/((1+alpha_N+3.5*alpha_Te)*(1+alpha_N))</f>
        <v>1.2047289740130127</v>
      </c>
    </row>
    <row r="180" spans="1:2" ht="12.75">
      <c r="A180" t="s">
        <v>31</v>
      </c>
      <c r="B180" s="181">
        <f>P_fusion/5/vol</f>
        <v>1.2632551647654822</v>
      </c>
    </row>
    <row r="181" spans="1:2" ht="12.75">
      <c r="A181" t="s">
        <v>32</v>
      </c>
      <c r="B181" s="181">
        <f>B179*B180*B178</f>
        <v>0.17937873244468375</v>
      </c>
    </row>
    <row r="182" spans="1:2" ht="12.75">
      <c r="A182" t="s">
        <v>101</v>
      </c>
      <c r="B182" s="192">
        <f>1.68*B181/Bt^2</f>
        <v>0.0699269773621232</v>
      </c>
    </row>
    <row r="183" spans="1:2" ht="12.75">
      <c r="A183" t="s">
        <v>299</v>
      </c>
      <c r="B183" s="181">
        <f>0.36*(Tavg_ndw/10)^1.5/(xne/100000000000000000000)</f>
        <v>0.2357330680831877</v>
      </c>
    </row>
    <row r="184" spans="1:2" ht="12.75">
      <c r="A184" t="s">
        <v>410</v>
      </c>
      <c r="B184" s="181">
        <f>(1+alpha_nbi)*(1+alpha_Te)^1.5/((1+alpha_nbi+1.5*alpha_Te-alpha_N)*(1+alpha_N))</f>
        <v>1.2047289740130127</v>
      </c>
    </row>
    <row r="185" spans="1:2" ht="12.75">
      <c r="A185" t="s">
        <v>271</v>
      </c>
      <c r="B185" s="181">
        <f>1/(1+2.5*((16*Tavg_ndw)/B117)^1.5)</f>
        <v>0.44452032161272653</v>
      </c>
    </row>
    <row r="186" spans="1:7" ht="12.75">
      <c r="A186" t="s">
        <v>300</v>
      </c>
      <c r="B186" s="181">
        <f>P_aux/vol</f>
        <v>0.8143288602008096</v>
      </c>
      <c r="G186" t="s">
        <v>39</v>
      </c>
    </row>
    <row r="187" spans="1:2" ht="12.75">
      <c r="A187" t="s">
        <v>301</v>
      </c>
      <c r="B187" s="181">
        <f>B184*B185*B186*B183</f>
        <v>0.10280194002576241</v>
      </c>
    </row>
    <row r="188" spans="1:2" ht="12.75">
      <c r="A188" t="s">
        <v>102</v>
      </c>
      <c r="B188" s="192">
        <f>1.68*B187/Bt^2</f>
        <v>0.040075146228277875</v>
      </c>
    </row>
    <row r="189" spans="1:12" ht="12.75">
      <c r="A189" t="s">
        <v>302</v>
      </c>
      <c r="B189" s="179">
        <f>3/4/mu0*0.000001*((Beta_N_i*Ip*Bt)/R0/e)*vol</f>
        <v>33.188087146682875</v>
      </c>
      <c r="K189"/>
      <c r="L189"/>
    </row>
    <row r="190" spans="1:12" ht="12.75">
      <c r="A190" t="s">
        <v>608</v>
      </c>
      <c r="B190" s="179">
        <f>(2*kappa/(1+kappa^2))^2</f>
        <v>0.3240371712611082</v>
      </c>
      <c r="K190"/>
      <c r="L190"/>
    </row>
    <row r="191" spans="1:12" ht="12.75">
      <c r="A191" t="s">
        <v>609</v>
      </c>
      <c r="B191" s="179">
        <f>1/(1+2.4*(Zeff-1))</f>
        <v>0.48942193975172105</v>
      </c>
      <c r="K191"/>
      <c r="L191"/>
    </row>
    <row r="192" spans="1:12" ht="12.75">
      <c r="A192" t="s">
        <v>610</v>
      </c>
      <c r="B192" s="184">
        <f>0.02*Zeff*xne/100000000000000000000*qMHD*R0*A^1.5/Tavgi^2</f>
        <v>0.0026132937607272057</v>
      </c>
      <c r="K192"/>
      <c r="L192"/>
    </row>
    <row r="193" spans="1:12" ht="12.75">
      <c r="A193" t="s">
        <v>611</v>
      </c>
      <c r="B193" s="179">
        <f>1+B192^0.5+0.3*B192</f>
        <v>1.051904373110407</v>
      </c>
      <c r="K193"/>
      <c r="L193"/>
    </row>
    <row r="194" spans="1:12" ht="12.75">
      <c r="A194" t="s">
        <v>303</v>
      </c>
      <c r="B194" s="179">
        <v>9.591193635099906</v>
      </c>
      <c r="K194"/>
      <c r="L194"/>
    </row>
    <row r="195" spans="1:12" ht="13.5" thickBot="1">
      <c r="A195" t="s">
        <v>589</v>
      </c>
      <c r="B195" s="177">
        <f>IF(TiETe="Yes",Tau_E_98,Tau_E_NC)</f>
        <v>9.591193635099906</v>
      </c>
      <c r="K195"/>
      <c r="L195"/>
    </row>
    <row r="196" spans="1:12" ht="13.5" thickBot="1">
      <c r="A196" t="s">
        <v>201</v>
      </c>
      <c r="B196" s="219">
        <f>1/(Tau_E_i*(P_alpha*(fPalphai+5/Q*fPauxi-fradi*frad)-Pie)/Wi)</f>
        <v>0.9999999014013425</v>
      </c>
      <c r="K196"/>
      <c r="L196"/>
    </row>
    <row r="197" spans="1:12" ht="12.75">
      <c r="A197" t="s">
        <v>590</v>
      </c>
      <c r="B197" s="179">
        <f>3/4/mu0*0.000001*((Beta_N_e*Ip*Bt)/R0/e)*vol</f>
        <v>22.180597995875488</v>
      </c>
      <c r="K197"/>
      <c r="L197"/>
    </row>
    <row r="198" spans="1:12" ht="13.5" thickBot="1">
      <c r="A198" t="s">
        <v>591</v>
      </c>
      <c r="B198" s="177">
        <f>Tau_E_98</f>
        <v>0.2967131466699975</v>
      </c>
      <c r="K198"/>
      <c r="L198"/>
    </row>
    <row r="199" spans="1:2" ht="13.5" thickBot="1">
      <c r="A199" t="s">
        <v>202</v>
      </c>
      <c r="B199" s="219">
        <f>1/(Tau_E_e*(P_alpha*(fPalphae+5/Q*fPauxe-frade*frad)+Pie)/We)</f>
        <v>0.8000000065026739</v>
      </c>
    </row>
    <row r="200" spans="1:2" ht="12.75">
      <c r="A200" t="s">
        <v>592</v>
      </c>
      <c r="B200" s="177">
        <f>3/4/mu0*0.000001*((Beta_N*Ip*Bt)/R0/e)*vol</f>
        <v>55.36868514255836</v>
      </c>
    </row>
    <row r="201" spans="1:2" ht="12.75">
      <c r="A201" t="s">
        <v>294</v>
      </c>
      <c r="B201" s="177">
        <f>(fT*3+(1-fT)*2)</f>
        <v>2.5</v>
      </c>
    </row>
    <row r="202" spans="1:2" ht="13.5" thickBot="1">
      <c r="A202" t="s">
        <v>593</v>
      </c>
      <c r="B202" s="181">
        <f>0.0562*Ip^0.93*R0^1.97*e^0.58*Bt^0.15*kappa^0.78*ane^0.41*B201^0.19/(P_alpha*(1+5/Q-frad))^0.69</f>
        <v>0.2967131466699975</v>
      </c>
    </row>
    <row r="203" spans="1:5" ht="13.5" thickBot="1">
      <c r="A203" t="s">
        <v>749</v>
      </c>
      <c r="B203" s="219">
        <f>1/(Tau_E_98*P_alpha*(1+5/Q-frad)/Wtot)</f>
        <v>1.9257029402271157</v>
      </c>
      <c r="C203" s="11" t="s">
        <v>86</v>
      </c>
      <c r="D203" s="11"/>
      <c r="E203" s="11"/>
    </row>
    <row r="204" spans="1:5" ht="12.75">
      <c r="A204" t="s">
        <v>518</v>
      </c>
      <c r="B204" s="181">
        <f>Tau_E_98*HH</f>
        <v>0.5713813789464536</v>
      </c>
      <c r="C204" s="2" t="s">
        <v>304</v>
      </c>
      <c r="D204" s="2"/>
      <c r="E204" s="2"/>
    </row>
    <row r="205" spans="1:5" ht="12.75">
      <c r="A205" t="s">
        <v>519</v>
      </c>
      <c r="B205" s="181">
        <f>0.048*Ip^0.85*R0^1.2*(R0/A)^0.3*kappa^0.5*(xne/100000000000000000000)^0.1*Bt^0.2*B201^0.5/(P_alpha*(1+5/Q-frad))^0.5</f>
        <v>0.1633198512413569</v>
      </c>
      <c r="C205" s="2"/>
      <c r="D205" s="2"/>
      <c r="E205" s="2"/>
    </row>
    <row r="206" spans="1:5" ht="12.75">
      <c r="A206" t="s">
        <v>498</v>
      </c>
      <c r="B206" s="181">
        <f>1/(B205*P_alpha*(1+5/Q-frad)/Wtot)</f>
        <v>3.4985421221211883</v>
      </c>
      <c r="C206" s="2"/>
      <c r="D206" s="2"/>
      <c r="E206" s="2"/>
    </row>
    <row r="207" spans="1:5" ht="12.75">
      <c r="A207" t="s">
        <v>602</v>
      </c>
      <c r="B207" s="176">
        <v>0.2</v>
      </c>
      <c r="C207" s="2"/>
      <c r="D207" s="2"/>
      <c r="E207" s="2"/>
    </row>
    <row r="208" spans="1:2" ht="12.75">
      <c r="A208" t="s">
        <v>4</v>
      </c>
      <c r="B208" s="181">
        <f>(1-frad_core_min)*(P_alpha+P_aux-P_Brem)</f>
        <v>77.5225619258617</v>
      </c>
    </row>
    <row r="209" spans="1:9" ht="12.75">
      <c r="A209" t="s">
        <v>5</v>
      </c>
      <c r="B209" s="209">
        <f>IF(Mode="CTF",F209,IF(Mode="DEMO",G209,IF(Mode="NSTX",D209,IF(Mode="NSST",E209,IF(Mode="REACTOR",H209,IF(Mode="ARIES",I209,"Error"))))))</f>
        <v>0.01</v>
      </c>
      <c r="C209" s="157"/>
      <c r="D209" s="157"/>
      <c r="E209" s="157">
        <v>0.01</v>
      </c>
      <c r="F209" s="157">
        <v>0.01</v>
      </c>
      <c r="G209" s="157">
        <v>0.01</v>
      </c>
      <c r="H209" s="157">
        <v>0.01</v>
      </c>
      <c r="I209" s="157">
        <v>0.083</v>
      </c>
    </row>
    <row r="210" spans="1:9" ht="12.75">
      <c r="A210" t="s">
        <v>646</v>
      </c>
      <c r="B210" s="209">
        <f>IF(Mode="CTF",F210,IF(Mode="DEMO",G210,IF(Mode="NSTX",D210,IF(Mode="NSST",E210,IF(Mode="REACTOR",H210,IF(Mode="ARIES",I210,"Error"))))))</f>
        <v>6</v>
      </c>
      <c r="C210" s="156"/>
      <c r="D210" s="156"/>
      <c r="E210" s="206">
        <f>7.5*R0/A</f>
        <v>6</v>
      </c>
      <c r="F210" s="206">
        <f>7.5*R0/A</f>
        <v>6</v>
      </c>
      <c r="G210" s="206">
        <f>7.5*R0/A</f>
        <v>6</v>
      </c>
      <c r="H210" s="206">
        <f>7.5*R0/A</f>
        <v>6</v>
      </c>
      <c r="I210" s="206">
        <v>2</v>
      </c>
    </row>
    <row r="211" spans="1:5" ht="12.75">
      <c r="A211" t="s">
        <v>6</v>
      </c>
      <c r="B211" s="181">
        <f>B209*B210</f>
        <v>0.06</v>
      </c>
      <c r="C211" s="2"/>
      <c r="D211" s="2"/>
      <c r="E211"/>
    </row>
    <row r="212" spans="1:5" ht="12.75">
      <c r="A212" t="s">
        <v>647</v>
      </c>
      <c r="B212" s="181">
        <f>MIN(B16,IF(P_sol/(4*PI()*(R0+(R0/A)/4)*lambda_div)&lt;=Q_div_limit,0,4*PI()*lambda_div*R0*Q_div_limit/P_sol-R0/(R0+R0/A/4))/(lambda_div/2/(R0/A)-R0/(R0+(R0/A)/4)))</f>
        <v>0.8321616690947463</v>
      </c>
      <c r="C212" s="2"/>
      <c r="D212" s="2"/>
      <c r="E212" s="2"/>
    </row>
    <row r="213" spans="1:5" ht="12.75">
      <c r="A213" t="s">
        <v>7</v>
      </c>
      <c r="B213" s="181">
        <f>P_sol*(1-frad_div)</f>
        <v>13.011257401135795</v>
      </c>
      <c r="C213" s="2"/>
      <c r="D213" s="2"/>
      <c r="E213" s="2"/>
    </row>
    <row r="214" spans="1:5" ht="12.75">
      <c r="A214" t="s">
        <v>150</v>
      </c>
      <c r="B214" s="181">
        <f>P_sol*frad_div/8/PI()/R0/(R0/A)+P_sol*(1-frad_div)/4/PI()/(R0+(R0/A)/4)/lambda_div</f>
        <v>14.999999999999996</v>
      </c>
      <c r="C214" s="2"/>
      <c r="D214" s="2"/>
      <c r="E214" s="2"/>
    </row>
    <row r="215" spans="1:5" ht="12.75">
      <c r="A215" t="s">
        <v>151</v>
      </c>
      <c r="B215" s="181">
        <f>MIN(Q_div_limit,B214)</f>
        <v>14.999999999999996</v>
      </c>
      <c r="C215" s="2"/>
      <c r="D215" s="2"/>
      <c r="E215" s="2"/>
    </row>
    <row r="216" spans="1:5" ht="12.75">
      <c r="A216" t="s">
        <v>152</v>
      </c>
      <c r="B216" s="181">
        <f>Q_div_limit/(frad_div/8/PI()/R0/(R0/A)+(1-frad_div)/4/PI()/(R0+(R0/A)/4)/lambda_div)</f>
        <v>77.5225619258617</v>
      </c>
      <c r="C216" s="2"/>
      <c r="D216" s="2"/>
      <c r="E216" s="2"/>
    </row>
    <row r="217" spans="1:5" ht="12.75">
      <c r="A217" t="s">
        <v>153</v>
      </c>
      <c r="B217" s="181">
        <f>IF(P_sol&gt;B216,P_sol-B216+frad_core_min*(P_alpha+P_aux-P_Brem),frad_core_min*(P_alpha+P_aux-P_Brem))</f>
        <v>19.380640481465424</v>
      </c>
      <c r="C217" s="2"/>
      <c r="D217" s="2"/>
      <c r="E217" s="2"/>
    </row>
    <row r="218" spans="1:5" ht="12.75">
      <c r="A218" t="s">
        <v>154</v>
      </c>
      <c r="B218" s="198">
        <f>(4*PI()^2*R0^2*e*SQRT((1+kappa)/2))</f>
        <v>54.92808846653931</v>
      </c>
      <c r="C218" s="2"/>
      <c r="D218" s="2"/>
      <c r="E218" s="2"/>
    </row>
    <row r="219" spans="1:7" ht="12.75">
      <c r="A219" t="s">
        <v>155</v>
      </c>
      <c r="B219" s="198">
        <f>Blanket!B27</f>
        <v>105.92376091158711</v>
      </c>
      <c r="C219" s="2"/>
      <c r="D219" s="2"/>
      <c r="E219" s="2"/>
      <c r="G219" t="s">
        <v>39</v>
      </c>
    </row>
    <row r="220" spans="1:5" ht="12.75">
      <c r="A220" t="s">
        <v>359</v>
      </c>
      <c r="B220" s="181">
        <f>P_rad_core/(P_alpha+P_aux-P_Brem)</f>
        <v>0.2</v>
      </c>
      <c r="C220" s="2"/>
      <c r="D220" s="2"/>
      <c r="E220" s="2"/>
    </row>
    <row r="221" spans="1:5" ht="12.75">
      <c r="A221" t="s">
        <v>156</v>
      </c>
      <c r="B221" s="181">
        <f>P_Brem+P_rad_core</f>
        <v>23.296100698996778</v>
      </c>
      <c r="C221" s="2"/>
      <c r="D221" s="2"/>
      <c r="E221" s="2"/>
    </row>
    <row r="222" spans="1:5" ht="12.75">
      <c r="A222" t="s">
        <v>157</v>
      </c>
      <c r="B222" s="181">
        <f>B18*B221/A_fw</f>
        <v>0.43986543715043624</v>
      </c>
      <c r="C222" s="2"/>
      <c r="D222" s="2"/>
      <c r="E222" s="2"/>
    </row>
    <row r="223" spans="1:5" ht="12.75">
      <c r="A223" t="s">
        <v>158</v>
      </c>
      <c r="B223" s="198">
        <f>(P_fusion-P_alpha)/(4*PI()^2*R0^2*e*SQRT((1+kappa)/2))</f>
        <v>4.464151535857718</v>
      </c>
      <c r="C223" s="2"/>
      <c r="D223" s="2"/>
      <c r="E223" s="2"/>
    </row>
    <row r="224" spans="1:5" ht="12.75">
      <c r="A224" t="s">
        <v>447</v>
      </c>
      <c r="B224" s="177">
        <f>(P_fusion-P_alpha)/A_fw</f>
        <v>2.3149415049027646</v>
      </c>
      <c r="C224" s="2"/>
      <c r="D224" s="2"/>
      <c r="E224" s="2"/>
    </row>
    <row r="225" spans="1:5" ht="12.75">
      <c r="A225" t="s">
        <v>448</v>
      </c>
      <c r="B225" s="177">
        <f>B224*Blanket!B34</f>
        <v>4.000000013766488</v>
      </c>
      <c r="C225" s="2"/>
      <c r="D225" s="2"/>
      <c r="E225" s="2"/>
    </row>
    <row r="226" spans="1:5" ht="12.75">
      <c r="A226" t="s">
        <v>449</v>
      </c>
      <c r="B226" s="177">
        <f>B224*W_om</f>
        <v>4.163075108627827</v>
      </c>
      <c r="C226" s="2"/>
      <c r="D226" s="2"/>
      <c r="E226" s="2"/>
    </row>
    <row r="227" spans="1:5" ht="12.75" hidden="1">
      <c r="A227" t="s">
        <v>331</v>
      </c>
      <c r="B227" s="199">
        <f>e/2</f>
        <v>0.3333333333333333</v>
      </c>
      <c r="C227" s="11" t="s">
        <v>282</v>
      </c>
      <c r="D227" s="11"/>
      <c r="E227" s="11"/>
    </row>
    <row r="228" spans="1:5" ht="12.75" hidden="1">
      <c r="A228" t="s">
        <v>326</v>
      </c>
      <c r="B228" s="199">
        <f>(3.4/Zeff)*((1.13+Zeff)/(2.67+Zeff))</f>
        <v>1.4807381842374625</v>
      </c>
      <c r="C228" s="7" t="s">
        <v>648</v>
      </c>
      <c r="D228" s="7"/>
      <c r="E228" s="7"/>
    </row>
    <row r="229" spans="1:5" ht="12.75" hidden="1">
      <c r="A229" t="s">
        <v>327</v>
      </c>
      <c r="B229" s="199">
        <f>(0.56/Zeff)*((3-Zeff)/(3+Zeff))</f>
        <v>0.13777655229649907</v>
      </c>
      <c r="C229" s="11" t="s">
        <v>1</v>
      </c>
      <c r="D229" s="11"/>
      <c r="E229" s="11"/>
    </row>
    <row r="230" spans="1:5" ht="12.75" hidden="1">
      <c r="A230" t="s">
        <v>328</v>
      </c>
      <c r="B230" s="199">
        <f>0.58+0.2*Zeff</f>
        <v>0.8669355626127853</v>
      </c>
      <c r="C230" s="11" t="s">
        <v>305</v>
      </c>
      <c r="D230" s="11"/>
      <c r="E230" s="11"/>
    </row>
    <row r="231" spans="1:2" ht="12.75" hidden="1">
      <c r="A231" t="s">
        <v>329</v>
      </c>
      <c r="B231" s="199">
        <f>1-(((1-B227)^2)/((1+1.46*SQRT(B227))*SQRT(1-B227^2)))</f>
        <v>0.7442094032489461</v>
      </c>
    </row>
    <row r="232" spans="1:2" ht="12.75" hidden="1">
      <c r="A232" t="s">
        <v>330</v>
      </c>
      <c r="B232" s="199">
        <v>0.05</v>
      </c>
    </row>
    <row r="233" spans="1:2" ht="12.75">
      <c r="A233" t="s">
        <v>87</v>
      </c>
      <c r="B233" s="184">
        <f>0.000103*20*(1/B228)*(1/(1-B231/(1+B230*B232)))*(1/(1-((B231*B229)/(1+B230*B232))))</f>
        <v>0.005381120250854007</v>
      </c>
    </row>
    <row r="234" spans="1:2" ht="12.75">
      <c r="A234" t="s">
        <v>450</v>
      </c>
      <c r="B234" s="179">
        <f>Wtot/B204</f>
        <v>96.90320192906948</v>
      </c>
    </row>
    <row r="235" spans="1:2" ht="12.75">
      <c r="A235" t="s">
        <v>451</v>
      </c>
      <c r="B235" s="200">
        <f>(mu0/(12*Eta_neo))*(e*R0)^2*(Temp0*1000/(1+alpha_T))^1.5*kappa</f>
        <v>67.74018845754858</v>
      </c>
    </row>
    <row r="236" spans="1:2" ht="12.75" hidden="1">
      <c r="A236" t="s">
        <v>332</v>
      </c>
      <c r="B236" s="201">
        <f>(1+1.81*SQRT(e)+2.05*e)*LN(8/e)-(2+9.25*SQRT(e)-1.21*e)</f>
        <v>0.8073602190092171</v>
      </c>
    </row>
    <row r="237" spans="1:2" ht="12.75" hidden="1">
      <c r="A237" t="s">
        <v>333</v>
      </c>
      <c r="B237" s="201">
        <f>0.73*SQRT(e)*(1+2*e^4-6*e^5+3.7*e^6)</f>
        <v>0.554180533969209</v>
      </c>
    </row>
    <row r="238" spans="1:2" ht="12.75" hidden="1">
      <c r="A238" t="s">
        <v>703</v>
      </c>
      <c r="B238" s="201">
        <f>1+0.98*e^2+0.49*e^4+1.47*e^6</f>
        <v>1.6613991769547323</v>
      </c>
    </row>
    <row r="239" spans="1:2" ht="12.75" hidden="1">
      <c r="A239" t="s">
        <v>704</v>
      </c>
      <c r="B239" s="201">
        <f>0.25*e*(1+0.84*e-1.44*e^2)</f>
        <v>0.15333333333333335</v>
      </c>
    </row>
    <row r="240" spans="1:2" ht="12.75" hidden="1">
      <c r="A240" t="s">
        <v>705</v>
      </c>
      <c r="B240" s="201">
        <f>B236*(1-e)/(1-e+B237*kappa)</f>
        <v>0.12770917253044586</v>
      </c>
    </row>
    <row r="241" spans="1:2" ht="12.75" hidden="1">
      <c r="A241" t="s">
        <v>706</v>
      </c>
      <c r="B241" s="201">
        <f>(1-e)^2/((1-e)^2*B238+B239*SQRT(kappa))</f>
        <v>0.2421061221564504</v>
      </c>
    </row>
    <row r="242" spans="1:2" ht="13.5" hidden="1">
      <c r="A242" t="s">
        <v>650</v>
      </c>
      <c r="B242" s="202">
        <v>0.1</v>
      </c>
    </row>
    <row r="243" spans="1:2" ht="12.75" hidden="1">
      <c r="A243" t="s">
        <v>651</v>
      </c>
      <c r="B243" s="203">
        <f>B240-((B241)/4)*(LN(8/(e*SQRT(kappa))+Beta_P+B242/2-3/2))</f>
        <v>0.01506093319754713</v>
      </c>
    </row>
    <row r="244" spans="1:2" ht="12.75" hidden="1">
      <c r="A244" t="s">
        <v>351</v>
      </c>
      <c r="B244" s="203">
        <f>0.02*(Tavge*(1+alpha_T)/10)^(-1.5)*Zeff/1.4</f>
        <v>0.007909660398585925</v>
      </c>
    </row>
    <row r="245" spans="1:2" ht="12.75" hidden="1">
      <c r="A245" t="s">
        <v>652</v>
      </c>
      <c r="B245" s="202">
        <v>5</v>
      </c>
    </row>
    <row r="246" spans="1:2" ht="12.75" hidden="1">
      <c r="A246" t="s">
        <v>682</v>
      </c>
      <c r="B246" s="202">
        <v>0.25</v>
      </c>
    </row>
    <row r="247" spans="1:2" ht="12.75" hidden="1">
      <c r="A247" t="s">
        <v>683</v>
      </c>
      <c r="B247" s="198">
        <f>1+mu0*1000000*Ip*R0*(Lext+(Li/2)+C_ejima+FF*T_flat)</f>
        <v>7.472771892010382</v>
      </c>
    </row>
    <row r="248" spans="1:16" ht="12.75" hidden="1">
      <c r="A248" t="s">
        <v>684</v>
      </c>
      <c r="B248" s="198">
        <f>mu0*1000000*Ip*R0*(Lext+Li+C_ejima+FF*T_flat)</f>
        <v>7.385434514648164</v>
      </c>
      <c r="J248" s="4">
        <f>Blanket!B25</f>
        <v>0.0725837881797022</v>
      </c>
      <c r="K248" s="4">
        <v>3</v>
      </c>
      <c r="L248" s="4">
        <v>3.2</v>
      </c>
      <c r="M248" s="4">
        <v>3.4</v>
      </c>
      <c r="N248" s="4">
        <v>3.6</v>
      </c>
      <c r="O248" s="4">
        <v>3.8</v>
      </c>
      <c r="P248" s="4">
        <v>4</v>
      </c>
    </row>
    <row r="249" spans="10:16" ht="12.75" hidden="1">
      <c r="J249" s="4">
        <v>1.3</v>
      </c>
      <c r="K249" s="4">
        <f t="dataTable" ref="K249:P266" dt2D="1" dtr="1" r1="B28" r2="B23"/>
        <v>0.044183232807159405</v>
      </c>
      <c r="L249" s="4">
        <v>0.04470709894650771</v>
      </c>
      <c r="M249" s="4">
        <v>0.04515568083920708</v>
      </c>
      <c r="N249" s="4">
        <v>0.04554217972985165</v>
      </c>
      <c r="O249" s="4">
        <v>0.04587714484576984</v>
      </c>
      <c r="P249" s="4">
        <v>0.046169058237134825</v>
      </c>
    </row>
    <row r="250" spans="1:16" ht="12.75" hidden="1">
      <c r="A250" t="s">
        <v>653</v>
      </c>
      <c r="B250" s="198">
        <f>2.84/2.5*Bt^0.82*(ane/10)^0.58*R0^1.81*e^0.81</f>
        <v>2.914186221724752</v>
      </c>
      <c r="F250" t="s">
        <v>295</v>
      </c>
      <c r="J250" s="4">
        <f>J249+0.1</f>
        <v>1.4000000000000001</v>
      </c>
      <c r="K250" s="4">
        <v>0.05868388759407461</v>
      </c>
      <c r="L250" s="4">
        <v>0.05938017169835399</v>
      </c>
      <c r="M250" s="4">
        <v>0.059976407282248095</v>
      </c>
      <c r="N250" s="4">
        <v>0.06049013509541592</v>
      </c>
      <c r="O250" s="4">
        <v>0.06093537283331029</v>
      </c>
      <c r="P250" s="4">
        <v>0.061323391860282385</v>
      </c>
    </row>
    <row r="251" spans="1:16" ht="12.75">
      <c r="A251" t="s">
        <v>699</v>
      </c>
      <c r="B251" s="215">
        <f aca="true" t="shared" si="34" ref="B251:B256">IF(Mode="CTF",F251,IF(Mode="DEMO",G251,IF(Mode="NSTX",D251,IF(Mode="NSST",E251,IF(Mode="REACTOR",H251,IF(Mode="ARIES",I251,"Error"))))))</f>
        <v>0.7726082302840854</v>
      </c>
      <c r="C251" s="162"/>
      <c r="D251" s="207"/>
      <c r="E251" s="207"/>
      <c r="F251" s="208">
        <f>fN</f>
        <v>0.7726082302840854</v>
      </c>
      <c r="G251" s="208">
        <f>fN</f>
        <v>0.7726082302840854</v>
      </c>
      <c r="H251" s="208">
        <f>fN</f>
        <v>0.7726082302840854</v>
      </c>
      <c r="I251" s="208">
        <v>1</v>
      </c>
      <c r="J251" s="4">
        <f aca="true" t="shared" si="35" ref="J251:J266">J250+0.1</f>
        <v>1.5000000000000002</v>
      </c>
      <c r="K251" s="4">
        <v>0.07172804208084248</v>
      </c>
      <c r="L251" s="4">
        <v>0.07257969211680027</v>
      </c>
      <c r="M251" s="4">
        <v>0.07330898601761515</v>
      </c>
      <c r="N251" s="4">
        <v>0.07393737193714695</v>
      </c>
      <c r="O251" s="4">
        <v>0.07448199107006703</v>
      </c>
      <c r="P251" s="4">
        <v>0.07495662695229291</v>
      </c>
    </row>
    <row r="252" spans="1:16" ht="12.75">
      <c r="A252" t="s">
        <v>484</v>
      </c>
      <c r="B252" s="209">
        <f t="shared" si="34"/>
        <v>0.35</v>
      </c>
      <c r="C252" s="157"/>
      <c r="D252" s="207"/>
      <c r="E252" s="207"/>
      <c r="F252" s="207">
        <v>0.35</v>
      </c>
      <c r="G252" s="207">
        <v>0.35</v>
      </c>
      <c r="H252" s="207">
        <v>0.45</v>
      </c>
      <c r="I252" s="207">
        <v>0.45</v>
      </c>
      <c r="J252" s="4">
        <f t="shared" si="35"/>
        <v>1.6000000000000003</v>
      </c>
      <c r="K252" s="4">
        <v>0.08354958824974443</v>
      </c>
      <c r="L252" s="4">
        <v>0.0845422948724857</v>
      </c>
      <c r="M252" s="4">
        <v>0.0853923994103065</v>
      </c>
      <c r="N252" s="4">
        <v>0.0861248947660869</v>
      </c>
      <c r="O252" s="4">
        <v>0.08675975611411939</v>
      </c>
      <c r="P252" s="4">
        <v>0.08731304657142584</v>
      </c>
    </row>
    <row r="253" spans="1:16" ht="12.75">
      <c r="A253" t="s">
        <v>741</v>
      </c>
      <c r="B253" s="209">
        <f t="shared" si="34"/>
        <v>1.2</v>
      </c>
      <c r="C253" s="157"/>
      <c r="D253" s="157"/>
      <c r="E253" s="157"/>
      <c r="F253" s="157">
        <v>1.2</v>
      </c>
      <c r="G253" s="157">
        <v>1.2</v>
      </c>
      <c r="H253" s="157">
        <v>1.2</v>
      </c>
      <c r="I253" s="157">
        <v>1.12</v>
      </c>
      <c r="J253" s="4">
        <f t="shared" si="35"/>
        <v>1.7000000000000004</v>
      </c>
      <c r="K253" s="4">
        <v>0.09433201377019891</v>
      </c>
      <c r="L253" s="4">
        <v>0.0954536187981727</v>
      </c>
      <c r="M253" s="4">
        <v>0.09641412763930222</v>
      </c>
      <c r="N253" s="4">
        <v>0.09724176976344123</v>
      </c>
      <c r="O253" s="4">
        <v>0.09795910829860384</v>
      </c>
      <c r="P253" s="4">
        <v>0.0985842882980845</v>
      </c>
    </row>
    <row r="254" spans="1:16" ht="12.75">
      <c r="A254" t="s">
        <v>251</v>
      </c>
      <c r="B254" s="209" t="str">
        <f t="shared" si="34"/>
        <v>No</v>
      </c>
      <c r="C254" s="172"/>
      <c r="D254" s="172"/>
      <c r="E254" s="172" t="s">
        <v>505</v>
      </c>
      <c r="F254" s="172" t="s">
        <v>505</v>
      </c>
      <c r="G254" s="172" t="s">
        <v>517</v>
      </c>
      <c r="H254" s="172" t="s">
        <v>517</v>
      </c>
      <c r="I254" s="172" t="s">
        <v>517</v>
      </c>
      <c r="J254" s="4">
        <f t="shared" si="35"/>
        <v>1.8000000000000005</v>
      </c>
      <c r="K254" s="4">
        <v>0.10422178364688897</v>
      </c>
      <c r="L254" s="4">
        <v>0.10546184565945946</v>
      </c>
      <c r="M254" s="4">
        <v>0.10652382196816709</v>
      </c>
      <c r="N254" s="4">
        <v>0.10743891390455429</v>
      </c>
      <c r="O254" s="4">
        <v>0.10823206123764897</v>
      </c>
      <c r="P254" s="4">
        <v>0.1089233212026272</v>
      </c>
    </row>
    <row r="255" spans="1:16" ht="12.75">
      <c r="A255" t="s">
        <v>145</v>
      </c>
      <c r="B255" s="209" t="str">
        <f t="shared" si="34"/>
        <v>No</v>
      </c>
      <c r="C255" s="172"/>
      <c r="D255" s="172"/>
      <c r="E255" s="172" t="s">
        <v>505</v>
      </c>
      <c r="F255" s="172" t="s">
        <v>505</v>
      </c>
      <c r="G255" s="172" t="s">
        <v>505</v>
      </c>
      <c r="H255" s="172" t="s">
        <v>517</v>
      </c>
      <c r="I255" s="172" t="s">
        <v>517</v>
      </c>
      <c r="J255" s="4">
        <f t="shared" si="35"/>
        <v>1.9000000000000006</v>
      </c>
      <c r="K255" s="4">
        <v>0.11333756136694514</v>
      </c>
      <c r="L255" s="4">
        <v>0.11468702955492029</v>
      </c>
      <c r="M255" s="4">
        <v>0.11584272681124848</v>
      </c>
      <c r="N255" s="4">
        <v>0.1168385968439369</v>
      </c>
      <c r="O255" s="4">
        <v>0.11770177287069432</v>
      </c>
      <c r="P255" s="4">
        <v>0.11845407714731872</v>
      </c>
    </row>
    <row r="256" spans="1:16" ht="12.75">
      <c r="A256" t="s">
        <v>656</v>
      </c>
      <c r="B256" s="215" t="str">
        <f t="shared" si="34"/>
        <v> </v>
      </c>
      <c r="C256" s="162"/>
      <c r="D256" s="207"/>
      <c r="E256" s="207"/>
      <c r="F256" s="207" t="s">
        <v>39</v>
      </c>
      <c r="G256" s="207" t="s">
        <v>39</v>
      </c>
      <c r="H256" s="208">
        <v>0.9</v>
      </c>
      <c r="I256" s="208">
        <v>1</v>
      </c>
      <c r="J256" s="4">
        <f t="shared" si="35"/>
        <v>2.0000000000000004</v>
      </c>
      <c r="K256" s="4">
        <v>0.12177673455780264</v>
      </c>
      <c r="L256" s="4">
        <v>0.12322769917055086</v>
      </c>
      <c r="M256" s="4">
        <v>0.12447034755554019</v>
      </c>
      <c r="N256" s="4">
        <v>0.1255411652140239</v>
      </c>
      <c r="O256" s="4">
        <v>0.12646931869564879</v>
      </c>
      <c r="P256" s="4">
        <v>0.12727826665527975</v>
      </c>
    </row>
    <row r="257" spans="1:16" ht="12.75">
      <c r="A257" t="s">
        <v>378</v>
      </c>
      <c r="B257" s="179">
        <f>B251*((P_fusion-P_alpha)*B253+P_fw)</f>
        <v>245.3377825857078</v>
      </c>
      <c r="F257" t="s">
        <v>39</v>
      </c>
      <c r="J257" s="4">
        <f t="shared" si="35"/>
        <v>2.1000000000000005</v>
      </c>
      <c r="K257" s="4">
        <v>0.1296201395776496</v>
      </c>
      <c r="L257" s="4">
        <v>0.1311656378179006</v>
      </c>
      <c r="M257" s="4">
        <v>0.13248927806233524</v>
      </c>
      <c r="N257" s="4">
        <v>0.13362991100964458</v>
      </c>
      <c r="O257" s="4">
        <v>0.13461859557614494</v>
      </c>
      <c r="P257" s="4">
        <v>0.13548031358096765</v>
      </c>
    </row>
    <row r="258" spans="1:16" ht="12.75">
      <c r="A258" t="s">
        <v>379</v>
      </c>
      <c r="B258" s="179">
        <f>IF(B255="Yes",B256*(P_alpha+P_aux-P_fw),0)</f>
        <v>0</v>
      </c>
      <c r="J258" s="4">
        <f t="shared" si="35"/>
        <v>2.2000000000000006</v>
      </c>
      <c r="K258" s="4">
        <v>0.13693555041832048</v>
      </c>
      <c r="L258" s="4">
        <v>0.13856941327674624</v>
      </c>
      <c r="M258" s="4">
        <v>0.13996876555441146</v>
      </c>
      <c r="N258" s="4">
        <v>0.141174666660761</v>
      </c>
      <c r="O258" s="4">
        <v>0.1422199429683589</v>
      </c>
      <c r="P258" s="4">
        <v>0.1431309991245014</v>
      </c>
    </row>
    <row r="259" spans="1:16" ht="12.75">
      <c r="A259" t="s">
        <v>380</v>
      </c>
      <c r="B259" s="179">
        <f>B257+B258</f>
        <v>245.3377825857078</v>
      </c>
      <c r="J259" s="4">
        <f t="shared" si="35"/>
        <v>2.3000000000000007</v>
      </c>
      <c r="K259" s="4">
        <v>0.14378030013637919</v>
      </c>
      <c r="L259" s="4">
        <v>0.14549702998255543</v>
      </c>
      <c r="M259" s="4">
        <v>0.1469673891308853</v>
      </c>
      <c r="N259" s="4">
        <v>0.14823450622430404</v>
      </c>
      <c r="O259" s="4">
        <v>0.14933286376110838</v>
      </c>
      <c r="P259" s="4">
        <v>0.15029019979082972</v>
      </c>
    </row>
    <row r="260" spans="1:16" ht="12.75">
      <c r="A260" t="s">
        <v>381</v>
      </c>
      <c r="B260" s="179">
        <f>IF(B254="Yes",B259*B252,0)</f>
        <v>0</v>
      </c>
      <c r="J260" s="4">
        <f t="shared" si="35"/>
        <v>2.400000000000001</v>
      </c>
      <c r="K260" s="4">
        <v>0.1502032809230671</v>
      </c>
      <c r="L260" s="4">
        <v>0.15199795255948964</v>
      </c>
      <c r="M260" s="4">
        <v>0.15353510338444865</v>
      </c>
      <c r="N260" s="4">
        <v>0.15485980630081286</v>
      </c>
      <c r="O260" s="4">
        <v>0.15600810018135194</v>
      </c>
      <c r="P260" s="4">
        <v>0.15700897635463598</v>
      </c>
    </row>
    <row r="261" spans="1:16" ht="12.75">
      <c r="A261" t="s">
        <v>698</v>
      </c>
      <c r="B261" s="192">
        <v>0.1</v>
      </c>
      <c r="J261" s="4">
        <f t="shared" si="35"/>
        <v>2.500000000000001</v>
      </c>
      <c r="K261" s="4">
        <v>0.15624649109967714</v>
      </c>
      <c r="L261" s="4">
        <v>0.15811467096144854</v>
      </c>
      <c r="M261" s="4">
        <v>0.1597148190749355</v>
      </c>
      <c r="N261" s="4">
        <v>0.1610938400867742</v>
      </c>
      <c r="O261" s="4">
        <v>0.16228923943836926</v>
      </c>
      <c r="P261" s="4">
        <v>0.16333118960416135</v>
      </c>
    </row>
    <row r="262" spans="1:16" ht="12.75">
      <c r="A262" t="s">
        <v>382</v>
      </c>
      <c r="B262" s="209">
        <f>IF(Gen_Elec?="yes",B261*P_Elec_gen,IF(Mode="CTF",I260,IF(Mode="DEMO",J260,IF(Mode="NSTX",G260,IF(Mode="NSST",H260,IF(Mode="REACTOR",K260,IF(Mode="ARIES",L260,"Error")))))))</f>
        <v>0</v>
      </c>
      <c r="C262" s="157"/>
      <c r="D262" s="157"/>
      <c r="E262" s="157"/>
      <c r="F262" s="157">
        <v>20</v>
      </c>
      <c r="G262" s="157"/>
      <c r="H262" s="157"/>
      <c r="I262" s="157"/>
      <c r="J262" s="4">
        <f t="shared" si="35"/>
        <v>2.600000000000001</v>
      </c>
      <c r="K262" s="4">
        <v>0.1619462464548614</v>
      </c>
      <c r="L262" s="4">
        <v>0.1638839260161557</v>
      </c>
      <c r="M262" s="4">
        <v>0.16554364083422562</v>
      </c>
      <c r="N262" s="4">
        <v>0.16697402555408158</v>
      </c>
      <c r="O262" s="4">
        <v>0.1682139709787176</v>
      </c>
      <c r="P262" s="4">
        <v>0.16929476550336528</v>
      </c>
    </row>
    <row r="263" spans="1:16" ht="12.75">
      <c r="A263" t="s">
        <v>245</v>
      </c>
      <c r="B263" s="209">
        <f>IF(Mode="CTF",F263,IF(Mode="DEMO",G263,IF(Mode="NSTX",D263,IF(Mode="NSST",E263,IF(Mode="REACTOR",H263,IF(Mode="ARIES",I263,"Error"))))))</f>
        <v>0.35</v>
      </c>
      <c r="D263" s="207"/>
      <c r="E263" s="207">
        <v>0.35</v>
      </c>
      <c r="F263" s="207">
        <v>0.35</v>
      </c>
      <c r="G263" s="207">
        <v>0.45</v>
      </c>
      <c r="H263" s="207">
        <v>0.45</v>
      </c>
      <c r="I263" s="207">
        <v>0.68</v>
      </c>
      <c r="J263" s="4">
        <f>J262+0.1</f>
        <v>2.700000000000001</v>
      </c>
      <c r="K263" s="4">
        <v>0.16733413933594343</v>
      </c>
      <c r="L263" s="4">
        <v>0.16933767976351774</v>
      </c>
      <c r="M263" s="4">
        <v>0.17105384713189428</v>
      </c>
      <c r="N263" s="4">
        <v>0.17253291370799279</v>
      </c>
      <c r="O263" s="4">
        <v>0.17381508192889536</v>
      </c>
      <c r="P263" s="4">
        <v>0.1749326968943879</v>
      </c>
    </row>
    <row r="264" spans="1:16" ht="12.75">
      <c r="A264" t="s">
        <v>383</v>
      </c>
      <c r="B264" s="179">
        <f>P_aux/B263</f>
        <v>112.90524587721418</v>
      </c>
      <c r="J264" s="4">
        <f t="shared" si="35"/>
        <v>2.800000000000001</v>
      </c>
      <c r="K264" s="4">
        <v>0.17243780571645376</v>
      </c>
      <c r="L264" s="4">
        <v>0.17450389151734103</v>
      </c>
      <c r="M264" s="4">
        <v>0.17627367403577335</v>
      </c>
      <c r="N264" s="4">
        <v>0.17779897897894228</v>
      </c>
      <c r="O264" s="4">
        <v>0.17912125323265432</v>
      </c>
      <c r="P264" s="4">
        <v>0.18027384464071589</v>
      </c>
    </row>
    <row r="265" spans="1:16" ht="12.75">
      <c r="A265" t="s">
        <v>124</v>
      </c>
      <c r="B265" s="179">
        <f>B51+B67+B264+B262</f>
        <v>240.83841219734313</v>
      </c>
      <c r="J265" s="4">
        <f>J264+0.1</f>
        <v>2.9000000000000012</v>
      </c>
      <c r="K265" s="4">
        <v>0.1772815443602714</v>
      </c>
      <c r="L265" s="4">
        <v>0.1794071442886021</v>
      </c>
      <c r="M265" s="4">
        <v>0.1812279478488727</v>
      </c>
      <c r="N265" s="4">
        <v>0.1827972572114544</v>
      </c>
      <c r="O265" s="4">
        <v>0.1841577022770145</v>
      </c>
      <c r="P265" s="4">
        <v>0.1853435842933321</v>
      </c>
    </row>
    <row r="266" spans="1:16" ht="12.75">
      <c r="A266" t="s">
        <v>125</v>
      </c>
      <c r="B266" s="179">
        <f>P_Elec_gen-B265</f>
        <v>-240.83841219734313</v>
      </c>
      <c r="J266" s="4">
        <f t="shared" si="35"/>
        <v>3.0000000000000013</v>
      </c>
      <c r="K266" s="4">
        <v>0.1818868208389637</v>
      </c>
      <c r="L266" s="4">
        <v>0.18406915471127086</v>
      </c>
      <c r="M266" s="4">
        <v>0.18593860009271393</v>
      </c>
      <c r="N266" s="4">
        <v>0.18754986500363888</v>
      </c>
      <c r="O266" s="4">
        <v>0.18894670600603822</v>
      </c>
      <c r="P266" s="4">
        <v>0.1901643324928714</v>
      </c>
    </row>
    <row r="267" spans="1:2" ht="12.75">
      <c r="A267" t="s">
        <v>356</v>
      </c>
      <c r="B267" s="177">
        <f>P_Elec_gen/B265</f>
        <v>0</v>
      </c>
    </row>
    <row r="268" spans="1:2" ht="12.75">
      <c r="A268" t="s">
        <v>126</v>
      </c>
      <c r="B268" s="184">
        <f>fN*(P_fusion-P_alpha)*1000000/((17.586-3.517)*1000000)/0.0000000000000000001602</f>
        <v>8.405566776785319E+19</v>
      </c>
    </row>
    <row r="269" spans="1:2" ht="12.75">
      <c r="A269" t="s">
        <v>209</v>
      </c>
      <c r="B269" s="184">
        <f>B268/B265/1000000</f>
        <v>349012713549.1075</v>
      </c>
    </row>
    <row r="270" spans="1:9" ht="12.75">
      <c r="A270" s="16" t="s">
        <v>36</v>
      </c>
      <c r="B270" s="204">
        <v>6.022E+23</v>
      </c>
      <c r="C270" s="33"/>
      <c r="D270" s="16" t="s">
        <v>97</v>
      </c>
      <c r="E270" s="33"/>
      <c r="G270" s="155"/>
      <c r="H270" s="155"/>
      <c r="I270" s="155"/>
    </row>
    <row r="271" spans="1:9" ht="12.75">
      <c r="A271" s="16" t="s">
        <v>458</v>
      </c>
      <c r="B271" s="205">
        <v>17.586</v>
      </c>
      <c r="C271" s="33"/>
      <c r="D271" s="16" t="s">
        <v>159</v>
      </c>
      <c r="E271" s="33"/>
      <c r="G271" s="155"/>
      <c r="H271" s="155"/>
      <c r="I271" s="155"/>
    </row>
    <row r="272" spans="1:9" ht="12.75">
      <c r="A272" s="16"/>
      <c r="B272" s="204">
        <v>1.6E-19</v>
      </c>
      <c r="C272" s="33"/>
      <c r="D272" s="16" t="s">
        <v>37</v>
      </c>
      <c r="E272" s="33"/>
      <c r="G272" s="155"/>
      <c r="H272" s="155"/>
      <c r="I272" s="155"/>
    </row>
    <row r="273" spans="1:9" ht="12.75">
      <c r="A273" s="16"/>
      <c r="B273" s="204">
        <f>B271*1000000*B272</f>
        <v>2.81376E-12</v>
      </c>
      <c r="C273" s="33"/>
      <c r="D273" s="16" t="s">
        <v>160</v>
      </c>
      <c r="E273" s="33"/>
      <c r="G273" s="155"/>
      <c r="H273" s="155"/>
      <c r="I273" s="155"/>
    </row>
    <row r="274" spans="1:9" ht="12.75">
      <c r="A274" s="16" t="s">
        <v>459</v>
      </c>
      <c r="B274" s="205">
        <v>3</v>
      </c>
      <c r="C274" s="33"/>
      <c r="D274" s="16" t="s">
        <v>460</v>
      </c>
      <c r="E274" s="33"/>
      <c r="G274" s="155"/>
      <c r="H274" s="155"/>
      <c r="I274" s="155"/>
    </row>
    <row r="275" spans="1:9" ht="12.75">
      <c r="A275" s="16" t="s">
        <v>99</v>
      </c>
      <c r="B275" s="204">
        <f>B274/B270</f>
        <v>4.981733643307871E-24</v>
      </c>
      <c r="C275" s="33"/>
      <c r="D275" s="16" t="s">
        <v>98</v>
      </c>
      <c r="E275" s="33"/>
      <c r="G275" s="155"/>
      <c r="H275" s="155"/>
      <c r="I275" s="155"/>
    </row>
    <row r="276" spans="1:9" ht="12.75">
      <c r="A276" s="16" t="s">
        <v>161</v>
      </c>
      <c r="B276" s="204">
        <f>B273/B275</f>
        <v>564815424000</v>
      </c>
      <c r="C276" s="33"/>
      <c r="D276" s="16" t="s">
        <v>162</v>
      </c>
      <c r="E276" s="33"/>
      <c r="G276" s="155"/>
      <c r="H276" s="155"/>
      <c r="I276" s="155"/>
    </row>
    <row r="277" spans="1:9" ht="12.75">
      <c r="A277" s="16"/>
      <c r="B277" s="204">
        <f>B276*1000/1000000</f>
        <v>564815424</v>
      </c>
      <c r="C277" s="33"/>
      <c r="D277" s="16" t="s">
        <v>163</v>
      </c>
      <c r="E277" s="33"/>
      <c r="G277" s="155"/>
      <c r="H277" s="155"/>
      <c r="I277" s="155"/>
    </row>
    <row r="278" spans="1:9" ht="12.75">
      <c r="A278" s="16"/>
      <c r="B278" s="204">
        <f>B277/60/60/24</f>
        <v>6537.2155555555555</v>
      </c>
      <c r="C278" s="33"/>
      <c r="D278" s="16" t="s">
        <v>164</v>
      </c>
      <c r="E278" s="33"/>
      <c r="G278" s="155"/>
      <c r="H278" s="155"/>
      <c r="I278" s="155"/>
    </row>
    <row r="279" spans="1:9" ht="12.75">
      <c r="A279" s="34" t="s">
        <v>127</v>
      </c>
      <c r="B279" s="179">
        <f>(P_fusion)/B278*1000</f>
        <v>46.886802867771635</v>
      </c>
      <c r="C279" s="11"/>
      <c r="D279" s="1" t="s">
        <v>48</v>
      </c>
      <c r="E279" s="11"/>
      <c r="G279" s="1"/>
      <c r="H279" s="1"/>
      <c r="I279" s="1"/>
    </row>
    <row r="280" spans="1:4" ht="12.75">
      <c r="A280" s="34" t="s">
        <v>628</v>
      </c>
      <c r="B280" s="28">
        <v>1.25</v>
      </c>
      <c r="D280"/>
    </row>
    <row r="281" spans="1:4" ht="12.75">
      <c r="A281" s="34" t="s">
        <v>523</v>
      </c>
      <c r="B281" s="187">
        <f>B280*fN</f>
        <v>0.9657602878551068</v>
      </c>
      <c r="D281"/>
    </row>
    <row r="282" spans="1:4" ht="12.75">
      <c r="A282" s="34" t="s">
        <v>128</v>
      </c>
      <c r="B282" s="179">
        <f>B279*B281</f>
        <v>45.281412234184785</v>
      </c>
      <c r="D282" t="s">
        <v>48</v>
      </c>
    </row>
    <row r="283" spans="1:9" ht="12.75">
      <c r="A283" s="35" t="s">
        <v>751</v>
      </c>
      <c r="B283" s="179">
        <f>B279-B282</f>
        <v>1.6053906335868504</v>
      </c>
      <c r="C283" s="11"/>
      <c r="D283" s="1" t="s">
        <v>48</v>
      </c>
      <c r="E283" s="11"/>
      <c r="G283" s="1"/>
      <c r="H283" s="1"/>
      <c r="I283" s="1"/>
    </row>
    <row r="284" spans="1:4" ht="12.75">
      <c r="A284" s="34" t="s">
        <v>199</v>
      </c>
      <c r="B284" s="187">
        <v>0.95</v>
      </c>
      <c r="D284"/>
    </row>
    <row r="285" spans="1:4" ht="12.75">
      <c r="A285" s="34" t="s">
        <v>129</v>
      </c>
      <c r="B285" s="28">
        <f>365*B284</f>
        <v>346.75</v>
      </c>
      <c r="D285" t="s">
        <v>626</v>
      </c>
    </row>
    <row r="286" spans="1:4" ht="12.75">
      <c r="A286" s="34" t="s">
        <v>130</v>
      </c>
      <c r="B286" s="184">
        <f>(P_fusion)*B285/B278</f>
        <v>16.257998894399815</v>
      </c>
      <c r="D286" t="s">
        <v>627</v>
      </c>
    </row>
    <row r="287" spans="1:4" ht="12.75">
      <c r="A287" s="34" t="s">
        <v>191</v>
      </c>
      <c r="B287" s="184">
        <f>B281*B286</f>
        <v>15.701329692203574</v>
      </c>
      <c r="D287" t="s">
        <v>627</v>
      </c>
    </row>
    <row r="288" spans="1:4" ht="12.75">
      <c r="A288" s="34" t="s">
        <v>750</v>
      </c>
      <c r="B288" s="184">
        <f>B286-B287</f>
        <v>0.5566692021962414</v>
      </c>
      <c r="D288" t="s">
        <v>627</v>
      </c>
    </row>
    <row r="289" ht="12.75">
      <c r="D289"/>
    </row>
    <row r="290" spans="1:4" ht="12.75">
      <c r="A290" t="s">
        <v>192</v>
      </c>
      <c r="B290" s="28">
        <v>10</v>
      </c>
      <c r="D290" t="s">
        <v>722</v>
      </c>
    </row>
    <row r="291" spans="1:4" ht="12.75">
      <c r="A291" t="s">
        <v>193</v>
      </c>
      <c r="B291" s="28">
        <v>0.06</v>
      </c>
      <c r="D291" t="s">
        <v>719</v>
      </c>
    </row>
    <row r="292" spans="1:4" ht="12.75">
      <c r="A292" t="s">
        <v>194</v>
      </c>
      <c r="B292" s="179">
        <f>-P_net*1000</f>
        <v>240838.41219734313</v>
      </c>
      <c r="D292" t="s">
        <v>720</v>
      </c>
    </row>
    <row r="293" spans="1:4" ht="12.75">
      <c r="A293" t="s">
        <v>479</v>
      </c>
      <c r="B293" s="179">
        <f>IF(Gen_Elec?="Yes",B284,B294)*IF(P_net&lt;0,B284*(B292*B290*12+B292*24*365*B291)/1000000,B284*B292*24*365*B291/1000000)</f>
        <v>44.31330449066234</v>
      </c>
      <c r="D293" t="s">
        <v>721</v>
      </c>
    </row>
    <row r="294" spans="1:2" ht="12.75">
      <c r="A294" t="s">
        <v>480</v>
      </c>
      <c r="B294" s="28">
        <v>0.3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workbookViewId="0" topLeftCell="A1">
      <selection activeCell="E24" sqref="E24"/>
    </sheetView>
  </sheetViews>
  <sheetFormatPr defaultColWidth="11.00390625" defaultRowHeight="12"/>
  <cols>
    <col min="2" max="2" width="12.125" style="0" bestFit="1" customWidth="1"/>
  </cols>
  <sheetData>
    <row r="1" spans="1:4" ht="12.75">
      <c r="A1" t="s">
        <v>358</v>
      </c>
      <c r="B1" s="12">
        <f>0.000000037</f>
        <v>3.7E-08</v>
      </c>
      <c r="C1" t="s">
        <v>462</v>
      </c>
      <c r="D1" s="12"/>
    </row>
    <row r="2" spans="1:3" ht="12.75">
      <c r="A2" t="s">
        <v>678</v>
      </c>
      <c r="B2" s="24">
        <f>Itf/(2*PI()*B4*B6)</f>
        <v>872680.5103476067</v>
      </c>
      <c r="C2" t="s">
        <v>118</v>
      </c>
    </row>
    <row r="3" spans="1:3" ht="12.75">
      <c r="A3" t="s">
        <v>679</v>
      </c>
      <c r="B3" s="1">
        <f>Base!B41/B2</f>
        <v>14.272948925714346</v>
      </c>
      <c r="C3" t="s">
        <v>119</v>
      </c>
    </row>
    <row r="4" spans="1:3" ht="12.75">
      <c r="A4" t="s">
        <v>123</v>
      </c>
      <c r="B4" s="4">
        <f>Shape!B17+Shape!D17/2+0.1+TF_outer!B6/2</f>
        <v>3.786017290042659</v>
      </c>
      <c r="C4" t="s">
        <v>706</v>
      </c>
    </row>
    <row r="5" spans="1:3" ht="12.75">
      <c r="A5" t="s">
        <v>467</v>
      </c>
      <c r="B5" s="1">
        <f>TF_Heating!D48</f>
        <v>6.676126489116337</v>
      </c>
      <c r="C5" t="s">
        <v>706</v>
      </c>
    </row>
    <row r="6" spans="1:3" ht="12.75">
      <c r="A6" t="s">
        <v>122</v>
      </c>
      <c r="B6" s="25">
        <v>0.6</v>
      </c>
      <c r="C6" t="s">
        <v>706</v>
      </c>
    </row>
    <row r="7" spans="1:3" ht="12.75">
      <c r="A7" t="s">
        <v>308</v>
      </c>
      <c r="B7" s="12">
        <f>2*B1*B5/B3</f>
        <v>3.4613264768610744E-08</v>
      </c>
      <c r="C7" t="s">
        <v>464</v>
      </c>
    </row>
    <row r="8" spans="1:3" ht="12.75">
      <c r="A8" t="s">
        <v>725</v>
      </c>
      <c r="B8" s="24">
        <f>Itf/(2*PI()*B11*B12)</f>
        <v>896115.6322846364</v>
      </c>
      <c r="C8" t="s">
        <v>118</v>
      </c>
    </row>
    <row r="9" spans="1:3" ht="12.75">
      <c r="A9" t="s">
        <v>726</v>
      </c>
      <c r="B9" s="1">
        <f>B3*B2/B8</f>
        <v>13.899684263851078</v>
      </c>
      <c r="C9" t="s">
        <v>119</v>
      </c>
    </row>
    <row r="10" spans="1:3" ht="12.75">
      <c r="A10" t="s">
        <v>463</v>
      </c>
      <c r="B10" s="1">
        <f>B4</f>
        <v>3.786017290042659</v>
      </c>
      <c r="C10" t="s">
        <v>706</v>
      </c>
    </row>
    <row r="11" spans="1:3" ht="12.75">
      <c r="A11" t="s">
        <v>120</v>
      </c>
      <c r="B11" s="12">
        <f>((Base!B37*Base!B47)+B10)/2</f>
        <v>2.2122034580085317</v>
      </c>
      <c r="C11" t="s">
        <v>706</v>
      </c>
    </row>
    <row r="12" spans="1:3" ht="12.75">
      <c r="A12" t="s">
        <v>121</v>
      </c>
      <c r="B12" s="25">
        <v>1</v>
      </c>
      <c r="C12" t="s">
        <v>706</v>
      </c>
    </row>
    <row r="13" spans="1:3" ht="12.75">
      <c r="A13" t="s">
        <v>740</v>
      </c>
      <c r="B13" s="12">
        <f>2*B1*(LN(B10)-LN(Base!B37*Base!B47))/2/PI()/TF_outer!B12</f>
        <v>2.0965315386167182E-08</v>
      </c>
      <c r="C13" t="s">
        <v>464</v>
      </c>
    </row>
    <row r="14" spans="1:3" ht="12.75">
      <c r="A14" t="s">
        <v>465</v>
      </c>
      <c r="B14" s="12">
        <f>B13+B7</f>
        <v>5.557858015477793E-08</v>
      </c>
      <c r="C14" t="s">
        <v>464</v>
      </c>
    </row>
    <row r="15" spans="1:3" ht="12.75">
      <c r="A15" t="s">
        <v>117</v>
      </c>
      <c r="B15" s="1">
        <f>Base!B41^2*B14/1000000</f>
        <v>8.62274266133797</v>
      </c>
      <c r="C15" t="s">
        <v>466</v>
      </c>
    </row>
    <row r="17" spans="1:2" ht="12.75">
      <c r="A17" t="s">
        <v>677</v>
      </c>
      <c r="B17" s="3">
        <f>B15/Base!B49</f>
        <v>0.08095171660238798</v>
      </c>
    </row>
    <row r="19" spans="1:3" ht="12.75">
      <c r="A19" t="s">
        <v>80</v>
      </c>
      <c r="B19">
        <v>2670</v>
      </c>
      <c r="C19" t="s">
        <v>82</v>
      </c>
    </row>
    <row r="20" spans="1:2" ht="12.75">
      <c r="A20" t="s">
        <v>572</v>
      </c>
      <c r="B20" s="12">
        <f>2*PI()*(B10^2-(drtf*Base!B47)^2)*B12*B19</f>
        <v>233630.5039952013</v>
      </c>
    </row>
    <row r="21" spans="1:2" ht="12.75">
      <c r="A21" t="s">
        <v>81</v>
      </c>
      <c r="B21" s="12">
        <f>2*2*PI()*B4*B5*B6*B19</f>
        <v>508837.986220091</v>
      </c>
    </row>
    <row r="22" spans="1:2" ht="12.75">
      <c r="A22" t="s">
        <v>83</v>
      </c>
      <c r="B22" s="12">
        <f>SUM(B19:B21)</f>
        <v>745138.4902152923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3"/>
  <sheetViews>
    <sheetView workbookViewId="0" topLeftCell="A1">
      <selection activeCell="L46" sqref="L46"/>
    </sheetView>
  </sheetViews>
  <sheetFormatPr defaultColWidth="11.00390625" defaultRowHeight="12"/>
  <cols>
    <col min="6" max="6" width="18.375" style="0" bestFit="1" customWidth="1"/>
    <col min="7" max="7" width="6.625" style="0" customWidth="1"/>
    <col min="8" max="8" width="6.50390625" style="0" customWidth="1"/>
    <col min="9" max="9" width="5.625" style="0" customWidth="1"/>
    <col min="10" max="10" width="6.625" style="0" customWidth="1"/>
    <col min="11" max="11" width="18.375" style="0" bestFit="1" customWidth="1"/>
    <col min="12" max="12" width="6.625" style="0" customWidth="1"/>
    <col min="13" max="13" width="6.50390625" style="0" customWidth="1"/>
    <col min="14" max="14" width="5.625" style="0" customWidth="1"/>
    <col min="15" max="15" width="6.625" style="0" customWidth="1"/>
    <col min="16" max="16" width="18.375" style="0" bestFit="1" customWidth="1"/>
    <col min="17" max="17" width="6.625" style="0" customWidth="1"/>
    <col min="18" max="18" width="6.50390625" style="0" customWidth="1"/>
  </cols>
  <sheetData>
    <row r="1" spans="1:20" ht="12.75">
      <c r="A1" s="16" t="s">
        <v>640</v>
      </c>
      <c r="B1" s="21">
        <f>A_100</f>
        <v>1.4353770122849592</v>
      </c>
      <c r="F1" s="16" t="s">
        <v>335</v>
      </c>
      <c r="G1" s="21">
        <v>1.5</v>
      </c>
      <c r="K1" s="16" t="s">
        <v>335</v>
      </c>
      <c r="L1" s="21">
        <v>1.5</v>
      </c>
      <c r="P1" s="17"/>
      <c r="Q1" s="17"/>
      <c r="R1" s="4"/>
      <c r="S1" s="4"/>
      <c r="T1" s="4"/>
    </row>
    <row r="2" spans="1:20" ht="12.75">
      <c r="A2" s="16" t="s">
        <v>2</v>
      </c>
      <c r="B2" s="21">
        <f>R0</f>
        <v>1.2</v>
      </c>
      <c r="F2" s="16" t="s">
        <v>2</v>
      </c>
      <c r="G2" s="21">
        <v>1.5</v>
      </c>
      <c r="K2" s="16" t="s">
        <v>2</v>
      </c>
      <c r="L2" s="21">
        <v>1.2</v>
      </c>
      <c r="P2" s="17"/>
      <c r="Q2" s="17"/>
      <c r="R2" s="4"/>
      <c r="S2" s="4"/>
      <c r="T2" s="4"/>
    </row>
    <row r="3" spans="1:20" ht="12.75">
      <c r="A3" s="16" t="s">
        <v>278</v>
      </c>
      <c r="B3" s="21">
        <f>B2+B2/B1</f>
        <v>2.036017290042659</v>
      </c>
      <c r="C3" t="s">
        <v>39</v>
      </c>
      <c r="F3" s="16" t="s">
        <v>717</v>
      </c>
      <c r="G3" s="21">
        <v>2.5</v>
      </c>
      <c r="H3" t="s">
        <v>39</v>
      </c>
      <c r="K3" s="16" t="s">
        <v>717</v>
      </c>
      <c r="L3" s="21">
        <v>2</v>
      </c>
      <c r="M3" t="s">
        <v>39</v>
      </c>
      <c r="P3" s="17"/>
      <c r="Q3" s="17"/>
      <c r="R3" s="4"/>
      <c r="S3" s="4"/>
      <c r="T3" s="4"/>
    </row>
    <row r="4" spans="1:20" ht="12.75">
      <c r="A4" s="16" t="s">
        <v>336</v>
      </c>
      <c r="B4" s="21">
        <f>kappa</f>
        <v>3.2010420370370367</v>
      </c>
      <c r="F4" s="16" t="s">
        <v>336</v>
      </c>
      <c r="G4" s="21">
        <v>3</v>
      </c>
      <c r="K4" s="16" t="s">
        <v>336</v>
      </c>
      <c r="L4" s="21">
        <v>3</v>
      </c>
      <c r="P4" s="17"/>
      <c r="Q4" s="17"/>
      <c r="R4" s="4"/>
      <c r="S4" s="4"/>
      <c r="T4" s="4"/>
    </row>
    <row r="5" spans="1:20" ht="12.75">
      <c r="A5" s="16" t="s">
        <v>279</v>
      </c>
      <c r="B5" s="21">
        <f>B4*B2/B1</f>
        <v>2.6761264891163363</v>
      </c>
      <c r="C5" s="5"/>
      <c r="F5" s="16" t="s">
        <v>233</v>
      </c>
      <c r="G5" s="21">
        <v>3</v>
      </c>
      <c r="H5" s="5"/>
      <c r="K5" s="16" t="s">
        <v>233</v>
      </c>
      <c r="L5" s="21">
        <v>2.4</v>
      </c>
      <c r="M5" s="5"/>
      <c r="P5" s="17"/>
      <c r="Q5" s="17"/>
      <c r="R5" s="4"/>
      <c r="S5" s="4"/>
      <c r="T5" s="4"/>
    </row>
    <row r="6" spans="1:20" ht="12.75">
      <c r="A6" s="16" t="s">
        <v>712</v>
      </c>
      <c r="B6" s="21">
        <f>2*PI()*(R0+R0/A_100)*kappa*R0/A_100</f>
        <v>34.23481354918394</v>
      </c>
      <c r="F6" s="16" t="s">
        <v>234</v>
      </c>
      <c r="G6" s="21">
        <v>47.123889803846886</v>
      </c>
      <c r="K6" s="16" t="s">
        <v>234</v>
      </c>
      <c r="L6" s="21">
        <v>30.159289474462014</v>
      </c>
      <c r="P6" s="17"/>
      <c r="Q6" s="17"/>
      <c r="R6" s="4"/>
      <c r="S6" s="4"/>
      <c r="T6" s="4"/>
    </row>
    <row r="7" spans="1:20" ht="12.75">
      <c r="A7" s="34" t="s">
        <v>657</v>
      </c>
      <c r="B7" s="21">
        <v>0.1</v>
      </c>
      <c r="F7" s="34" t="s">
        <v>657</v>
      </c>
      <c r="G7" s="21">
        <v>0.1</v>
      </c>
      <c r="K7" s="34" t="s">
        <v>657</v>
      </c>
      <c r="L7" s="21">
        <v>0.1</v>
      </c>
      <c r="P7" s="4"/>
      <c r="Q7" s="4"/>
      <c r="R7" s="4"/>
      <c r="S7" s="4"/>
      <c r="T7" s="4"/>
    </row>
    <row r="8" spans="1:20" ht="12.75">
      <c r="A8" s="16"/>
      <c r="B8" s="21" t="s">
        <v>171</v>
      </c>
      <c r="C8" s="16" t="s">
        <v>108</v>
      </c>
      <c r="D8" s="16" t="s">
        <v>109</v>
      </c>
      <c r="E8" s="16" t="s">
        <v>110</v>
      </c>
      <c r="F8" s="16"/>
      <c r="G8" s="21" t="s">
        <v>171</v>
      </c>
      <c r="H8" s="16" t="s">
        <v>108</v>
      </c>
      <c r="I8" s="16" t="s">
        <v>109</v>
      </c>
      <c r="J8" s="16" t="s">
        <v>110</v>
      </c>
      <c r="K8" s="16"/>
      <c r="L8" s="21" t="s">
        <v>171</v>
      </c>
      <c r="M8" s="16" t="s">
        <v>108</v>
      </c>
      <c r="N8" s="16" t="s">
        <v>109</v>
      </c>
      <c r="O8" s="16" t="s">
        <v>110</v>
      </c>
      <c r="P8" s="4"/>
      <c r="Q8" s="31"/>
      <c r="R8" s="31"/>
      <c r="S8" s="31"/>
      <c r="T8" s="31"/>
    </row>
    <row r="9" spans="1:20" ht="12.75">
      <c r="A9" s="16" t="s">
        <v>111</v>
      </c>
      <c r="B9" s="17">
        <v>0</v>
      </c>
      <c r="C9" s="17">
        <v>0</v>
      </c>
      <c r="D9" s="17">
        <f>drtf</f>
        <v>0.30398270995734106</v>
      </c>
      <c r="E9" s="17">
        <f>Base!B45</f>
        <v>4.817027680409406</v>
      </c>
      <c r="F9" s="16" t="s">
        <v>111</v>
      </c>
      <c r="G9" s="17">
        <v>0</v>
      </c>
      <c r="H9" s="17">
        <v>0</v>
      </c>
      <c r="I9" s="17">
        <v>0.4</v>
      </c>
      <c r="J9" s="17">
        <v>5.4</v>
      </c>
      <c r="K9" s="16" t="s">
        <v>111</v>
      </c>
      <c r="L9" s="17">
        <v>0</v>
      </c>
      <c r="M9" s="17">
        <v>0</v>
      </c>
      <c r="N9" s="17">
        <v>0.3</v>
      </c>
      <c r="O9" s="17">
        <v>4.32</v>
      </c>
      <c r="P9" s="17"/>
      <c r="Q9" s="17"/>
      <c r="R9" s="17"/>
      <c r="S9" s="17"/>
      <c r="T9" s="17"/>
    </row>
    <row r="10" spans="1:20" ht="12.75">
      <c r="A10" s="16" t="s">
        <v>112</v>
      </c>
      <c r="B10" s="17">
        <v>0</v>
      </c>
      <c r="C10" s="17">
        <f>TF_Heating!D48-TF_Heating!D38/2</f>
        <v>4.831925049132506</v>
      </c>
      <c r="D10" s="17">
        <f>2*TF_Heating!B4</f>
        <v>1.2767792519488093</v>
      </c>
      <c r="E10" s="17">
        <f>TF_Heating!D38</f>
        <v>3.688402879967661</v>
      </c>
      <c r="F10" s="16" t="s">
        <v>112</v>
      </c>
      <c r="G10" s="17">
        <v>0</v>
      </c>
      <c r="H10" s="17">
        <v>5.196410161513775</v>
      </c>
      <c r="I10" s="17">
        <v>1.6</v>
      </c>
      <c r="J10" s="17">
        <v>3.6071796769724482</v>
      </c>
      <c r="K10" s="16" t="s">
        <v>112</v>
      </c>
      <c r="L10" s="17">
        <v>0</v>
      </c>
      <c r="M10" s="17">
        <v>4.539807621135331</v>
      </c>
      <c r="N10" s="17">
        <v>1.2</v>
      </c>
      <c r="O10" s="17">
        <v>3.720384757729337</v>
      </c>
      <c r="P10" s="17"/>
      <c r="Q10" s="17"/>
      <c r="R10" s="17"/>
      <c r="S10" s="17"/>
      <c r="T10" s="17"/>
    </row>
    <row r="11" spans="1:20" ht="12.75">
      <c r="A11" s="16" t="s">
        <v>113</v>
      </c>
      <c r="B11" s="17">
        <f>D10/2+drfw+Shape!D11/2</f>
        <v>0.9483896259744047</v>
      </c>
      <c r="C11" s="17">
        <f>B5+2.5</f>
        <v>5.176126489116337</v>
      </c>
      <c r="D11" s="17">
        <v>0.5</v>
      </c>
      <c r="E11" s="17">
        <f>Base!B62</f>
        <v>0.5501037170540668</v>
      </c>
      <c r="F11" s="16" t="s">
        <v>113</v>
      </c>
      <c r="G11" s="17">
        <v>1.15</v>
      </c>
      <c r="H11" s="17">
        <v>5.5</v>
      </c>
      <c r="I11" s="17">
        <v>0.5</v>
      </c>
      <c r="J11" s="17">
        <v>0.5</v>
      </c>
      <c r="K11" s="16" t="s">
        <v>113</v>
      </c>
      <c r="L11" s="17">
        <v>0.95</v>
      </c>
      <c r="M11" s="17">
        <v>4.9</v>
      </c>
      <c r="N11" s="17">
        <v>0.5</v>
      </c>
      <c r="O11" s="17">
        <v>0.5</v>
      </c>
      <c r="P11" s="17"/>
      <c r="Q11" s="17"/>
      <c r="R11" s="17"/>
      <c r="S11" s="17"/>
      <c r="T11" s="17"/>
    </row>
    <row r="12" spans="1:20" ht="12.75">
      <c r="A12" s="16" t="s">
        <v>522</v>
      </c>
      <c r="B12" s="17">
        <f>Base!B54</f>
        <v>4.7610691485696925</v>
      </c>
      <c r="C12" s="17">
        <f>C11</f>
        <v>5.176126489116337</v>
      </c>
      <c r="D12" s="17">
        <f>Base!B62</f>
        <v>0.5501037170540668</v>
      </c>
      <c r="E12" s="17">
        <f>Base!B63</f>
        <v>1.1002074341081336</v>
      </c>
      <c r="F12" s="16" t="s">
        <v>522</v>
      </c>
      <c r="G12" s="17">
        <v>5.5037841350041585</v>
      </c>
      <c r="H12" s="17">
        <v>5.5</v>
      </c>
      <c r="I12" s="17">
        <v>0.6075682700083166</v>
      </c>
      <c r="J12" s="17">
        <v>1.2151365400166332</v>
      </c>
      <c r="K12" s="16" t="s">
        <v>522</v>
      </c>
      <c r="L12" s="17">
        <v>4.980327732668033</v>
      </c>
      <c r="M12" s="17">
        <v>4.9</v>
      </c>
      <c r="N12" s="17">
        <v>0.5606554653360654</v>
      </c>
      <c r="O12" s="17">
        <v>1.1213109306721307</v>
      </c>
      <c r="P12" s="17"/>
      <c r="Q12" s="17"/>
      <c r="R12" s="17"/>
      <c r="S12" s="17"/>
      <c r="T12" s="17"/>
    </row>
    <row r="13" spans="1:20" ht="12.75">
      <c r="A13" s="16" t="s">
        <v>363</v>
      </c>
      <c r="B13" s="17">
        <f>B12</f>
        <v>4.7610691485696925</v>
      </c>
      <c r="C13" s="17">
        <f>2.25+E13/2</f>
        <v>2.800103717054067</v>
      </c>
      <c r="D13" s="17">
        <f>D12</f>
        <v>0.5501037170540668</v>
      </c>
      <c r="E13" s="17">
        <f>E12</f>
        <v>1.1002074341081336</v>
      </c>
      <c r="F13" s="16" t="s">
        <v>363</v>
      </c>
      <c r="G13" s="17">
        <v>5.5037841350041585</v>
      </c>
      <c r="H13" s="17">
        <v>2.8575682700083167</v>
      </c>
      <c r="I13" s="17">
        <v>0.6075682700083166</v>
      </c>
      <c r="J13" s="17">
        <v>1.2151365400166332</v>
      </c>
      <c r="K13" s="16" t="s">
        <v>363</v>
      </c>
      <c r="L13" s="17">
        <v>4.980327732668033</v>
      </c>
      <c r="M13" s="17">
        <v>2.8106554653360654</v>
      </c>
      <c r="N13" s="17">
        <v>0.5606554653360654</v>
      </c>
      <c r="O13" s="17">
        <v>1.1213109306721307</v>
      </c>
      <c r="P13" s="17"/>
      <c r="Q13" s="17"/>
      <c r="R13" s="17"/>
      <c r="S13" s="17"/>
      <c r="T13" s="17"/>
    </row>
    <row r="14" spans="1:20" ht="12.75">
      <c r="A14" s="16" t="s">
        <v>695</v>
      </c>
      <c r="B14" s="17">
        <f>B3+OSOL+D14/2</f>
        <v>2.161017290042659</v>
      </c>
      <c r="C14" s="17">
        <v>0</v>
      </c>
      <c r="D14" s="17">
        <v>0.05</v>
      </c>
      <c r="E14" s="17">
        <f>2*(C11-E11/2)</f>
        <v>9.802149261178606</v>
      </c>
      <c r="F14" s="16" t="s">
        <v>695</v>
      </c>
      <c r="G14" s="17">
        <v>2.625</v>
      </c>
      <c r="H14" s="17">
        <v>0</v>
      </c>
      <c r="I14" s="17">
        <v>0.05</v>
      </c>
      <c r="J14" s="17">
        <v>10.5</v>
      </c>
      <c r="K14" s="16" t="s">
        <v>695</v>
      </c>
      <c r="L14" s="17">
        <v>2.125</v>
      </c>
      <c r="M14" s="17">
        <v>0</v>
      </c>
      <c r="N14" s="17">
        <v>0.05</v>
      </c>
      <c r="O14" s="17">
        <v>9.3</v>
      </c>
      <c r="P14" s="17"/>
      <c r="Q14" s="17"/>
      <c r="R14" s="17"/>
      <c r="S14" s="17"/>
      <c r="T14" s="17"/>
    </row>
    <row r="15" spans="1:20" ht="12.75">
      <c r="A15" s="16" t="s">
        <v>696</v>
      </c>
      <c r="B15" s="17">
        <f>B14+D14/2+D15/2</f>
        <v>2.436017290042659</v>
      </c>
      <c r="C15" s="17">
        <v>0</v>
      </c>
      <c r="D15" s="17">
        <v>0.5</v>
      </c>
      <c r="E15" s="17">
        <f>E14</f>
        <v>9.802149261178606</v>
      </c>
      <c r="F15" s="16" t="s">
        <v>696</v>
      </c>
      <c r="G15" s="17">
        <v>2.95</v>
      </c>
      <c r="H15" s="17">
        <v>0</v>
      </c>
      <c r="I15" s="17">
        <v>0.6</v>
      </c>
      <c r="J15" s="17">
        <v>10.5</v>
      </c>
      <c r="K15" s="16" t="s">
        <v>696</v>
      </c>
      <c r="L15" s="17">
        <v>2.45</v>
      </c>
      <c r="M15" s="17">
        <v>0</v>
      </c>
      <c r="N15" s="17">
        <v>0.6</v>
      </c>
      <c r="O15" s="17">
        <v>9.3</v>
      </c>
      <c r="P15" s="17"/>
      <c r="Q15" s="17"/>
      <c r="R15" s="17"/>
      <c r="S15" s="17"/>
      <c r="T15" s="17"/>
    </row>
    <row r="16" spans="1:20" ht="12.75">
      <c r="A16" s="16" t="s">
        <v>697</v>
      </c>
      <c r="B16" s="17">
        <f>B15+D15/2+D16/2</f>
        <v>2.836017290042659</v>
      </c>
      <c r="C16" s="17">
        <v>0</v>
      </c>
      <c r="D16" s="17">
        <v>0.3</v>
      </c>
      <c r="E16" s="17">
        <f>E15</f>
        <v>9.802149261178606</v>
      </c>
      <c r="F16" s="16" t="s">
        <v>697</v>
      </c>
      <c r="G16" s="17">
        <v>3.4</v>
      </c>
      <c r="H16" s="17">
        <v>0</v>
      </c>
      <c r="I16" s="17">
        <v>0.3</v>
      </c>
      <c r="J16" s="17">
        <v>10.5</v>
      </c>
      <c r="K16" s="16" t="s">
        <v>697</v>
      </c>
      <c r="L16" s="17">
        <v>2.9</v>
      </c>
      <c r="M16" s="17">
        <v>0</v>
      </c>
      <c r="N16" s="17">
        <v>0.3</v>
      </c>
      <c r="O16" s="17">
        <v>9.3</v>
      </c>
      <c r="P16" s="17"/>
      <c r="Q16" s="17"/>
      <c r="R16" s="17"/>
      <c r="S16" s="17"/>
      <c r="T16" s="17"/>
    </row>
    <row r="17" spans="1:20" ht="12.75">
      <c r="A17" s="16" t="s">
        <v>312</v>
      </c>
      <c r="B17" s="17">
        <f>B16+D16/2+D17/2</f>
        <v>3.186017290042659</v>
      </c>
      <c r="C17" s="17">
        <v>0</v>
      </c>
      <c r="D17" s="17">
        <v>0.4</v>
      </c>
      <c r="E17" s="17">
        <f>E16</f>
        <v>9.802149261178606</v>
      </c>
      <c r="F17" s="16" t="s">
        <v>312</v>
      </c>
      <c r="G17" s="17">
        <v>3.75</v>
      </c>
      <c r="H17" s="17">
        <v>0</v>
      </c>
      <c r="I17" s="17">
        <v>0.4</v>
      </c>
      <c r="J17" s="17">
        <v>10.5</v>
      </c>
      <c r="K17" s="16" t="s">
        <v>312</v>
      </c>
      <c r="L17" s="17">
        <v>3.25</v>
      </c>
      <c r="M17" s="17">
        <v>0</v>
      </c>
      <c r="N17" s="17">
        <v>0.4</v>
      </c>
      <c r="O17" s="17">
        <v>9.3</v>
      </c>
      <c r="P17" s="17"/>
      <c r="Q17" s="17"/>
      <c r="R17" s="17"/>
      <c r="S17" s="17"/>
      <c r="T17" s="17"/>
    </row>
    <row r="18" spans="1:20" ht="12.75">
      <c r="A18" s="16" t="s">
        <v>41</v>
      </c>
      <c r="B18" s="17">
        <f>TF_outer!B4</f>
        <v>3.786017290042659</v>
      </c>
      <c r="C18" s="17">
        <v>0</v>
      </c>
      <c r="D18" s="17">
        <f>TF_outer!B6</f>
        <v>0.6</v>
      </c>
      <c r="E18" s="17">
        <f>2*(C10+E10/2)</f>
        <v>13.352252978232674</v>
      </c>
      <c r="F18" s="16" t="s">
        <v>41</v>
      </c>
      <c r="G18" s="17">
        <v>4.425</v>
      </c>
      <c r="H18" s="17">
        <v>0</v>
      </c>
      <c r="I18" s="17">
        <v>0.75</v>
      </c>
      <c r="J18" s="17">
        <v>14</v>
      </c>
      <c r="K18" s="16" t="s">
        <v>41</v>
      </c>
      <c r="L18" s="17">
        <v>3.925</v>
      </c>
      <c r="M18" s="17">
        <v>0</v>
      </c>
      <c r="N18" s="17">
        <v>0.75</v>
      </c>
      <c r="O18" s="17">
        <v>12.8</v>
      </c>
      <c r="P18" s="17"/>
      <c r="Q18" s="17"/>
      <c r="R18" s="17"/>
      <c r="S18" s="17"/>
      <c r="T18" s="17"/>
    </row>
    <row r="19" spans="1:20" ht="12.75">
      <c r="A19" s="16" t="s">
        <v>40</v>
      </c>
      <c r="B19" s="17">
        <f>D10/2+D19/2</f>
        <v>2.0622034580085318</v>
      </c>
      <c r="C19" s="17">
        <f>E18/2-E19/2</f>
        <v>6.176126489116337</v>
      </c>
      <c r="D19" s="17">
        <f>B18-D18/2-D10/2</f>
        <v>2.8476276640682547</v>
      </c>
      <c r="E19" s="17">
        <f>TF_outer!B12</f>
        <v>1</v>
      </c>
      <c r="F19" s="16" t="s">
        <v>40</v>
      </c>
      <c r="G19" s="17">
        <v>2.425</v>
      </c>
      <c r="H19" s="17">
        <v>6.5</v>
      </c>
      <c r="I19" s="17">
        <v>3.25</v>
      </c>
      <c r="J19" s="17">
        <v>1</v>
      </c>
      <c r="K19" s="16" t="s">
        <v>40</v>
      </c>
      <c r="L19" s="17">
        <v>2.075</v>
      </c>
      <c r="M19" s="17">
        <v>5.9</v>
      </c>
      <c r="N19" s="17">
        <v>2.95</v>
      </c>
      <c r="O19" s="17">
        <v>1</v>
      </c>
      <c r="P19" s="17"/>
      <c r="Q19" s="17"/>
      <c r="R19" s="17"/>
      <c r="S19" s="17"/>
      <c r="T19" s="17"/>
    </row>
    <row r="20" spans="1:20" ht="12.75">
      <c r="A20" s="16" t="s">
        <v>42</v>
      </c>
      <c r="B20" s="16">
        <f aca="true" t="shared" si="0" ref="B20:B56">R0+R0/A*COS(A77+d*SIN(A77))</f>
        <v>2</v>
      </c>
      <c r="C20" s="16">
        <f aca="true" t="shared" si="1" ref="C20:C56">k*R0/A*SIN(A77)</f>
        <v>0</v>
      </c>
      <c r="D20" s="16"/>
      <c r="E20" s="16"/>
      <c r="F20" s="16" t="s">
        <v>42</v>
      </c>
      <c r="G20" s="16">
        <v>2.5</v>
      </c>
      <c r="H20" s="16">
        <v>0</v>
      </c>
      <c r="I20" s="16"/>
      <c r="J20" s="16"/>
      <c r="K20" s="16" t="s">
        <v>42</v>
      </c>
      <c r="L20" s="16">
        <v>2</v>
      </c>
      <c r="M20" s="16">
        <v>0</v>
      </c>
      <c r="N20" s="16"/>
      <c r="O20" s="16"/>
      <c r="P20" s="32"/>
      <c r="Q20" s="17"/>
      <c r="R20" s="17"/>
      <c r="S20" s="4"/>
      <c r="T20" s="4"/>
    </row>
    <row r="21" spans="2:20" ht="12.75">
      <c r="B21" s="16">
        <f t="shared" si="0"/>
        <v>1.9691263057374873</v>
      </c>
      <c r="C21" s="16">
        <f t="shared" si="1"/>
        <v>0.44468409309337603</v>
      </c>
      <c r="F21" s="4"/>
      <c r="G21" s="17">
        <v>2.470381281432179</v>
      </c>
      <c r="H21" s="17">
        <v>0.5209445330007911</v>
      </c>
      <c r="I21" s="4"/>
      <c r="J21" s="4"/>
      <c r="L21" s="16">
        <v>1.976305025145743</v>
      </c>
      <c r="M21" s="16">
        <v>0.41675562640063285</v>
      </c>
      <c r="P21" s="4"/>
      <c r="Q21" s="17"/>
      <c r="R21" s="17"/>
      <c r="S21" s="4"/>
      <c r="T21" s="4"/>
    </row>
    <row r="22" spans="2:20" ht="12.75">
      <c r="B22" s="16">
        <f t="shared" si="0"/>
        <v>1.8802245642058857</v>
      </c>
      <c r="C22" s="16">
        <f t="shared" si="1"/>
        <v>0.8758566850391183</v>
      </c>
      <c r="F22" s="4"/>
      <c r="G22" s="17">
        <v>2.38426718825206</v>
      </c>
      <c r="H22" s="17">
        <v>1.0260604299770062</v>
      </c>
      <c r="I22" s="4"/>
      <c r="J22" s="4"/>
      <c r="L22" s="16">
        <v>1.907413750601648</v>
      </c>
      <c r="M22" s="16">
        <v>0.8208483439816049</v>
      </c>
      <c r="P22" s="4"/>
      <c r="Q22" s="17"/>
      <c r="R22" s="17"/>
      <c r="S22" s="4"/>
      <c r="T22" s="4"/>
    </row>
    <row r="23" spans="2:20" ht="12.75">
      <c r="B23" s="16">
        <f t="shared" si="0"/>
        <v>1.743668452331473</v>
      </c>
      <c r="C23" s="16">
        <f t="shared" si="1"/>
        <v>1.2804168148148147</v>
      </c>
      <c r="F23" s="4"/>
      <c r="G23" s="17">
        <v>2.249427888413064</v>
      </c>
      <c r="H23" s="17">
        <v>1.5</v>
      </c>
      <c r="I23" s="4"/>
      <c r="J23" s="4"/>
      <c r="L23" s="16">
        <v>1.799542310730451</v>
      </c>
      <c r="M23" s="16">
        <v>1.2</v>
      </c>
      <c r="P23" s="4"/>
      <c r="Q23" s="17"/>
      <c r="R23" s="17"/>
      <c r="S23" s="4"/>
      <c r="T23" s="4"/>
    </row>
    <row r="24" spans="2:20" ht="12.75">
      <c r="B24" s="16">
        <f t="shared" si="0"/>
        <v>1.574375807198565</v>
      </c>
      <c r="C24" s="16">
        <f t="shared" si="1"/>
        <v>1.6460721275945343</v>
      </c>
      <c r="F24" s="4"/>
      <c r="G24" s="17">
        <v>2.0774073192149687</v>
      </c>
      <c r="H24" s="17">
        <v>1.9283628290596182</v>
      </c>
      <c r="I24" s="4"/>
      <c r="J24" s="4"/>
      <c r="L24" s="16">
        <v>1.6619258553719747</v>
      </c>
      <c r="M24" s="16">
        <v>1.5426902632476944</v>
      </c>
      <c r="P24" s="4"/>
      <c r="Q24" s="17"/>
      <c r="R24" s="17"/>
      <c r="S24" s="4"/>
      <c r="T24" s="4"/>
    </row>
    <row r="25" spans="2:20" ht="12.75">
      <c r="B25" s="16">
        <f t="shared" si="0"/>
        <v>1.3890001959981717</v>
      </c>
      <c r="C25" s="16">
        <f t="shared" si="1"/>
        <v>1.9617123717299807</v>
      </c>
      <c r="F25" s="4"/>
      <c r="G25" s="17">
        <v>1.8817730793584326</v>
      </c>
      <c r="H25" s="17">
        <v>2.298133329356934</v>
      </c>
      <c r="I25" s="4"/>
      <c r="J25" s="4"/>
      <c r="L25" s="16">
        <v>1.505418463486746</v>
      </c>
      <c r="M25" s="16">
        <v>1.8385066634855471</v>
      </c>
      <c r="P25" s="4"/>
      <c r="Q25" s="17"/>
      <c r="R25" s="17"/>
      <c r="S25" s="4"/>
      <c r="T25" s="4"/>
    </row>
    <row r="26" spans="2:20" ht="12.75">
      <c r="B26" s="16">
        <f t="shared" si="0"/>
        <v>1.2031868182337353</v>
      </c>
      <c r="C26" s="16">
        <f t="shared" si="1"/>
        <v>2.217746978124769</v>
      </c>
      <c r="F26" s="4"/>
      <c r="G26" s="17">
        <v>1.6762629052539042</v>
      </c>
      <c r="H26" s="17">
        <v>2.598076211353316</v>
      </c>
      <c r="I26" s="4"/>
      <c r="J26" s="4"/>
      <c r="L26" s="16">
        <v>1.3410103242031233</v>
      </c>
      <c r="M26" s="16">
        <v>2.0784609690826525</v>
      </c>
      <c r="P26" s="4"/>
      <c r="Q26" s="17"/>
      <c r="R26" s="17"/>
      <c r="S26" s="4"/>
      <c r="T26" s="4"/>
    </row>
    <row r="27" spans="2:20" ht="12.75">
      <c r="B27" s="16">
        <f t="shared" si="0"/>
        <v>1.0295176752044701</v>
      </c>
      <c r="C27" s="16">
        <f t="shared" si="1"/>
        <v>2.4063964648233567</v>
      </c>
      <c r="F27" s="4"/>
      <c r="G27" s="17">
        <v>1.4731920141307955</v>
      </c>
      <c r="H27" s="17">
        <v>2.819077862357725</v>
      </c>
      <c r="I27" s="4"/>
      <c r="J27" s="4"/>
      <c r="L27" s="16">
        <v>1.1785536113046364</v>
      </c>
      <c r="M27" s="16">
        <v>2.25526228988618</v>
      </c>
      <c r="P27" s="4"/>
      <c r="Q27" s="17"/>
      <c r="R27" s="17"/>
      <c r="S27" s="4"/>
      <c r="T27" s="4"/>
    </row>
    <row r="28" spans="2:20" ht="12.75">
      <c r="B28" s="16">
        <f t="shared" si="0"/>
        <v>0.8764587610068112</v>
      </c>
      <c r="C28" s="16">
        <f t="shared" si="1"/>
        <v>2.5219288126336523</v>
      </c>
      <c r="F28" s="4"/>
      <c r="G28" s="17">
        <v>1.2823655431412597</v>
      </c>
      <c r="H28" s="17">
        <v>2.954423259036624</v>
      </c>
      <c r="I28" s="4"/>
      <c r="J28" s="4"/>
      <c r="L28" s="16">
        <v>1.0258924345130078</v>
      </c>
      <c r="M28" s="16">
        <v>2.363538607229299</v>
      </c>
      <c r="P28" s="4"/>
      <c r="Q28" s="17"/>
      <c r="R28" s="17"/>
      <c r="S28" s="4"/>
      <c r="T28" s="4"/>
    </row>
    <row r="29" spans="2:20" ht="12.75">
      <c r="B29" s="16">
        <f t="shared" si="0"/>
        <v>0.7482860212839717</v>
      </c>
      <c r="C29" s="16">
        <f t="shared" si="1"/>
        <v>2.5608336296296295</v>
      </c>
      <c r="F29" s="4"/>
      <c r="G29" s="17">
        <v>1.1105816576913496</v>
      </c>
      <c r="H29" s="17">
        <v>3</v>
      </c>
      <c r="I29" s="4"/>
      <c r="J29" s="4"/>
      <c r="L29" s="16">
        <v>0.8884653261530797</v>
      </c>
      <c r="M29" s="16">
        <v>2.4</v>
      </c>
      <c r="P29" s="4"/>
      <c r="Q29" s="17"/>
      <c r="R29" s="17"/>
      <c r="S29" s="4"/>
      <c r="T29" s="4"/>
    </row>
    <row r="30" spans="2:20" ht="12.75">
      <c r="B30" s="16">
        <f t="shared" si="0"/>
        <v>0.6457294633110695</v>
      </c>
      <c r="C30" s="16">
        <f t="shared" si="1"/>
        <v>2.5219288126336523</v>
      </c>
      <c r="F30" s="4"/>
      <c r="G30" s="17">
        <v>0.9616684668274168</v>
      </c>
      <c r="H30" s="17">
        <v>2.954423259036624</v>
      </c>
      <c r="I30" s="4"/>
      <c r="J30" s="4"/>
      <c r="L30" s="16">
        <v>0.7693347734619334</v>
      </c>
      <c r="M30" s="16">
        <v>2.363538607229299</v>
      </c>
      <c r="P30" s="4"/>
      <c r="Q30" s="17"/>
      <c r="R30" s="17"/>
      <c r="S30" s="4"/>
      <c r="T30" s="4"/>
    </row>
    <row r="31" spans="2:20" ht="12.75">
      <c r="B31" s="16">
        <f t="shared" si="0"/>
        <v>0.5669848633453701</v>
      </c>
      <c r="C31" s="16">
        <f t="shared" si="1"/>
        <v>2.4063964648233567</v>
      </c>
      <c r="F31" s="4"/>
      <c r="G31" s="17">
        <v>0.8369072986978637</v>
      </c>
      <c r="H31" s="17">
        <v>2.8190778623577253</v>
      </c>
      <c r="I31" s="4"/>
      <c r="J31" s="4"/>
      <c r="L31" s="16">
        <v>0.669525838958291</v>
      </c>
      <c r="M31" s="16">
        <v>2.25526228988618</v>
      </c>
      <c r="P31" s="4"/>
      <c r="Q31" s="17"/>
      <c r="R31" s="17"/>
      <c r="S31" s="4"/>
      <c r="T31" s="4"/>
    </row>
    <row r="32" spans="2:20" ht="12.75">
      <c r="B32" s="16">
        <f t="shared" si="0"/>
        <v>0.5087785831047803</v>
      </c>
      <c r="C32" s="16">
        <f t="shared" si="1"/>
        <v>2.2177469781247696</v>
      </c>
      <c r="F32" s="4"/>
      <c r="G32" s="17">
        <v>0.7356653001178982</v>
      </c>
      <c r="H32" s="17">
        <v>2.598076211353316</v>
      </c>
      <c r="I32" s="4"/>
      <c r="J32" s="4"/>
      <c r="L32" s="16">
        <v>0.5885322400943186</v>
      </c>
      <c r="M32" s="16">
        <v>2.078460969082653</v>
      </c>
      <c r="P32" s="4"/>
      <c r="Q32" s="17"/>
      <c r="R32" s="17"/>
      <c r="S32" s="4"/>
      <c r="T32" s="4"/>
    </row>
    <row r="33" spans="2:20" ht="12.75">
      <c r="B33" s="16">
        <f t="shared" si="0"/>
        <v>0.4672754933665306</v>
      </c>
      <c r="C33" s="16">
        <f t="shared" si="1"/>
        <v>1.9617123717299814</v>
      </c>
      <c r="F33" s="4"/>
      <c r="G33" s="17">
        <v>0.656079638456433</v>
      </c>
      <c r="H33" s="17">
        <v>2.2981333293569346</v>
      </c>
      <c r="I33" s="4"/>
      <c r="J33" s="4"/>
      <c r="L33" s="16">
        <v>0.5248637107651465</v>
      </c>
      <c r="M33" s="16">
        <v>1.8385066634855476</v>
      </c>
      <c r="P33" s="4"/>
      <c r="Q33" s="17"/>
      <c r="R33" s="17"/>
      <c r="S33" s="4"/>
      <c r="T33" s="4"/>
    </row>
    <row r="34" spans="2:20" ht="12.75">
      <c r="B34" s="16">
        <f t="shared" si="0"/>
        <v>0.4387355914136841</v>
      </c>
      <c r="C34" s="16">
        <f t="shared" si="1"/>
        <v>1.6460721275945354</v>
      </c>
      <c r="F34" s="4"/>
      <c r="G34" s="17">
        <v>0.595681838583111</v>
      </c>
      <c r="H34" s="17">
        <v>1.9283628290596195</v>
      </c>
      <c r="I34" s="4"/>
      <c r="J34" s="4"/>
      <c r="L34" s="16">
        <v>0.4765454708664888</v>
      </c>
      <c r="M34" s="16">
        <v>1.5426902632476955</v>
      </c>
      <c r="P34" s="4"/>
      <c r="Q34" s="17"/>
      <c r="R34" s="17"/>
      <c r="S34" s="4"/>
      <c r="T34" s="4"/>
    </row>
    <row r="35" spans="2:20" ht="12.75">
      <c r="B35" s="16">
        <f t="shared" si="0"/>
        <v>0.4199153823394556</v>
      </c>
      <c r="C35" s="16">
        <f t="shared" si="1"/>
        <v>1.2804168148148167</v>
      </c>
      <c r="F35" s="4"/>
      <c r="G35" s="17">
        <v>0.5519027807918754</v>
      </c>
      <c r="H35" s="17">
        <v>1.5</v>
      </c>
      <c r="I35" s="4"/>
      <c r="J35" s="4"/>
      <c r="L35" s="16">
        <v>0.4415222246335003</v>
      </c>
      <c r="M35" s="16">
        <v>1.2</v>
      </c>
      <c r="P35" s="4"/>
      <c r="Q35" s="17"/>
      <c r="R35" s="17"/>
      <c r="S35" s="4"/>
      <c r="T35" s="4"/>
    </row>
    <row r="36" spans="2:20" ht="12.75">
      <c r="B36" s="16">
        <f t="shared" si="0"/>
        <v>0.40826329746527545</v>
      </c>
      <c r="C36" s="16">
        <f t="shared" si="1"/>
        <v>0.8758566850391208</v>
      </c>
      <c r="F36" s="4"/>
      <c r="G36" s="17">
        <v>0.522442237011513</v>
      </c>
      <c r="H36" s="17">
        <v>1.026060429977009</v>
      </c>
      <c r="I36" s="4"/>
      <c r="J36" s="4"/>
      <c r="L36" s="16">
        <v>0.4179537896092105</v>
      </c>
      <c r="M36" s="16">
        <v>0.8208483439816073</v>
      </c>
      <c r="P36" s="4"/>
      <c r="Q36" s="17"/>
      <c r="R36" s="17"/>
      <c r="S36" s="4"/>
      <c r="T36" s="4"/>
    </row>
    <row r="37" spans="2:20" ht="12.75">
      <c r="B37" s="16">
        <f t="shared" si="0"/>
        <v>0.40197849633287663</v>
      </c>
      <c r="C37" s="16">
        <f t="shared" si="1"/>
        <v>0.44468409309337914</v>
      </c>
      <c r="F37" s="4"/>
      <c r="G37" s="17">
        <v>0.5055151594301392</v>
      </c>
      <c r="H37" s="17">
        <v>0.5209445330007947</v>
      </c>
      <c r="I37" s="4"/>
      <c r="J37" s="4"/>
      <c r="L37" s="16">
        <v>0.4044121275441114</v>
      </c>
      <c r="M37" s="16">
        <v>0.4167556264006358</v>
      </c>
      <c r="P37" s="4"/>
      <c r="Q37" s="17"/>
      <c r="R37" s="17"/>
      <c r="S37" s="4"/>
      <c r="T37" s="4"/>
    </row>
    <row r="38" spans="2:20" ht="12.75">
      <c r="B38" s="16">
        <f t="shared" si="0"/>
        <v>0.4</v>
      </c>
      <c r="C38" s="16">
        <f t="shared" si="1"/>
        <v>3.725327420186553E-15</v>
      </c>
      <c r="F38" s="4"/>
      <c r="G38" s="17">
        <v>0.5</v>
      </c>
      <c r="H38" s="17">
        <v>4.36419692839477E-15</v>
      </c>
      <c r="I38" s="4"/>
      <c r="J38" s="4"/>
      <c r="L38" s="16">
        <v>0.4</v>
      </c>
      <c r="M38" s="16">
        <v>3.4913575427158154E-15</v>
      </c>
      <c r="P38" s="4"/>
      <c r="Q38" s="17"/>
      <c r="R38" s="17"/>
      <c r="S38" s="4"/>
      <c r="T38" s="4"/>
    </row>
    <row r="39" spans="2:20" ht="12.75">
      <c r="B39" s="16">
        <f t="shared" si="0"/>
        <v>0.40197849633287663</v>
      </c>
      <c r="C39" s="16">
        <f t="shared" si="1"/>
        <v>-0.4446840930933718</v>
      </c>
      <c r="F39" s="4"/>
      <c r="G39" s="17">
        <v>0.5055151594301391</v>
      </c>
      <c r="H39" s="17">
        <v>-0.5209445330007861</v>
      </c>
      <c r="I39" s="4"/>
      <c r="J39" s="4"/>
      <c r="L39" s="16">
        <v>0.4044121275441114</v>
      </c>
      <c r="M39" s="16">
        <v>-0.4167556264006289</v>
      </c>
      <c r="P39" s="4"/>
      <c r="Q39" s="17"/>
      <c r="R39" s="17"/>
      <c r="S39" s="4"/>
      <c r="T39" s="4"/>
    </row>
    <row r="40" spans="2:20" ht="12.75">
      <c r="B40" s="16">
        <f t="shared" si="0"/>
        <v>0.40826329746527523</v>
      </c>
      <c r="C40" s="16">
        <f t="shared" si="1"/>
        <v>-0.8758566850391138</v>
      </c>
      <c r="F40" s="4"/>
      <c r="G40" s="17">
        <v>0.5224422370115127</v>
      </c>
      <c r="H40" s="17">
        <v>-1.0260604299770009</v>
      </c>
      <c r="I40" s="4"/>
      <c r="J40" s="4"/>
      <c r="L40" s="16">
        <v>0.41795378960921015</v>
      </c>
      <c r="M40" s="16">
        <v>-0.8208483439816008</v>
      </c>
      <c r="P40" s="4"/>
      <c r="Q40" s="17"/>
      <c r="R40" s="17"/>
      <c r="S40" s="4"/>
      <c r="T40" s="4"/>
    </row>
    <row r="41" spans="2:20" ht="12.75">
      <c r="B41" s="16">
        <f t="shared" si="0"/>
        <v>0.41991538233945525</v>
      </c>
      <c r="C41" s="16">
        <f t="shared" si="1"/>
        <v>-1.2804168148148103</v>
      </c>
      <c r="F41" s="4"/>
      <c r="G41" s="17">
        <v>0.5519027807918747</v>
      </c>
      <c r="H41" s="17">
        <v>-1.4999999999999947</v>
      </c>
      <c r="I41" s="4"/>
      <c r="J41" s="4"/>
      <c r="L41" s="16">
        <v>0.44152222463349977</v>
      </c>
      <c r="M41" s="16">
        <v>-1.2</v>
      </c>
      <c r="P41" s="4"/>
      <c r="Q41" s="17"/>
      <c r="R41" s="17"/>
      <c r="S41" s="4"/>
      <c r="T41" s="4"/>
    </row>
    <row r="42" spans="2:20" ht="12.75">
      <c r="B42" s="16">
        <f t="shared" si="0"/>
        <v>0.4387355914136837</v>
      </c>
      <c r="C42" s="16">
        <f t="shared" si="1"/>
        <v>-1.6460721275945296</v>
      </c>
      <c r="F42" s="4"/>
      <c r="G42" s="17">
        <v>0.5956818385831101</v>
      </c>
      <c r="H42" s="17">
        <v>-1.9283628290596129</v>
      </c>
      <c r="I42" s="4"/>
      <c r="J42" s="4"/>
      <c r="L42" s="16">
        <v>0.47654547086648813</v>
      </c>
      <c r="M42" s="16">
        <v>-1.5426902632476902</v>
      </c>
      <c r="P42" s="4"/>
      <c r="Q42" s="17"/>
      <c r="R42" s="17"/>
      <c r="S42" s="4"/>
      <c r="T42" s="4"/>
    </row>
    <row r="43" spans="2:20" ht="12.75">
      <c r="B43" s="16">
        <f t="shared" si="0"/>
        <v>0.46727549336653007</v>
      </c>
      <c r="C43" s="16">
        <f t="shared" si="1"/>
        <v>-1.9617123717299774</v>
      </c>
      <c r="F43" s="4"/>
      <c r="G43" s="17">
        <v>0.6560796384564322</v>
      </c>
      <c r="H43" s="17">
        <v>-2.29813332935693</v>
      </c>
      <c r="I43" s="4"/>
      <c r="J43" s="4"/>
      <c r="L43" s="16">
        <v>0.5248637107651458</v>
      </c>
      <c r="M43" s="16">
        <v>-1.838506663485544</v>
      </c>
      <c r="P43" s="4"/>
      <c r="Q43" s="17"/>
      <c r="R43" s="17"/>
      <c r="S43" s="4"/>
      <c r="T43" s="4"/>
    </row>
    <row r="44" spans="2:20" ht="12.75">
      <c r="B44" s="16">
        <f t="shared" si="0"/>
        <v>0.5087785831047797</v>
      </c>
      <c r="C44" s="16">
        <f t="shared" si="1"/>
        <v>-2.2177469781247665</v>
      </c>
      <c r="F44" s="4"/>
      <c r="G44" s="17">
        <v>0.7356653001178969</v>
      </c>
      <c r="H44" s="17">
        <v>-2.5980762113533125</v>
      </c>
      <c r="I44" s="4"/>
      <c r="J44" s="4"/>
      <c r="L44" s="16">
        <v>0.5885322400943175</v>
      </c>
      <c r="M44" s="16">
        <v>-2.07846096908265</v>
      </c>
      <c r="P44" s="4"/>
      <c r="Q44" s="17"/>
      <c r="R44" s="17"/>
      <c r="S44" s="4"/>
      <c r="T44" s="4"/>
    </row>
    <row r="45" spans="2:20" ht="12.75">
      <c r="B45" s="16">
        <f t="shared" si="0"/>
        <v>0.5669848633453693</v>
      </c>
      <c r="C45" s="16">
        <f t="shared" si="1"/>
        <v>-2.4063964648233545</v>
      </c>
      <c r="F45" s="4"/>
      <c r="G45" s="17">
        <v>0.8369072986978623</v>
      </c>
      <c r="H45" s="17">
        <v>-2.8190778623577226</v>
      </c>
      <c r="I45" s="4"/>
      <c r="J45" s="4"/>
      <c r="L45" s="16">
        <v>0.6695258389582899</v>
      </c>
      <c r="M45" s="16">
        <v>-2.255262289886178</v>
      </c>
      <c r="P45" s="4"/>
      <c r="Q45" s="17"/>
      <c r="R45" s="17"/>
      <c r="S45" s="4"/>
      <c r="T45" s="4"/>
    </row>
    <row r="46" spans="2:20" ht="12.75">
      <c r="B46" s="16">
        <f t="shared" si="0"/>
        <v>0.6457294633110682</v>
      </c>
      <c r="C46" s="16">
        <f t="shared" si="1"/>
        <v>-2.521928812633651</v>
      </c>
      <c r="F46" s="4"/>
      <c r="G46" s="17">
        <v>0.9616684668274151</v>
      </c>
      <c r="H46" s="17">
        <v>-2.9544232590366226</v>
      </c>
      <c r="I46" s="4"/>
      <c r="J46" s="4"/>
      <c r="L46" s="16">
        <v>0.769334773461932</v>
      </c>
      <c r="M46" s="16">
        <v>-2.363538607229298</v>
      </c>
      <c r="P46" s="4"/>
      <c r="Q46" s="17"/>
      <c r="R46" s="17"/>
      <c r="S46" s="4"/>
      <c r="T46" s="4"/>
    </row>
    <row r="47" spans="2:20" ht="12.75">
      <c r="B47" s="16">
        <f t="shared" si="0"/>
        <v>0.7482860212839699</v>
      </c>
      <c r="C47" s="16">
        <f t="shared" si="1"/>
        <v>-2.5608336296296295</v>
      </c>
      <c r="F47" s="4"/>
      <c r="G47" s="17">
        <v>1.1105816576913465</v>
      </c>
      <c r="H47" s="17">
        <v>-3</v>
      </c>
      <c r="I47" s="4"/>
      <c r="J47" s="4"/>
      <c r="L47" s="16">
        <v>0.8884653261530773</v>
      </c>
      <c r="M47" s="16">
        <v>-2.4</v>
      </c>
      <c r="P47" s="4"/>
      <c r="Q47" s="17"/>
      <c r="R47" s="17"/>
      <c r="S47" s="4"/>
      <c r="T47" s="4"/>
    </row>
    <row r="48" spans="2:20" ht="12.75">
      <c r="B48" s="16">
        <f t="shared" si="0"/>
        <v>0.8764587610068084</v>
      </c>
      <c r="C48" s="16">
        <f t="shared" si="1"/>
        <v>-2.5219288126336536</v>
      </c>
      <c r="F48" s="4"/>
      <c r="G48" s="17">
        <v>1.2823655431412562</v>
      </c>
      <c r="H48" s="17">
        <v>-2.9544232590366257</v>
      </c>
      <c r="I48" s="4"/>
      <c r="J48" s="4"/>
      <c r="L48" s="16">
        <v>1.025892434513005</v>
      </c>
      <c r="M48" s="16">
        <v>-2.3635386072293003</v>
      </c>
      <c r="P48" s="4"/>
      <c r="Q48" s="17"/>
      <c r="R48" s="17"/>
      <c r="S48" s="4"/>
      <c r="T48" s="4"/>
    </row>
    <row r="49" spans="2:20" ht="12.75">
      <c r="B49" s="16">
        <f t="shared" si="0"/>
        <v>1.029517675204467</v>
      </c>
      <c r="C49" s="16">
        <f t="shared" si="1"/>
        <v>-2.40639646482336</v>
      </c>
      <c r="F49" s="4"/>
      <c r="G49" s="17">
        <v>1.4731920141307915</v>
      </c>
      <c r="H49" s="17">
        <v>-2.8190778623577284</v>
      </c>
      <c r="I49" s="4"/>
      <c r="J49" s="4"/>
      <c r="L49" s="16">
        <v>1.1785536113046333</v>
      </c>
      <c r="M49" s="16">
        <v>-2.2552622898861827</v>
      </c>
      <c r="P49" s="4"/>
      <c r="Q49" s="17"/>
      <c r="R49" s="17"/>
      <c r="S49" s="4"/>
      <c r="T49" s="4"/>
    </row>
    <row r="50" spans="2:20" ht="12.75">
      <c r="B50" s="16">
        <f t="shared" si="0"/>
        <v>1.203186818233732</v>
      </c>
      <c r="C50" s="16">
        <f t="shared" si="1"/>
        <v>-2.217746978124774</v>
      </c>
      <c r="F50" s="4"/>
      <c r="G50" s="17">
        <v>1.6762629052539002</v>
      </c>
      <c r="H50" s="17">
        <v>-2.5980762113533213</v>
      </c>
      <c r="I50" s="4"/>
      <c r="J50" s="4"/>
      <c r="L50" s="16">
        <v>1.34101032420312</v>
      </c>
      <c r="M50" s="16">
        <v>-2.078460969082657</v>
      </c>
      <c r="P50" s="4"/>
      <c r="Q50" s="17"/>
      <c r="R50" s="17"/>
      <c r="S50" s="4"/>
      <c r="T50" s="4"/>
    </row>
    <row r="51" spans="2:20" ht="12.75">
      <c r="B51" s="16">
        <f t="shared" si="0"/>
        <v>1.3890001959981677</v>
      </c>
      <c r="C51" s="16">
        <f t="shared" si="1"/>
        <v>-1.9617123717299867</v>
      </c>
      <c r="F51" s="4"/>
      <c r="G51" s="17">
        <v>1.8817730793584282</v>
      </c>
      <c r="H51" s="17">
        <v>-2.298133329356941</v>
      </c>
      <c r="I51" s="4"/>
      <c r="J51" s="4"/>
      <c r="L51" s="16">
        <v>1.5054184634867425</v>
      </c>
      <c r="M51" s="16">
        <v>-1.8385066634855527</v>
      </c>
      <c r="P51" s="4"/>
      <c r="Q51" s="17"/>
      <c r="R51" s="17"/>
      <c r="S51" s="4"/>
      <c r="T51" s="4"/>
    </row>
    <row r="52" spans="2:20" ht="12.75">
      <c r="B52" s="16">
        <f t="shared" si="0"/>
        <v>1.5743758071985607</v>
      </c>
      <c r="C52" s="16">
        <f t="shared" si="1"/>
        <v>-1.6460721275945418</v>
      </c>
      <c r="F52" s="4"/>
      <c r="G52" s="17">
        <v>2.0774073192149647</v>
      </c>
      <c r="H52" s="17">
        <v>-1.928362829059627</v>
      </c>
      <c r="I52" s="4"/>
      <c r="J52" s="4"/>
      <c r="L52" s="16">
        <v>1.6619258553719718</v>
      </c>
      <c r="M52" s="16">
        <v>-1.5426902632477015</v>
      </c>
      <c r="P52" s="4"/>
      <c r="Q52" s="17"/>
      <c r="R52" s="17"/>
      <c r="S52" s="4"/>
      <c r="T52" s="4"/>
    </row>
    <row r="53" spans="2:20" ht="12.75">
      <c r="B53" s="16">
        <f t="shared" si="0"/>
        <v>1.743668452331469</v>
      </c>
      <c r="C53" s="16">
        <f t="shared" si="1"/>
        <v>-1.2804168148148238</v>
      </c>
      <c r="F53" s="4"/>
      <c r="G53" s="17">
        <v>2.2494278884130603</v>
      </c>
      <c r="H53" s="17">
        <v>-1.5000000000000107</v>
      </c>
      <c r="I53" s="4"/>
      <c r="J53" s="4"/>
      <c r="L53" s="16">
        <v>1.7995423107304482</v>
      </c>
      <c r="M53" s="16">
        <v>-1.2000000000000084</v>
      </c>
      <c r="P53" s="4"/>
      <c r="Q53" s="17"/>
      <c r="R53" s="17"/>
      <c r="S53" s="4"/>
      <c r="T53" s="4"/>
    </row>
    <row r="54" spans="2:20" ht="12.75">
      <c r="B54" s="16">
        <f t="shared" si="0"/>
        <v>1.8802245642058828</v>
      </c>
      <c r="C54" s="16">
        <f t="shared" si="1"/>
        <v>-0.8758566850391287</v>
      </c>
      <c r="F54" s="4"/>
      <c r="G54" s="17">
        <v>2.3842671882520574</v>
      </c>
      <c r="H54" s="17">
        <v>-1.0260604299770182</v>
      </c>
      <c r="I54" s="4"/>
      <c r="J54" s="4"/>
      <c r="L54" s="16">
        <v>1.9074137506016458</v>
      </c>
      <c r="M54" s="16">
        <v>-0.8208483439816147</v>
      </c>
      <c r="P54" s="4"/>
      <c r="Q54" s="17"/>
      <c r="R54" s="17"/>
      <c r="S54" s="4"/>
      <c r="T54" s="4"/>
    </row>
    <row r="55" spans="2:20" ht="12.75">
      <c r="B55" s="16">
        <f t="shared" si="0"/>
        <v>1.9691263057374857</v>
      </c>
      <c r="C55" s="16">
        <f t="shared" si="1"/>
        <v>-0.44468409309338736</v>
      </c>
      <c r="F55" s="4"/>
      <c r="G55" s="17">
        <v>2.4703812814321777</v>
      </c>
      <c r="H55" s="17">
        <v>-0.5209445330008043</v>
      </c>
      <c r="I55" s="4"/>
      <c r="J55" s="4"/>
      <c r="L55" s="16">
        <v>1.976305025145742</v>
      </c>
      <c r="M55" s="16">
        <v>-0.41675562640064345</v>
      </c>
      <c r="P55" s="4"/>
      <c r="Q55" s="17"/>
      <c r="R55" s="17"/>
      <c r="S55" s="4"/>
      <c r="T55" s="4"/>
    </row>
    <row r="56" spans="2:20" ht="12.75">
      <c r="B56" s="16">
        <f t="shared" si="0"/>
        <v>2</v>
      </c>
      <c r="C56" s="16">
        <f t="shared" si="1"/>
        <v>-1.1999609172931865E-14</v>
      </c>
      <c r="F56" s="4"/>
      <c r="G56" s="17">
        <v>2.5</v>
      </c>
      <c r="H56" s="17">
        <v>-1.405746437499029E-14</v>
      </c>
      <c r="I56" s="4"/>
      <c r="J56" s="4"/>
      <c r="L56" s="16">
        <v>2</v>
      </c>
      <c r="M56" s="16">
        <v>-1.1245971499992232E-14</v>
      </c>
      <c r="P56" s="4"/>
      <c r="Q56" s="17"/>
      <c r="R56" s="17"/>
      <c r="S56" s="4"/>
      <c r="T56" s="4"/>
    </row>
    <row r="70" spans="1:3" ht="12.75">
      <c r="A70" s="16" t="s">
        <v>309</v>
      </c>
      <c r="B70" s="16">
        <v>10</v>
      </c>
      <c r="C70" s="16"/>
    </row>
    <row r="71" spans="1:3" ht="12.75">
      <c r="A71" s="16" t="s">
        <v>2</v>
      </c>
      <c r="B71" s="17">
        <f>R0</f>
        <v>1.2</v>
      </c>
      <c r="C71" s="17"/>
    </row>
    <row r="72" spans="1:3" ht="12.75">
      <c r="A72" s="16" t="s">
        <v>335</v>
      </c>
      <c r="B72" s="17">
        <f>A</f>
        <v>1.5</v>
      </c>
      <c r="C72" s="17"/>
    </row>
    <row r="73" spans="1:3" ht="12.75">
      <c r="A73" s="16" t="s">
        <v>310</v>
      </c>
      <c r="B73" s="17">
        <f>B71/B72</f>
        <v>0.7999999999999999</v>
      </c>
      <c r="C73" s="17"/>
    </row>
    <row r="74" spans="1:3" ht="12.75">
      <c r="A74" s="16" t="s">
        <v>673</v>
      </c>
      <c r="B74" s="17">
        <f>kappa</f>
        <v>3.2010420370370367</v>
      </c>
      <c r="C74" s="17"/>
    </row>
    <row r="75" spans="1:3" ht="12.75">
      <c r="A75" s="16" t="s">
        <v>674</v>
      </c>
      <c r="B75" s="17">
        <f>delta</f>
        <v>0.6</v>
      </c>
      <c r="C75" s="17"/>
    </row>
    <row r="76" spans="1:3" ht="12.75">
      <c r="A76" t="s">
        <v>43</v>
      </c>
      <c r="B76" t="s">
        <v>675</v>
      </c>
      <c r="C76" t="s">
        <v>676</v>
      </c>
    </row>
    <row r="77" ht="12.75">
      <c r="A77">
        <v>0</v>
      </c>
    </row>
    <row r="78" ht="12.75">
      <c r="A78">
        <f>A77+dTheta*PI()/180</f>
        <v>0.17453292519943295</v>
      </c>
    </row>
    <row r="79" ht="12.75">
      <c r="A79">
        <f aca="true" t="shared" si="2" ref="A79:A113">A78+dTheta*PI()/180</f>
        <v>0.3490658503988659</v>
      </c>
    </row>
    <row r="80" ht="12.75">
      <c r="A80">
        <f t="shared" si="2"/>
        <v>0.5235987755982988</v>
      </c>
    </row>
    <row r="81" ht="12.75">
      <c r="A81">
        <f t="shared" si="2"/>
        <v>0.6981317007977318</v>
      </c>
    </row>
    <row r="82" ht="12.75">
      <c r="A82">
        <f t="shared" si="2"/>
        <v>0.8726646259971648</v>
      </c>
    </row>
    <row r="83" ht="12.75">
      <c r="A83">
        <f t="shared" si="2"/>
        <v>1.0471975511965976</v>
      </c>
    </row>
    <row r="84" ht="12.75">
      <c r="A84">
        <f t="shared" si="2"/>
        <v>1.2217304763960306</v>
      </c>
    </row>
    <row r="85" ht="12.75">
      <c r="A85">
        <f t="shared" si="2"/>
        <v>1.3962634015954636</v>
      </c>
    </row>
    <row r="86" ht="12.75">
      <c r="A86">
        <f t="shared" si="2"/>
        <v>1.5707963267948966</v>
      </c>
    </row>
    <row r="87" ht="12.75">
      <c r="A87">
        <f t="shared" si="2"/>
        <v>1.7453292519943295</v>
      </c>
    </row>
    <row r="88" ht="12.75">
      <c r="A88">
        <f t="shared" si="2"/>
        <v>1.9198621771937625</v>
      </c>
    </row>
    <row r="89" ht="12.75">
      <c r="A89">
        <f t="shared" si="2"/>
        <v>2.0943951023931953</v>
      </c>
    </row>
    <row r="90" ht="12.75">
      <c r="A90">
        <f t="shared" si="2"/>
        <v>2.268928027592628</v>
      </c>
    </row>
    <row r="91" ht="12.75">
      <c r="A91">
        <f t="shared" si="2"/>
        <v>2.4434609527920608</v>
      </c>
    </row>
    <row r="92" ht="12.75">
      <c r="A92">
        <f t="shared" si="2"/>
        <v>2.6179938779914935</v>
      </c>
    </row>
    <row r="93" ht="12.75">
      <c r="A93">
        <f t="shared" si="2"/>
        <v>2.7925268031909263</v>
      </c>
    </row>
    <row r="94" ht="12.75">
      <c r="A94">
        <f t="shared" si="2"/>
        <v>2.967059728390359</v>
      </c>
    </row>
    <row r="95" ht="12.75">
      <c r="A95">
        <f t="shared" si="2"/>
        <v>3.141592653589792</v>
      </c>
    </row>
    <row r="96" ht="12.75">
      <c r="A96">
        <f t="shared" si="2"/>
        <v>3.3161255787892245</v>
      </c>
    </row>
    <row r="97" ht="12.75">
      <c r="A97">
        <f t="shared" si="2"/>
        <v>3.4906585039886573</v>
      </c>
    </row>
    <row r="98" ht="12.75">
      <c r="A98">
        <f t="shared" si="2"/>
        <v>3.66519142918809</v>
      </c>
    </row>
    <row r="99" ht="12.75">
      <c r="A99">
        <f t="shared" si="2"/>
        <v>3.839724354387523</v>
      </c>
    </row>
    <row r="100" ht="12.75">
      <c r="A100">
        <f t="shared" si="2"/>
        <v>4.014257279586956</v>
      </c>
    </row>
    <row r="101" ht="12.75">
      <c r="A101">
        <f t="shared" si="2"/>
        <v>4.188790204786389</v>
      </c>
    </row>
    <row r="102" ht="12.75">
      <c r="A102">
        <f t="shared" si="2"/>
        <v>4.3633231299858215</v>
      </c>
    </row>
    <row r="103" ht="12.75">
      <c r="A103">
        <f t="shared" si="2"/>
        <v>4.537856055185254</v>
      </c>
    </row>
    <row r="104" ht="12.75">
      <c r="A104">
        <f t="shared" si="2"/>
        <v>4.712388980384687</v>
      </c>
    </row>
    <row r="105" ht="12.75">
      <c r="A105">
        <f t="shared" si="2"/>
        <v>4.88692190558412</v>
      </c>
    </row>
    <row r="106" ht="12.75">
      <c r="A106">
        <f t="shared" si="2"/>
        <v>5.0614548307835525</v>
      </c>
    </row>
    <row r="107" ht="12.75">
      <c r="A107">
        <f t="shared" si="2"/>
        <v>5.235987755982985</v>
      </c>
    </row>
    <row r="108" ht="12.75">
      <c r="A108">
        <f t="shared" si="2"/>
        <v>5.410520681182418</v>
      </c>
    </row>
    <row r="109" ht="12.75">
      <c r="A109">
        <f t="shared" si="2"/>
        <v>5.585053606381851</v>
      </c>
    </row>
    <row r="110" ht="12.75">
      <c r="A110">
        <f t="shared" si="2"/>
        <v>5.7595865315812835</v>
      </c>
    </row>
    <row r="111" ht="12.75">
      <c r="A111">
        <f t="shared" si="2"/>
        <v>5.934119456780716</v>
      </c>
    </row>
    <row r="112" ht="12.75">
      <c r="A112">
        <f t="shared" si="2"/>
        <v>6.108652381980149</v>
      </c>
    </row>
    <row r="113" ht="12.75">
      <c r="A113">
        <f t="shared" si="2"/>
        <v>6.283185307179582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69"/>
  <sheetViews>
    <sheetView workbookViewId="0" topLeftCell="A1">
      <selection activeCell="B15" sqref="B15"/>
    </sheetView>
  </sheetViews>
  <sheetFormatPr defaultColWidth="11.00390625" defaultRowHeight="12"/>
  <cols>
    <col min="2" max="2" width="12.00390625" style="0" bestFit="1" customWidth="1"/>
    <col min="5" max="5" width="12.00390625" style="0" bestFit="1" customWidth="1"/>
  </cols>
  <sheetData>
    <row r="1" spans="1:3" ht="12.75">
      <c r="A1" t="s">
        <v>88</v>
      </c>
      <c r="B1">
        <v>0.001</v>
      </c>
      <c r="C1" t="s">
        <v>706</v>
      </c>
    </row>
    <row r="2" spans="1:3" ht="12.75">
      <c r="A2" t="s">
        <v>687</v>
      </c>
      <c r="B2">
        <f>TF_outer!B10</f>
        <v>3.786017290042659</v>
      </c>
      <c r="C2" t="s">
        <v>706</v>
      </c>
    </row>
    <row r="3" spans="1:3" ht="12.75">
      <c r="A3" t="s">
        <v>688</v>
      </c>
      <c r="B3">
        <f>TF_outer!B4</f>
        <v>3.786017290042659</v>
      </c>
      <c r="C3" t="s">
        <v>706</v>
      </c>
    </row>
    <row r="4" spans="1:3" ht="12.75">
      <c r="A4" t="s">
        <v>689</v>
      </c>
      <c r="B4" s="12">
        <f>router1+TF_outer!B6</f>
        <v>4.386017290042659</v>
      </c>
      <c r="C4" t="s">
        <v>706</v>
      </c>
    </row>
    <row r="5" spans="1:3" ht="12.75">
      <c r="A5" t="s">
        <v>690</v>
      </c>
      <c r="B5">
        <f>Base!B45/2+Base!B46</f>
        <v>6.676126489116337</v>
      </c>
      <c r="C5" t="s">
        <v>706</v>
      </c>
    </row>
    <row r="6" spans="1:3" ht="12.75">
      <c r="A6" t="s">
        <v>691</v>
      </c>
      <c r="B6">
        <f>2*B5</f>
        <v>13.352252978232674</v>
      </c>
      <c r="C6" t="s">
        <v>706</v>
      </c>
    </row>
    <row r="7" spans="1:3" ht="12.75">
      <c r="A7" t="s">
        <v>51</v>
      </c>
      <c r="B7">
        <f>TF_outer!B5</f>
        <v>6.676126489116337</v>
      </c>
      <c r="C7" t="s">
        <v>706</v>
      </c>
    </row>
    <row r="8" spans="1:5" ht="12.75">
      <c r="A8" t="s">
        <v>239</v>
      </c>
      <c r="B8">
        <f>-(halfht-B7)/(router1+(router2-router1)/2-rinner2)</f>
        <v>0</v>
      </c>
      <c r="E8" t="s">
        <v>39</v>
      </c>
    </row>
    <row r="9" spans="1:3" ht="12.75">
      <c r="A9" t="s">
        <v>240</v>
      </c>
      <c r="B9">
        <f>router1+(router2-router1)/2</f>
        <v>4.086017290042659</v>
      </c>
      <c r="C9" t="s">
        <v>706</v>
      </c>
    </row>
    <row r="10" spans="1:3" ht="12.75">
      <c r="A10" t="s">
        <v>513</v>
      </c>
      <c r="B10">
        <f>F69</f>
        <v>2.8372977405065153E-06</v>
      </c>
      <c r="C10" t="s">
        <v>514</v>
      </c>
    </row>
    <row r="11" spans="1:2" ht="12.75">
      <c r="A11" t="s">
        <v>515</v>
      </c>
      <c r="B11">
        <v>1</v>
      </c>
    </row>
    <row r="12" spans="1:2" ht="12.75">
      <c r="A12" t="s">
        <v>516</v>
      </c>
      <c r="B12">
        <v>1</v>
      </c>
    </row>
    <row r="13" spans="1:3" ht="12.75">
      <c r="A13" t="s">
        <v>389</v>
      </c>
      <c r="B13" s="26">
        <f>(B11*B12)^2*B10</f>
        <v>2.8372977405065153E-06</v>
      </c>
      <c r="C13" t="s">
        <v>559</v>
      </c>
    </row>
    <row r="14" spans="1:3" ht="12.75">
      <c r="A14" t="s">
        <v>325</v>
      </c>
      <c r="B14" s="1">
        <f>1/2*B13*Base!B41^2/1000000</f>
        <v>220.09637707414652</v>
      </c>
      <c r="C14" t="s">
        <v>52</v>
      </c>
    </row>
    <row r="16" spans="1:2" ht="12.75">
      <c r="A16" t="s">
        <v>93</v>
      </c>
      <c r="B16">
        <f>router2/50</f>
        <v>0.08772034580085318</v>
      </c>
    </row>
    <row r="17" spans="1:6" ht="12.75">
      <c r="A17" t="s">
        <v>675</v>
      </c>
      <c r="B17" t="s">
        <v>736</v>
      </c>
      <c r="C17" t="s">
        <v>676</v>
      </c>
      <c r="D17" t="s">
        <v>560</v>
      </c>
      <c r="E17" t="s">
        <v>180</v>
      </c>
      <c r="F17" t="s">
        <v>181</v>
      </c>
    </row>
    <row r="18" spans="1:6" ht="12.75">
      <c r="A18">
        <f>rinner1</f>
        <v>0.001</v>
      </c>
      <c r="B18">
        <f>C18/2</f>
        <v>6.676126489116337</v>
      </c>
      <c r="C18">
        <f aca="true" t="shared" si="0" ref="C18:C49">IF(A18&lt;rinner2,height,2*(slope*(A18-rinner2)+halfht))</f>
        <v>13.352252978232674</v>
      </c>
      <c r="D18">
        <f aca="true" t="shared" si="1" ref="D18:D49">IF(A18&lt;rinner2,(A18-rinner1)/(rinner2-rinner1),IF(A18&lt;router1,1,(1-(A18-router1)/(router2-router1))))</f>
        <v>0</v>
      </c>
      <c r="E18">
        <f aca="true" t="shared" si="2" ref="E18:E49">D18*4*PI()*0.0000001/2/PI()/A18</f>
        <v>0</v>
      </c>
      <c r="F18">
        <v>0</v>
      </c>
    </row>
    <row r="19" spans="1:6" ht="12.75">
      <c r="A19">
        <f aca="true" t="shared" si="3" ref="A19:A50">A18+deltaR</f>
        <v>0.08872034580085318</v>
      </c>
      <c r="B19">
        <f aca="true" t="shared" si="4" ref="B19:B69">C19/2</f>
        <v>6.676126489116337</v>
      </c>
      <c r="C19">
        <f t="shared" si="0"/>
        <v>13.352252978232674</v>
      </c>
      <c r="D19">
        <f t="shared" si="1"/>
        <v>0.023175679020442343</v>
      </c>
      <c r="E19">
        <f t="shared" si="2"/>
        <v>5.224433879566658E-08</v>
      </c>
      <c r="F19">
        <f aca="true" t="shared" si="5" ref="F19:F50">F18+deltaR*C18*E18</f>
        <v>0</v>
      </c>
    </row>
    <row r="20" spans="1:6" ht="12.75">
      <c r="A20">
        <f t="shared" si="3"/>
        <v>0.17644069160170636</v>
      </c>
      <c r="B20">
        <f t="shared" si="4"/>
        <v>6.676126489116337</v>
      </c>
      <c r="C20">
        <f t="shared" si="0"/>
        <v>13.352252978232674</v>
      </c>
      <c r="D20">
        <f t="shared" si="1"/>
        <v>0.04635135804088469</v>
      </c>
      <c r="E20">
        <f t="shared" si="2"/>
        <v>5.254044021264358E-08</v>
      </c>
      <c r="F20">
        <f t="shared" si="5"/>
        <v>6.119192621637292E-08</v>
      </c>
    </row>
    <row r="21" spans="1:6" ht="12.75">
      <c r="A21">
        <f t="shared" si="3"/>
        <v>0.26416103740255953</v>
      </c>
      <c r="B21">
        <f t="shared" si="4"/>
        <v>6.676126489116337</v>
      </c>
      <c r="C21">
        <f t="shared" si="0"/>
        <v>13.352252978232674</v>
      </c>
      <c r="D21">
        <f t="shared" si="1"/>
        <v>0.06952703706132703</v>
      </c>
      <c r="E21">
        <f t="shared" si="2"/>
        <v>5.263988795998978E-08</v>
      </c>
      <c r="F21">
        <f t="shared" si="5"/>
        <v>1.227306654363726E-07</v>
      </c>
    </row>
    <row r="22" spans="1:6" ht="12.75">
      <c r="A22">
        <f t="shared" si="3"/>
        <v>0.3518813832034127</v>
      </c>
      <c r="B22">
        <f t="shared" si="4"/>
        <v>6.676126489116337</v>
      </c>
      <c r="C22">
        <f t="shared" si="0"/>
        <v>13.352252978232674</v>
      </c>
      <c r="D22">
        <f t="shared" si="1"/>
        <v>0.09270271608176937</v>
      </c>
      <c r="E22">
        <f t="shared" si="2"/>
        <v>5.2689753142285754E-08</v>
      </c>
      <c r="F22">
        <f t="shared" si="5"/>
        <v>1.843858842474299E-07</v>
      </c>
    </row>
    <row r="23" spans="1:6" ht="12.75">
      <c r="A23">
        <f t="shared" si="3"/>
        <v>0.4396017290042659</v>
      </c>
      <c r="B23">
        <f t="shared" si="4"/>
        <v>6.676126489116337</v>
      </c>
      <c r="C23">
        <f t="shared" si="0"/>
        <v>13.352252978232674</v>
      </c>
      <c r="D23">
        <f t="shared" si="1"/>
        <v>0.1158783951022117</v>
      </c>
      <c r="E23">
        <f t="shared" si="2"/>
        <v>5.271971762471717E-08</v>
      </c>
      <c r="F23">
        <f t="shared" si="5"/>
        <v>2.4609950836375393E-07</v>
      </c>
    </row>
    <row r="24" spans="1:6" ht="12.75">
      <c r="A24">
        <f t="shared" si="3"/>
        <v>0.5273220748051191</v>
      </c>
      <c r="B24">
        <f t="shared" si="4"/>
        <v>6.676126489116337</v>
      </c>
      <c r="C24">
        <f t="shared" si="0"/>
        <v>13.352252978232674</v>
      </c>
      <c r="D24">
        <f t="shared" si="1"/>
        <v>0.13905407412265405</v>
      </c>
      <c r="E24">
        <f t="shared" si="2"/>
        <v>5.273971288762901E-08</v>
      </c>
      <c r="F24">
        <f t="shared" si="5"/>
        <v>3.078482288070738E-07</v>
      </c>
    </row>
    <row r="25" spans="1:6" ht="12.75">
      <c r="A25">
        <f t="shared" si="3"/>
        <v>0.6150424206059723</v>
      </c>
      <c r="B25">
        <f t="shared" si="4"/>
        <v>6.676126489116337</v>
      </c>
      <c r="C25">
        <f t="shared" si="0"/>
        <v>13.352252978232674</v>
      </c>
      <c r="D25">
        <f t="shared" si="1"/>
        <v>0.1622297531430964</v>
      </c>
      <c r="E25">
        <f t="shared" si="2"/>
        <v>5.2754004506960374E-08</v>
      </c>
      <c r="F25">
        <f t="shared" si="5"/>
        <v>3.696203689869811E-07</v>
      </c>
    </row>
    <row r="26" spans="1:6" ht="12.75">
      <c r="A26">
        <f t="shared" si="3"/>
        <v>0.7027627664068254</v>
      </c>
      <c r="B26">
        <f t="shared" si="4"/>
        <v>6.676126489116337</v>
      </c>
      <c r="C26">
        <f t="shared" si="0"/>
        <v>13.352252978232674</v>
      </c>
      <c r="D26">
        <f t="shared" si="1"/>
        <v>0.18540543216353875</v>
      </c>
      <c r="E26">
        <f t="shared" si="2"/>
        <v>5.2764728305542746E-08</v>
      </c>
      <c r="F26">
        <f t="shared" si="5"/>
        <v>4.31409248429664E-07</v>
      </c>
    </row>
    <row r="27" spans="1:6" ht="12.75">
      <c r="A27">
        <f t="shared" si="3"/>
        <v>0.7904831122076786</v>
      </c>
      <c r="B27">
        <f t="shared" si="4"/>
        <v>6.676126489116337</v>
      </c>
      <c r="C27">
        <f t="shared" si="0"/>
        <v>13.352252978232674</v>
      </c>
      <c r="D27">
        <f t="shared" si="1"/>
        <v>0.2085811111839811</v>
      </c>
      <c r="E27">
        <f t="shared" si="2"/>
        <v>5.277307205246958E-08</v>
      </c>
      <c r="F27">
        <f t="shared" si="5"/>
        <v>4.932106882742342E-07</v>
      </c>
    </row>
    <row r="28" spans="1:6" ht="12.75">
      <c r="A28">
        <f t="shared" si="3"/>
        <v>0.8782034580085318</v>
      </c>
      <c r="B28">
        <f t="shared" si="4"/>
        <v>6.676126489116337</v>
      </c>
      <c r="C28">
        <f t="shared" si="0"/>
        <v>13.352252978232674</v>
      </c>
      <c r="D28">
        <f t="shared" si="1"/>
        <v>0.2317567902044234</v>
      </c>
      <c r="E28">
        <f t="shared" si="2"/>
        <v>5.2779748950196424E-08</v>
      </c>
      <c r="F28">
        <f t="shared" si="5"/>
        <v>5.550219008512782E-07</v>
      </c>
    </row>
    <row r="29" spans="1:6" ht="12.75">
      <c r="A29">
        <f t="shared" si="3"/>
        <v>0.965923803809385</v>
      </c>
      <c r="B29">
        <f t="shared" si="4"/>
        <v>6.676126489116337</v>
      </c>
      <c r="C29">
        <f t="shared" si="0"/>
        <v>13.352252978232674</v>
      </c>
      <c r="D29">
        <f t="shared" si="1"/>
        <v>0.2549324692248658</v>
      </c>
      <c r="E29">
        <f t="shared" si="2"/>
        <v>5.278521312332707E-08</v>
      </c>
      <c r="F29">
        <f t="shared" si="5"/>
        <v>6.168409338399203E-07</v>
      </c>
    </row>
    <row r="30" spans="1:6" ht="12.75">
      <c r="A30">
        <f t="shared" si="3"/>
        <v>1.0536441496102382</v>
      </c>
      <c r="B30">
        <f t="shared" si="4"/>
        <v>6.676126489116337</v>
      </c>
      <c r="C30">
        <f t="shared" si="0"/>
        <v>13.352252978232674</v>
      </c>
      <c r="D30">
        <f t="shared" si="1"/>
        <v>0.27810814824530816</v>
      </c>
      <c r="E30">
        <f t="shared" si="2"/>
        <v>5.278976746526526E-08</v>
      </c>
      <c r="F30">
        <f t="shared" si="5"/>
        <v>6.786663668191978E-07</v>
      </c>
    </row>
    <row r="31" spans="1:6" ht="12.75">
      <c r="A31">
        <f t="shared" si="3"/>
        <v>1.1413644954110913</v>
      </c>
      <c r="B31">
        <f t="shared" si="4"/>
        <v>6.676126489116337</v>
      </c>
      <c r="C31">
        <f t="shared" si="0"/>
        <v>13.352252978232674</v>
      </c>
      <c r="D31">
        <f t="shared" si="1"/>
        <v>0.3012838272657505</v>
      </c>
      <c r="E31">
        <f t="shared" si="2"/>
        <v>5.2793621753099215E-08</v>
      </c>
      <c r="F31">
        <f t="shared" si="5"/>
        <v>7.404971341363627E-07</v>
      </c>
    </row>
    <row r="32" spans="1:6" ht="12.75">
      <c r="A32">
        <f t="shared" si="3"/>
        <v>1.2290848412119444</v>
      </c>
      <c r="B32">
        <f t="shared" si="4"/>
        <v>6.676126489116337</v>
      </c>
      <c r="C32">
        <f t="shared" si="0"/>
        <v>13.352252978232674</v>
      </c>
      <c r="D32">
        <f t="shared" si="1"/>
        <v>0.3244595062861928</v>
      </c>
      <c r="E32">
        <f t="shared" si="2"/>
        <v>5.279692587637125E-08</v>
      </c>
      <c r="F32">
        <f t="shared" si="5"/>
        <v>8.023324158430709E-07</v>
      </c>
    </row>
    <row r="33" spans="1:6" ht="12.75">
      <c r="A33">
        <f t="shared" si="3"/>
        <v>1.3168051870127975</v>
      </c>
      <c r="B33">
        <f t="shared" si="4"/>
        <v>6.676126489116337</v>
      </c>
      <c r="C33">
        <f t="shared" si="0"/>
        <v>13.352252978232674</v>
      </c>
      <c r="D33">
        <f t="shared" si="1"/>
        <v>0.3476351853066351</v>
      </c>
      <c r="E33">
        <f t="shared" si="2"/>
        <v>5.279978978443325E-08</v>
      </c>
      <c r="F33">
        <f t="shared" si="5"/>
        <v>8.641715675512402E-07</v>
      </c>
    </row>
    <row r="34" spans="1:6" ht="12.75">
      <c r="A34">
        <f t="shared" si="3"/>
        <v>1.4045255328136506</v>
      </c>
      <c r="B34">
        <f t="shared" si="4"/>
        <v>6.676126489116337</v>
      </c>
      <c r="C34">
        <f t="shared" si="0"/>
        <v>13.352252978232674</v>
      </c>
      <c r="D34">
        <f t="shared" si="1"/>
        <v>0.37081086432707744</v>
      </c>
      <c r="E34">
        <f t="shared" si="2"/>
        <v>5.280229595886966E-08</v>
      </c>
      <c r="F34">
        <f t="shared" si="5"/>
        <v>9.260140736525333E-07</v>
      </c>
    </row>
    <row r="35" spans="1:6" ht="12.75">
      <c r="A35">
        <f t="shared" si="3"/>
        <v>1.4922458786145036</v>
      </c>
      <c r="B35">
        <f t="shared" si="4"/>
        <v>6.676126489116337</v>
      </c>
      <c r="C35">
        <f t="shared" si="0"/>
        <v>13.352252978232674</v>
      </c>
      <c r="D35">
        <f t="shared" si="1"/>
        <v>0.3939865433475197</v>
      </c>
      <c r="E35">
        <f t="shared" si="2"/>
        <v>5.2804507486838824E-08</v>
      </c>
      <c r="F35">
        <f t="shared" si="5"/>
        <v>9.878595151463443E-07</v>
      </c>
    </row>
    <row r="36" spans="1:6" ht="12.75">
      <c r="A36">
        <f t="shared" si="3"/>
        <v>1.5799662244153567</v>
      </c>
      <c r="B36">
        <f t="shared" si="4"/>
        <v>6.676126489116337</v>
      </c>
      <c r="C36">
        <f t="shared" si="0"/>
        <v>13.352252978232674</v>
      </c>
      <c r="D36">
        <f t="shared" si="1"/>
        <v>0.417162222367962</v>
      </c>
      <c r="E36">
        <f t="shared" si="2"/>
        <v>5.2806473445003766E-08</v>
      </c>
      <c r="F36">
        <f t="shared" si="5"/>
        <v>1.0497075469238001E-06</v>
      </c>
    </row>
    <row r="37" spans="1:6" ht="12.75">
      <c r="A37">
        <f t="shared" si="3"/>
        <v>1.6676865702162098</v>
      </c>
      <c r="B37">
        <f t="shared" si="4"/>
        <v>6.676126489116337</v>
      </c>
      <c r="C37">
        <f t="shared" si="0"/>
        <v>13.352252978232674</v>
      </c>
      <c r="D37">
        <f t="shared" si="1"/>
        <v>0.44033790138840434</v>
      </c>
      <c r="E37">
        <f t="shared" si="2"/>
        <v>5.280823258429382E-08</v>
      </c>
      <c r="F37">
        <f t="shared" si="5"/>
        <v>1.1115578813577686E-06</v>
      </c>
    </row>
    <row r="38" spans="1:6" ht="12.75">
      <c r="A38">
        <f t="shared" si="3"/>
        <v>1.755406916017063</v>
      </c>
      <c r="B38">
        <f t="shared" si="4"/>
        <v>6.676126489116337</v>
      </c>
      <c r="C38">
        <f t="shared" si="0"/>
        <v>13.352252978232674</v>
      </c>
      <c r="D38">
        <f t="shared" si="1"/>
        <v>0.46351358040884666</v>
      </c>
      <c r="E38">
        <f t="shared" si="2"/>
        <v>5.28098159098675E-08</v>
      </c>
      <c r="F38">
        <f t="shared" si="5"/>
        <v>1.1734102762086954E-06</v>
      </c>
    </row>
    <row r="39" spans="1:6" ht="12.75">
      <c r="A39">
        <f t="shared" si="3"/>
        <v>1.843127261817916</v>
      </c>
      <c r="B39">
        <f t="shared" si="4"/>
        <v>6.676126489116337</v>
      </c>
      <c r="C39">
        <f t="shared" si="0"/>
        <v>13.352252978232674</v>
      </c>
      <c r="D39">
        <f t="shared" si="1"/>
        <v>0.486689259429289</v>
      </c>
      <c r="E39">
        <f t="shared" si="2"/>
        <v>5.281124852434301E-08</v>
      </c>
      <c r="F39">
        <f t="shared" si="5"/>
        <v>1.2352645255522604E-06</v>
      </c>
    </row>
    <row r="40" spans="1:6" ht="12.75">
      <c r="A40">
        <f t="shared" si="3"/>
        <v>1.930847607618769</v>
      </c>
      <c r="B40">
        <f t="shared" si="4"/>
        <v>6.676126489116337</v>
      </c>
      <c r="C40">
        <f t="shared" si="0"/>
        <v>13.352252978232674</v>
      </c>
      <c r="D40">
        <f t="shared" si="1"/>
        <v>0.5098649384497314</v>
      </c>
      <c r="E40">
        <f t="shared" si="2"/>
        <v>5.2812550968589984E-08</v>
      </c>
      <c r="F40">
        <f t="shared" si="5"/>
        <v>1.2971204528659424E-06</v>
      </c>
    </row>
    <row r="41" spans="1:6" ht="12.75">
      <c r="A41">
        <f t="shared" si="3"/>
        <v>2.0185679534196224</v>
      </c>
      <c r="B41">
        <f t="shared" si="4"/>
        <v>6.676126489116337</v>
      </c>
      <c r="C41">
        <f t="shared" si="0"/>
        <v>13.352252978232674</v>
      </c>
      <c r="D41">
        <f t="shared" si="1"/>
        <v>0.5330406174701737</v>
      </c>
      <c r="E41">
        <f t="shared" si="2"/>
        <v>5.281374021292258E-08</v>
      </c>
      <c r="F41">
        <f t="shared" si="5"/>
        <v>1.3589779056860065E-06</v>
      </c>
    </row>
    <row r="42" spans="1:6" ht="12.75">
      <c r="A42">
        <f t="shared" si="3"/>
        <v>2.1062882992204757</v>
      </c>
      <c r="B42">
        <f t="shared" si="4"/>
        <v>6.676126489116337</v>
      </c>
      <c r="C42">
        <f t="shared" si="0"/>
        <v>13.352252978232674</v>
      </c>
      <c r="D42">
        <f t="shared" si="1"/>
        <v>0.5562162964906161</v>
      </c>
      <c r="E42">
        <f t="shared" si="2"/>
        <v>5.2814830400612146E-08</v>
      </c>
      <c r="F42">
        <f t="shared" si="5"/>
        <v>1.4208367514254401E-06</v>
      </c>
    </row>
    <row r="43" spans="1:6" ht="12.75">
      <c r="A43">
        <f t="shared" si="3"/>
        <v>2.194008645021329</v>
      </c>
      <c r="B43">
        <f t="shared" si="4"/>
        <v>6.676126489116337</v>
      </c>
      <c r="C43">
        <f t="shared" si="0"/>
        <v>13.352252978232674</v>
      </c>
      <c r="D43">
        <f t="shared" si="1"/>
        <v>0.5793919755110585</v>
      </c>
      <c r="E43">
        <f t="shared" si="2"/>
        <v>5.281583341303798E-08</v>
      </c>
      <c r="F43">
        <f t="shared" si="5"/>
        <v>1.4826968740627386E-06</v>
      </c>
    </row>
    <row r="44" spans="1:6" ht="12.75">
      <c r="A44">
        <f t="shared" si="3"/>
        <v>2.2817289908221823</v>
      </c>
      <c r="B44">
        <f t="shared" si="4"/>
        <v>6.676126489116337</v>
      </c>
      <c r="C44">
        <f t="shared" si="0"/>
        <v>13.352252978232674</v>
      </c>
      <c r="D44">
        <f t="shared" si="1"/>
        <v>0.6025676545315009</v>
      </c>
      <c r="E44">
        <f t="shared" si="2"/>
        <v>5.2816759304476013E-08</v>
      </c>
      <c r="F44">
        <f t="shared" si="5"/>
        <v>1.5445581714926322E-06</v>
      </c>
    </row>
    <row r="45" spans="1:6" ht="12.75">
      <c r="A45">
        <f t="shared" si="3"/>
        <v>2.3694493366230356</v>
      </c>
      <c r="B45">
        <f t="shared" si="4"/>
        <v>6.676126489116337</v>
      </c>
      <c r="C45">
        <f t="shared" si="0"/>
        <v>13.352252978232674</v>
      </c>
      <c r="D45">
        <f t="shared" si="1"/>
        <v>0.6257433335519432</v>
      </c>
      <c r="E45">
        <f t="shared" si="2"/>
        <v>5.2817616640308436E-08</v>
      </c>
      <c r="F45">
        <f t="shared" si="5"/>
        <v>1.6064205533860652E-06</v>
      </c>
    </row>
    <row r="46" spans="1:6" ht="12.75">
      <c r="A46">
        <f t="shared" si="3"/>
        <v>2.457169682423889</v>
      </c>
      <c r="B46">
        <f t="shared" si="4"/>
        <v>6.676126489116337</v>
      </c>
      <c r="C46">
        <f t="shared" si="0"/>
        <v>13.352252978232674</v>
      </c>
      <c r="D46">
        <f t="shared" si="1"/>
        <v>0.6489190125723856</v>
      </c>
      <c r="E46">
        <f t="shared" si="2"/>
        <v>5.28184127627894E-08</v>
      </c>
      <c r="F46">
        <f t="shared" si="5"/>
        <v>1.6682839394463076E-06</v>
      </c>
    </row>
    <row r="47" spans="1:6" ht="12.75">
      <c r="A47">
        <f t="shared" si="3"/>
        <v>2.544890028224742</v>
      </c>
      <c r="B47">
        <f t="shared" si="4"/>
        <v>6.676126489116337</v>
      </c>
      <c r="C47">
        <f t="shared" si="0"/>
        <v>13.352252978232674</v>
      </c>
      <c r="D47">
        <f t="shared" si="1"/>
        <v>0.672094691592828</v>
      </c>
      <c r="E47">
        <f t="shared" si="2"/>
        <v>5.281915400184628E-08</v>
      </c>
      <c r="F47">
        <f t="shared" si="5"/>
        <v>1.7301482579763495E-06</v>
      </c>
    </row>
    <row r="48" spans="1:6" ht="12.75">
      <c r="A48">
        <f t="shared" si="3"/>
        <v>2.6326103740255955</v>
      </c>
      <c r="B48">
        <f t="shared" si="4"/>
        <v>6.676126489116337</v>
      </c>
      <c r="C48">
        <f t="shared" si="0"/>
        <v>13.352252978232674</v>
      </c>
      <c r="D48">
        <f t="shared" si="1"/>
        <v>0.6952703706132703</v>
      </c>
      <c r="E48">
        <f t="shared" si="2"/>
        <v>5.281984584373674E-08</v>
      </c>
      <c r="F48">
        <f t="shared" si="5"/>
        <v>1.7920134446931982E-06</v>
      </c>
    </row>
    <row r="49" spans="1:6" ht="12.75">
      <c r="A49">
        <f t="shared" si="3"/>
        <v>2.720330719826449</v>
      </c>
      <c r="B49">
        <f t="shared" si="4"/>
        <v>6.676126489116337</v>
      </c>
      <c r="C49">
        <f t="shared" si="0"/>
        <v>13.352252978232674</v>
      </c>
      <c r="D49">
        <f t="shared" si="1"/>
        <v>0.7184460496337127</v>
      </c>
      <c r="E49">
        <f t="shared" si="2"/>
        <v>5.282049306707443E-08</v>
      </c>
      <c r="F49">
        <f t="shared" si="5"/>
        <v>1.8538794417397188E-06</v>
      </c>
    </row>
    <row r="50" spans="1:6" ht="12.75">
      <c r="A50">
        <f t="shared" si="3"/>
        <v>2.808051065627302</v>
      </c>
      <c r="B50">
        <f t="shared" si="4"/>
        <v>6.676126489116337</v>
      </c>
      <c r="C50">
        <f aca="true" t="shared" si="6" ref="C50:C68">IF(A50&lt;rinner2,height,2*(slope*(A50-rinner2)+halfht))</f>
        <v>13.352252978232674</v>
      </c>
      <c r="D50">
        <f aca="true" t="shared" si="7" ref="D50:D68">IF(A50&lt;rinner2,(A50-rinner1)/(rinner2-rinner1),IF(A50&lt;router1,1,(1-(A50-router1)/(router2-router1))))</f>
        <v>0.7416217286541551</v>
      </c>
      <c r="E50">
        <f aca="true" t="shared" si="8" ref="E50:E68">D50*4*PI()*0.0000001/2/PI()/A50</f>
        <v>5.2821099853359055E-08</v>
      </c>
      <c r="F50">
        <f t="shared" si="5"/>
        <v>1.9157461968557955E-06</v>
      </c>
    </row>
    <row r="51" spans="1:6" ht="12.75">
      <c r="A51">
        <f aca="true" t="shared" si="9" ref="A51:A68">A50+deltaR</f>
        <v>2.8957714114281554</v>
      </c>
      <c r="B51">
        <f t="shared" si="4"/>
        <v>6.676126489116337</v>
      </c>
      <c r="C51">
        <f t="shared" si="6"/>
        <v>13.352252978232674</v>
      </c>
      <c r="D51">
        <f t="shared" si="7"/>
        <v>0.7647974076745975</v>
      </c>
      <c r="E51">
        <f t="shared" si="8"/>
        <v>5.282166987741686E-08</v>
      </c>
      <c r="F51">
        <f aca="true" t="shared" si="10" ref="F51:F68">F50+deltaR*C50*E50</f>
        <v>1.977613662678954E-06</v>
      </c>
    </row>
    <row r="52" spans="1:6" ht="12.75">
      <c r="A52">
        <f t="shared" si="9"/>
        <v>2.9834917572290087</v>
      </c>
      <c r="B52">
        <f t="shared" si="4"/>
        <v>6.676126489116337</v>
      </c>
      <c r="C52">
        <f t="shared" si="6"/>
        <v>13.352252978232674</v>
      </c>
      <c r="D52">
        <f t="shared" si="7"/>
        <v>0.7879730866950398</v>
      </c>
      <c r="E52">
        <f t="shared" si="8"/>
        <v>5.282220638188651E-08</v>
      </c>
      <c r="F52">
        <f t="shared" si="10"/>
        <v>2.0394817961509118E-06</v>
      </c>
    </row>
    <row r="53" spans="1:6" ht="12.75">
      <c r="A53">
        <f t="shared" si="9"/>
        <v>3.071212103029862</v>
      </c>
      <c r="B53">
        <f t="shared" si="4"/>
        <v>6.676126489116337</v>
      </c>
      <c r="C53">
        <f t="shared" si="6"/>
        <v>13.352252978232674</v>
      </c>
      <c r="D53">
        <f t="shared" si="7"/>
        <v>0.8111487657154822</v>
      </c>
      <c r="E53">
        <f t="shared" si="8"/>
        <v>5.2822712238940097E-08</v>
      </c>
      <c r="F53">
        <f t="shared" si="10"/>
        <v>2.1013505580113743E-06</v>
      </c>
    </row>
    <row r="54" spans="1:6" ht="12.75">
      <c r="A54">
        <f t="shared" si="9"/>
        <v>3.1589324488307153</v>
      </c>
      <c r="B54">
        <f t="shared" si="4"/>
        <v>6.676126489116337</v>
      </c>
      <c r="C54">
        <f t="shared" si="6"/>
        <v>13.352252978232674</v>
      </c>
      <c r="D54">
        <f t="shared" si="7"/>
        <v>0.8343244447359246</v>
      </c>
      <c r="E54">
        <f t="shared" si="8"/>
        <v>5.282319000172044E-08</v>
      </c>
      <c r="F54">
        <f t="shared" si="10"/>
        <v>2.1632199123641184E-06</v>
      </c>
    </row>
    <row r="55" spans="1:6" ht="12.75">
      <c r="A55">
        <f t="shared" si="9"/>
        <v>3.2466527946315686</v>
      </c>
      <c r="B55">
        <f t="shared" si="4"/>
        <v>6.676126489116337</v>
      </c>
      <c r="C55">
        <f t="shared" si="6"/>
        <v>13.352252978232674</v>
      </c>
      <c r="D55">
        <f t="shared" si="7"/>
        <v>0.857500123756367</v>
      </c>
      <c r="E55">
        <f t="shared" si="8"/>
        <v>5.2823641947439986E-08</v>
      </c>
      <c r="F55">
        <f t="shared" si="10"/>
        <v>2.2250898263033266E-06</v>
      </c>
    </row>
    <row r="56" spans="1:6" ht="12.75">
      <c r="A56">
        <f t="shared" si="9"/>
        <v>3.334373140432422</v>
      </c>
      <c r="B56">
        <f t="shared" si="4"/>
        <v>6.676126489116337</v>
      </c>
      <c r="C56">
        <f t="shared" si="6"/>
        <v>13.352252978232674</v>
      </c>
      <c r="D56">
        <f t="shared" si="7"/>
        <v>0.8806758027768093</v>
      </c>
      <c r="E56">
        <f t="shared" si="8"/>
        <v>5.282407011367648E-08</v>
      </c>
      <c r="F56">
        <f t="shared" si="10"/>
        <v>2.286960269590398E-06</v>
      </c>
    </row>
    <row r="57" spans="1:6" ht="12.75">
      <c r="A57">
        <f t="shared" si="9"/>
        <v>3.4220934862332753</v>
      </c>
      <c r="B57">
        <f t="shared" si="4"/>
        <v>6.676126489116337</v>
      </c>
      <c r="C57">
        <f t="shared" si="6"/>
        <v>13.352252978232674</v>
      </c>
      <c r="D57">
        <f t="shared" si="7"/>
        <v>0.9038514817972517</v>
      </c>
      <c r="E57">
        <f t="shared" si="8"/>
        <v>5.282447632908637E-08</v>
      </c>
      <c r="F57">
        <f t="shared" si="10"/>
        <v>2.348831214373275E-06</v>
      </c>
    </row>
    <row r="58" spans="1:6" ht="12.75">
      <c r="A58">
        <f t="shared" si="9"/>
        <v>3.5098138320341286</v>
      </c>
      <c r="B58">
        <f t="shared" si="4"/>
        <v>6.676126489116337</v>
      </c>
      <c r="C58">
        <f t="shared" si="6"/>
        <v>13.352252978232674</v>
      </c>
      <c r="D58">
        <f t="shared" si="7"/>
        <v>0.9270271608176941</v>
      </c>
      <c r="E58">
        <f t="shared" si="8"/>
        <v>5.282486223951264E-08</v>
      </c>
      <c r="F58">
        <f t="shared" si="10"/>
        <v>2.4107026349417385E-06</v>
      </c>
    </row>
    <row r="59" spans="1:6" ht="12.75">
      <c r="A59">
        <f t="shared" si="9"/>
        <v>3.597534177834982</v>
      </c>
      <c r="B59">
        <f t="shared" si="4"/>
        <v>6.676126489116337</v>
      </c>
      <c r="C59">
        <f t="shared" si="6"/>
        <v>13.352252978232674</v>
      </c>
      <c r="D59">
        <f t="shared" si="7"/>
        <v>0.9502028398381365</v>
      </c>
      <c r="E59">
        <f t="shared" si="8"/>
        <v>5.282522933027279E-08</v>
      </c>
      <c r="F59">
        <f t="shared" si="10"/>
        <v>2.4725745075132878E-06</v>
      </c>
    </row>
    <row r="60" spans="1:6" ht="12.75">
      <c r="A60">
        <f t="shared" si="9"/>
        <v>3.685254523635835</v>
      </c>
      <c r="B60">
        <f t="shared" si="4"/>
        <v>6.676126489116337</v>
      </c>
      <c r="C60">
        <f t="shared" si="6"/>
        <v>13.352252978232674</v>
      </c>
      <c r="D60">
        <f t="shared" si="7"/>
        <v>0.9733785188585788</v>
      </c>
      <c r="E60">
        <f t="shared" si="8"/>
        <v>5.282557894526391E-08</v>
      </c>
      <c r="F60">
        <f t="shared" si="10"/>
        <v>2.53444681004512E-06</v>
      </c>
    </row>
    <row r="61" spans="1:6" ht="12.75">
      <c r="A61">
        <f t="shared" si="9"/>
        <v>3.7729748694366885</v>
      </c>
      <c r="B61">
        <f t="shared" si="4"/>
        <v>6.676126489116337</v>
      </c>
      <c r="C61">
        <f t="shared" si="6"/>
        <v>13.352252978232674</v>
      </c>
      <c r="D61">
        <f t="shared" si="7"/>
        <v>0.9965541978790212</v>
      </c>
      <c r="E61">
        <f t="shared" si="8"/>
        <v>5.282591230340256E-08</v>
      </c>
      <c r="F61">
        <f t="shared" si="10"/>
        <v>2.5963195220684923E-06</v>
      </c>
    </row>
    <row r="62" spans="1:6" ht="12.75">
      <c r="A62">
        <f t="shared" si="9"/>
        <v>3.8606952152375418</v>
      </c>
      <c r="B62">
        <f t="shared" si="4"/>
        <v>6.676126489116337</v>
      </c>
      <c r="C62">
        <f t="shared" si="6"/>
        <v>13.352252978232674</v>
      </c>
      <c r="D62">
        <f t="shared" si="7"/>
        <v>0.875536791341862</v>
      </c>
      <c r="E62">
        <f t="shared" si="8"/>
        <v>4.5356431550786987E-08</v>
      </c>
      <c r="F62">
        <f t="shared" si="10"/>
        <v>2.658192624542334E-06</v>
      </c>
    </row>
    <row r="63" spans="1:6" ht="12.75">
      <c r="A63">
        <f t="shared" si="9"/>
        <v>3.948415561038395</v>
      </c>
      <c r="B63">
        <f t="shared" si="4"/>
        <v>6.676126489116337</v>
      </c>
      <c r="C63">
        <f t="shared" si="6"/>
        <v>13.352252978232674</v>
      </c>
      <c r="D63">
        <f t="shared" si="7"/>
        <v>0.7293362150071065</v>
      </c>
      <c r="E63">
        <f t="shared" si="8"/>
        <v>3.69432347599855E-08</v>
      </c>
      <c r="F63">
        <f t="shared" si="10"/>
        <v>2.711316991255995E-06</v>
      </c>
    </row>
    <row r="64" spans="1:6" ht="12.75">
      <c r="A64">
        <f t="shared" si="9"/>
        <v>4.036135906839248</v>
      </c>
      <c r="B64">
        <f t="shared" si="4"/>
        <v>6.676126489116337</v>
      </c>
      <c r="C64">
        <f t="shared" si="6"/>
        <v>13.352252978232674</v>
      </c>
      <c r="D64">
        <f t="shared" si="7"/>
        <v>0.5831356386723517</v>
      </c>
      <c r="E64">
        <f t="shared" si="8"/>
        <v>2.889573850495104E-08</v>
      </c>
      <c r="F64">
        <f t="shared" si="10"/>
        <v>2.7545872813532388E-06</v>
      </c>
    </row>
    <row r="65" spans="1:6" ht="12.75">
      <c r="A65">
        <f t="shared" si="9"/>
        <v>4.123856252640101</v>
      </c>
      <c r="B65">
        <f t="shared" si="4"/>
        <v>6.676126489116337</v>
      </c>
      <c r="C65">
        <f t="shared" si="6"/>
        <v>13.352252978232674</v>
      </c>
      <c r="D65">
        <f t="shared" si="7"/>
        <v>0.43693506233759705</v>
      </c>
      <c r="E65">
        <f t="shared" si="8"/>
        <v>2.1190605858672713E-08</v>
      </c>
      <c r="F65">
        <f t="shared" si="10"/>
        <v>2.788431826797256E-06</v>
      </c>
    </row>
    <row r="66" spans="1:6" ht="12.75">
      <c r="A66">
        <f t="shared" si="9"/>
        <v>4.211576598440954</v>
      </c>
      <c r="B66">
        <f t="shared" si="4"/>
        <v>6.676126489116337</v>
      </c>
      <c r="C66">
        <f t="shared" si="6"/>
        <v>13.352252978232674</v>
      </c>
      <c r="D66">
        <f t="shared" si="7"/>
        <v>0.29073448600284224</v>
      </c>
      <c r="E66">
        <f t="shared" si="8"/>
        <v>1.3806444176295722E-08</v>
      </c>
      <c r="F66">
        <f t="shared" si="10"/>
        <v>2.8132516258429604E-06</v>
      </c>
    </row>
    <row r="67" spans="1:6" ht="12.75">
      <c r="A67">
        <f t="shared" si="9"/>
        <v>4.2992969442418065</v>
      </c>
      <c r="B67">
        <f t="shared" si="4"/>
        <v>6.676126489116337</v>
      </c>
      <c r="C67">
        <f t="shared" si="6"/>
        <v>13.352252978232674</v>
      </c>
      <c r="D67">
        <f t="shared" si="7"/>
        <v>0.14453390966808755</v>
      </c>
      <c r="E67">
        <f t="shared" si="8"/>
        <v>6.723606745129186E-09</v>
      </c>
      <c r="F67">
        <f t="shared" si="10"/>
        <v>2.8294226203051668E-06</v>
      </c>
    </row>
    <row r="68" spans="1:6" ht="12.75">
      <c r="A68">
        <f t="shared" si="9"/>
        <v>4.387017290042659</v>
      </c>
      <c r="B68">
        <f t="shared" si="4"/>
        <v>6.676126489116337</v>
      </c>
      <c r="C68">
        <f t="shared" si="6"/>
        <v>13.352252978232674</v>
      </c>
      <c r="D68">
        <f t="shared" si="7"/>
        <v>-0.0016666666666671492</v>
      </c>
      <c r="E68">
        <f t="shared" si="8"/>
        <v>-7.598176877260234E-11</v>
      </c>
      <c r="F68">
        <f t="shared" si="10"/>
        <v>2.8372977405065153E-06</v>
      </c>
    </row>
    <row r="69" spans="1:6" ht="12.75">
      <c r="A69">
        <f>router2</f>
        <v>4.386017290042659</v>
      </c>
      <c r="B69">
        <f t="shared" si="4"/>
        <v>0</v>
      </c>
      <c r="C69">
        <v>0</v>
      </c>
      <c r="D69">
        <v>0</v>
      </c>
      <c r="E69">
        <v>0</v>
      </c>
      <c r="F69">
        <f>F68</f>
        <v>2.8372977405065153E-06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8"/>
  <sheetViews>
    <sheetView workbookViewId="0" topLeftCell="A1">
      <selection activeCell="D35" sqref="D35"/>
    </sheetView>
  </sheetViews>
  <sheetFormatPr defaultColWidth="11.00390625" defaultRowHeight="12"/>
  <cols>
    <col min="2" max="2" width="12.00390625" style="0" bestFit="1" customWidth="1"/>
    <col min="10" max="11" width="12.00390625" style="0" bestFit="1" customWidth="1"/>
    <col min="13" max="13" width="12.00390625" style="0" bestFit="1" customWidth="1"/>
  </cols>
  <sheetData>
    <row r="1" spans="1:2" ht="12.75">
      <c r="A1" t="s">
        <v>357</v>
      </c>
      <c r="B1" s="12">
        <f>Itf</f>
        <v>12455724.35265772</v>
      </c>
    </row>
    <row r="2" spans="1:2" ht="12.75">
      <c r="A2" t="s">
        <v>210</v>
      </c>
      <c r="B2" s="5">
        <f>drtf</f>
        <v>0.30398270995734106</v>
      </c>
    </row>
    <row r="3" spans="1:2" ht="12.75">
      <c r="A3" t="s">
        <v>387</v>
      </c>
      <c r="B3" s="5">
        <f>Base!B45</f>
        <v>4.817027680409406</v>
      </c>
    </row>
    <row r="4" spans="1:2" ht="12.75">
      <c r="A4" t="s">
        <v>625</v>
      </c>
      <c r="B4" s="5">
        <f>Base!B47*TF_Heating!B2</f>
        <v>0.6383896259744046</v>
      </c>
    </row>
    <row r="5" spans="1:4" ht="12.75">
      <c r="A5" t="s">
        <v>612</v>
      </c>
      <c r="B5" s="5">
        <f>Base!B46</f>
        <v>4.2676126489116335</v>
      </c>
      <c r="D5" t="s">
        <v>39</v>
      </c>
    </row>
    <row r="6" spans="1:2" ht="12.75">
      <c r="A6" t="s">
        <v>50</v>
      </c>
      <c r="B6" s="5">
        <f>Base!B38</f>
        <v>0.25</v>
      </c>
    </row>
    <row r="7" spans="1:4" ht="12.75">
      <c r="A7" t="s">
        <v>743</v>
      </c>
      <c r="B7" s="156">
        <f>IF(Mode="ARIES",TF_Heating!D7,TF_Heating!C7)</f>
        <v>35</v>
      </c>
      <c r="C7" s="157">
        <v>35</v>
      </c>
      <c r="D7" s="157">
        <v>30</v>
      </c>
    </row>
    <row r="8" spans="1:2" ht="12.75">
      <c r="A8" t="s">
        <v>744</v>
      </c>
      <c r="B8" s="5">
        <v>100</v>
      </c>
    </row>
    <row r="9" spans="1:6" ht="12.75">
      <c r="A9" t="s">
        <v>745</v>
      </c>
      <c r="B9" s="5">
        <f>B7+(B8-B7)/2</f>
        <v>67.5</v>
      </c>
      <c r="F9" t="s">
        <v>418</v>
      </c>
    </row>
    <row r="10" spans="1:7" ht="12.75">
      <c r="A10" t="s">
        <v>613</v>
      </c>
      <c r="B10" s="5">
        <v>10</v>
      </c>
      <c r="F10" t="s">
        <v>419</v>
      </c>
      <c r="G10" s="29">
        <f>400/PI()*1.6^2</f>
        <v>325.9493234522017</v>
      </c>
    </row>
    <row r="11" spans="1:7" ht="12.75">
      <c r="A11" t="s">
        <v>614</v>
      </c>
      <c r="B11" s="5">
        <f>PI()*B2^2</f>
        <v>0.29030040210455305</v>
      </c>
      <c r="F11" t="s">
        <v>701</v>
      </c>
      <c r="G11" s="29">
        <f>265/(6800000/10800/(1-0.33)*0.0001)</f>
        <v>2819.911764705882</v>
      </c>
    </row>
    <row r="12" spans="1:7" ht="12.75">
      <c r="A12" t="s">
        <v>615</v>
      </c>
      <c r="B12" s="5">
        <f>PI()*B4^2</f>
        <v>1.2803287998300743</v>
      </c>
      <c r="F12" t="s">
        <v>702</v>
      </c>
      <c r="G12" s="29">
        <f>432/PI()/0.275^2</f>
        <v>1818.3123415721989</v>
      </c>
    </row>
    <row r="13" spans="1:2" ht="12.75">
      <c r="A13" t="s">
        <v>544</v>
      </c>
      <c r="B13" s="5">
        <f>B11*B6</f>
        <v>0.07257510052613826</v>
      </c>
    </row>
    <row r="14" spans="1:2" ht="12.75">
      <c r="A14" t="s">
        <v>501</v>
      </c>
      <c r="B14" s="5">
        <f>((CSAcenter-CSAH20)*B3+(CSAends-CSAH20)*2*B5)*DensCu</f>
        <v>101533.71426646966</v>
      </c>
    </row>
    <row r="15" spans="1:2" ht="12.75">
      <c r="A15" t="s">
        <v>417</v>
      </c>
      <c r="B15" s="5">
        <v>500</v>
      </c>
    </row>
    <row r="16" spans="1:7" ht="12.75">
      <c r="A16" t="s">
        <v>18</v>
      </c>
      <c r="B16" s="5">
        <f>B15*CSAcenter</f>
        <v>145.15020105227651</v>
      </c>
      <c r="G16" s="29"/>
    </row>
    <row r="17" spans="1:7" ht="12.75">
      <c r="A17" t="s">
        <v>17</v>
      </c>
      <c r="B17" s="4">
        <f>SQRT(4*CSAH20/B16/PI())</f>
        <v>0.025231325220201602</v>
      </c>
      <c r="G17" s="29"/>
    </row>
    <row r="18" spans="1:7" ht="12.75">
      <c r="A18" t="s">
        <v>423</v>
      </c>
      <c r="B18" s="5">
        <f>PI()*B17</f>
        <v>0.07926654595212022</v>
      </c>
      <c r="G18" s="29"/>
    </row>
    <row r="19" spans="1:2" ht="12.75">
      <c r="A19" t="s">
        <v>19</v>
      </c>
      <c r="B19" s="5">
        <f>B18*B16</f>
        <v>11.505555081669765</v>
      </c>
    </row>
    <row r="20" spans="1:2" ht="12.75">
      <c r="A20" t="s">
        <v>746</v>
      </c>
      <c r="B20" s="5">
        <f>B6*B11*B10</f>
        <v>0.7257510052613826</v>
      </c>
    </row>
    <row r="21" spans="1:2" ht="12.75">
      <c r="A21" t="s">
        <v>405</v>
      </c>
      <c r="B21" s="5">
        <f>Xnwall</f>
        <v>4.464151535857718</v>
      </c>
    </row>
    <row r="22" spans="1:2" ht="12.75">
      <c r="A22" t="s">
        <v>426</v>
      </c>
      <c r="B22" s="5">
        <f>4229.2-3.857*B9+0.06786*B9^2-0.0003745*B9^3+0.000000819*B9^4</f>
        <v>4179.865280429687</v>
      </c>
    </row>
    <row r="23" spans="1:2" ht="12.75">
      <c r="A23" t="s">
        <v>390</v>
      </c>
      <c r="B23" s="12">
        <v>0.000524</v>
      </c>
    </row>
    <row r="24" spans="1:2" ht="12.75">
      <c r="A24" t="s">
        <v>131</v>
      </c>
      <c r="B24" s="5">
        <f>1005.4-0.539*B9+0.0026713*B9^2</f>
        <v>981.1886106249999</v>
      </c>
    </row>
    <row r="25" spans="1:2" ht="12.75">
      <c r="A25" t="s">
        <v>132</v>
      </c>
      <c r="B25" s="5">
        <f>0.55183+0.0025297*B9-0.0000172*B9^2+0.0000000531*B9^3-0.0000000000813*B9^4</f>
        <v>0.6588602486992188</v>
      </c>
    </row>
    <row r="26" spans="1:2" ht="12.75">
      <c r="A26" t="s">
        <v>133</v>
      </c>
      <c r="B26" s="5">
        <f>13.527-0.43243*B9+0.00704*B9^2-0.0000618*B9^3+0.000000294*B9^4-0.000000000711*B9^5+0.000000000000682*B9^6</f>
        <v>2.579056704760255</v>
      </c>
    </row>
    <row r="27" spans="1:2" ht="12.75">
      <c r="A27" t="s">
        <v>616</v>
      </c>
      <c r="B27" s="5">
        <f>B24*B10*B17/B23</f>
        <v>472455.8957449834</v>
      </c>
    </row>
    <row r="28" spans="1:2" ht="12.75">
      <c r="A28" t="s">
        <v>584</v>
      </c>
      <c r="B28">
        <f>FlowH20*DensH20</f>
        <v>712.098620512113</v>
      </c>
    </row>
    <row r="29" spans="1:7" ht="12.75">
      <c r="A29" t="s">
        <v>425</v>
      </c>
      <c r="B29">
        <f>1/B28/SHH20</f>
        <v>3.359677347202564E-07</v>
      </c>
      <c r="G29" s="5">
        <f>D48-D38</f>
        <v>2.987723609148676</v>
      </c>
    </row>
    <row r="30" spans="1:7" ht="12.75">
      <c r="A30" t="s">
        <v>754</v>
      </c>
      <c r="B30" s="5">
        <v>8940</v>
      </c>
      <c r="G30">
        <f>B3/2</f>
        <v>2.408513840204703</v>
      </c>
    </row>
    <row r="31" spans="1:2" ht="12.75">
      <c r="A31" t="s">
        <v>535</v>
      </c>
      <c r="B31" s="5">
        <v>386</v>
      </c>
    </row>
    <row r="32" spans="1:2" ht="12.75">
      <c r="A32" t="s">
        <v>14</v>
      </c>
      <c r="B32" s="27">
        <v>0.0041</v>
      </c>
    </row>
    <row r="33" spans="1:4" ht="12.75">
      <c r="A33" t="s">
        <v>143</v>
      </c>
      <c r="B33" s="156">
        <f>IF(Mode="ARIES",TF_Heating!D33,TF_Heating!C33)</f>
        <v>0.87</v>
      </c>
      <c r="C33" s="157">
        <v>0.87</v>
      </c>
      <c r="D33" s="157">
        <v>0.8</v>
      </c>
    </row>
    <row r="34" spans="1:4" ht="12.75">
      <c r="A34" t="s">
        <v>144</v>
      </c>
      <c r="B34" s="156">
        <f>IF(Mode="ARIES",TF_Heating!D34,TF_Heating!C34)</f>
        <v>1</v>
      </c>
      <c r="C34" s="157">
        <v>1</v>
      </c>
      <c r="D34" s="157">
        <v>1.07</v>
      </c>
    </row>
    <row r="35" spans="1:2" ht="12.75">
      <c r="A35" t="s">
        <v>15</v>
      </c>
      <c r="B35" s="12">
        <f>0.0000000172/B33*B34</f>
        <v>1.9770114942528733E-08</v>
      </c>
    </row>
    <row r="36" ht="12.75">
      <c r="B36" s="5"/>
    </row>
    <row r="37" spans="1:18" ht="12.75">
      <c r="A37" t="s">
        <v>107</v>
      </c>
      <c r="B37" t="s">
        <v>231</v>
      </c>
      <c r="C37" t="s">
        <v>675</v>
      </c>
      <c r="D37" t="s">
        <v>232</v>
      </c>
      <c r="E37" t="s">
        <v>742</v>
      </c>
      <c r="F37" t="s">
        <v>134</v>
      </c>
      <c r="G37" t="s">
        <v>545</v>
      </c>
      <c r="H37" t="s">
        <v>16</v>
      </c>
      <c r="I37" t="s">
        <v>424</v>
      </c>
      <c r="J37" t="s">
        <v>347</v>
      </c>
      <c r="K37" t="s">
        <v>348</v>
      </c>
      <c r="L37" t="s">
        <v>149</v>
      </c>
      <c r="M37" t="s">
        <v>349</v>
      </c>
      <c r="N37" t="s">
        <v>350</v>
      </c>
      <c r="O37" t="s">
        <v>147</v>
      </c>
      <c r="P37" t="s">
        <v>148</v>
      </c>
      <c r="Q37" t="s">
        <v>582</v>
      </c>
      <c r="R37" t="s">
        <v>583</v>
      </c>
    </row>
    <row r="38" spans="1:18" ht="12.75">
      <c r="A38">
        <v>1</v>
      </c>
      <c r="B38" t="str">
        <f>IF(OR(A38=1,A38=8),"End","Center")</f>
        <v>End</v>
      </c>
      <c r="C38" s="5">
        <f>B4</f>
        <v>0.6383896259744046</v>
      </c>
      <c r="D38" s="5">
        <f>B5-D39</f>
        <v>3.688402879967661</v>
      </c>
      <c r="E38" s="12">
        <v>0</v>
      </c>
      <c r="F38" s="5">
        <f>PI()*C38^2-CSAH20</f>
        <v>1.207753699303936</v>
      </c>
      <c r="G38" s="12">
        <f>F38*D38*DensCu</f>
        <v>39824.85907186985</v>
      </c>
      <c r="H38" s="12">
        <f>G38*SHCu</f>
        <v>15372395.601741761</v>
      </c>
      <c r="I38" s="12">
        <f>WP*D38</f>
        <v>42.43712249885732</v>
      </c>
      <c r="J38" s="12">
        <f>1/(0.023*Reynolds^0.8*PrandtLH20^0.4*TconH20*PI()*D38)/Npassage</f>
        <v>7.755318110579659E-07</v>
      </c>
      <c r="K38" s="12">
        <f>Rmassflow+J38</f>
        <v>1.1114995457782223E-06</v>
      </c>
      <c r="L38" s="5">
        <f>B7</f>
        <v>35</v>
      </c>
      <c r="M38" s="12">
        <f aca="true" t="shared" si="0" ref="M38:M45">ResCu*D38/F38*(1+CoeffCu*(L38-20))</f>
        <v>6.408983726793067E-08</v>
      </c>
      <c r="N38" s="12">
        <f>Itf^2*M38</f>
        <v>9943222.234706294</v>
      </c>
      <c r="O38" s="12">
        <f aca="true" t="shared" si="1" ref="O38:O45">E38+N38</f>
        <v>9943222.234706294</v>
      </c>
      <c r="P38" s="5">
        <f>Rmassflow*O38</f>
        <v>3.3406018500143593</v>
      </c>
      <c r="Q38" s="5">
        <f>J38*O38</f>
        <v>7.711285147433607</v>
      </c>
      <c r="R38" s="5">
        <f>L38+(P38/2)+Q38</f>
        <v>44.38158607244079</v>
      </c>
    </row>
    <row r="39" spans="1:18" ht="12.75">
      <c r="A39">
        <v>2</v>
      </c>
      <c r="B39" t="s">
        <v>411</v>
      </c>
      <c r="C39" s="5">
        <f>(B2+B4)/2</f>
        <v>0.47118616796587287</v>
      </c>
      <c r="D39" s="5">
        <f>(B4-B2)*TAN(60*PI()/180)</f>
        <v>0.5792097689439725</v>
      </c>
      <c r="E39" s="12">
        <f aca="true" t="shared" si="2" ref="E39:E44">Xnwall*2*PI()*C39*D39*1000000</f>
        <v>7655035.475176245</v>
      </c>
      <c r="F39" s="5">
        <f aca="true" t="shared" si="3" ref="F39:F45">PI()*C39^2-CSAH20</f>
        <v>0.6249100060287128</v>
      </c>
      <c r="G39" s="12">
        <f aca="true" t="shared" si="4" ref="G39:G45">F39*D39*DensCu</f>
        <v>3235.868583011845</v>
      </c>
      <c r="H39" s="12">
        <f aca="true" t="shared" si="5" ref="H39:H45">G39*SHCu</f>
        <v>1249045.2730425722</v>
      </c>
      <c r="I39" s="12">
        <f aca="true" t="shared" si="6" ref="I39:I45">WP*D39</f>
        <v>6.664129900426093</v>
      </c>
      <c r="J39" s="12">
        <f aca="true" t="shared" si="7" ref="J39:J45">1/(0.023*Reynolds^0.8*PrandtLH20^0.4*TconH20*PI()*D39)/Npassage</f>
        <v>4.938579973587139E-06</v>
      </c>
      <c r="K39" s="12">
        <f aca="true" t="shared" si="8" ref="K39:K45">Rmassflow+J39</f>
        <v>5.274547708307396E-06</v>
      </c>
      <c r="L39" s="5">
        <f>L38+P38</f>
        <v>38.34060185001436</v>
      </c>
      <c r="M39" s="12">
        <f t="shared" si="0"/>
        <v>1.9702231723082964E-08</v>
      </c>
      <c r="N39" s="12">
        <f>Itf^2*M39</f>
        <v>3056704.1030750233</v>
      </c>
      <c r="O39" s="12">
        <f t="shared" si="1"/>
        <v>10711739.578251269</v>
      </c>
      <c r="P39" s="5">
        <f aca="true" t="shared" si="9" ref="P39:P45">Rmassflow*O39</f>
        <v>3.5987988810183937</v>
      </c>
      <c r="Q39" s="5">
        <f>J39*O39</f>
        <v>52.900782563432465</v>
      </c>
      <c r="R39" s="5">
        <f>L39+(P39/2)+Q39</f>
        <v>93.04078385395601</v>
      </c>
    </row>
    <row r="40" spans="1:18" ht="12.75">
      <c r="A40">
        <v>3</v>
      </c>
      <c r="B40" t="str">
        <f aca="true" t="shared" si="10" ref="B40:B45">IF(OR(A40=1,A40=8),"End","Center")</f>
        <v>Center</v>
      </c>
      <c r="C40" s="5">
        <f>B2</f>
        <v>0.30398270995734106</v>
      </c>
      <c r="D40" s="5">
        <f>B3/4</f>
        <v>1.2042569201023514</v>
      </c>
      <c r="E40" s="12">
        <f t="shared" si="2"/>
        <v>10268022.925246501</v>
      </c>
      <c r="F40" s="5">
        <f t="shared" si="3"/>
        <v>0.2177253015784148</v>
      </c>
      <c r="G40" s="12">
        <f t="shared" si="4"/>
        <v>2344.042977898166</v>
      </c>
      <c r="H40" s="12">
        <f t="shared" si="5"/>
        <v>904800.5894686921</v>
      </c>
      <c r="I40" s="12">
        <f t="shared" si="6"/>
        <v>13.85564432671959</v>
      </c>
      <c r="J40" s="12">
        <f t="shared" si="7"/>
        <v>2.3753019124603587E-06</v>
      </c>
      <c r="K40" s="12">
        <f t="shared" si="8"/>
        <v>2.7112696471806153E-06</v>
      </c>
      <c r="L40" s="5">
        <f aca="true" t="shared" si="11" ref="L40:L45">L39+P39</f>
        <v>41.939400731032755</v>
      </c>
      <c r="M40" s="12">
        <f t="shared" si="0"/>
        <v>1.1918638146165336E-07</v>
      </c>
      <c r="N40" s="12">
        <f aca="true" t="shared" si="12" ref="N40:N45">Itf^2*M40</f>
        <v>18491179.393533856</v>
      </c>
      <c r="O40" s="12">
        <f t="shared" si="1"/>
        <v>28759202.318780355</v>
      </c>
      <c r="P40" s="5">
        <f t="shared" si="9"/>
        <v>9.662164055402181</v>
      </c>
      <c r="Q40" s="5">
        <f aca="true" t="shared" si="13" ref="Q40:Q45">J40*O40</f>
        <v>68.31178826863336</v>
      </c>
      <c r="R40" s="5">
        <f aca="true" t="shared" si="14" ref="R40:R45">L40+(P40/2)+Q40</f>
        <v>115.08227102736721</v>
      </c>
    </row>
    <row r="41" spans="1:18" ht="12.75">
      <c r="A41">
        <v>4</v>
      </c>
      <c r="B41" t="str">
        <f t="shared" si="10"/>
        <v>Center</v>
      </c>
      <c r="C41" s="5">
        <f aca="true" t="shared" si="15" ref="C41:D43">C40</f>
        <v>0.30398270995734106</v>
      </c>
      <c r="D41" s="5">
        <f t="shared" si="15"/>
        <v>1.2042569201023514</v>
      </c>
      <c r="E41" s="12">
        <f t="shared" si="2"/>
        <v>10268022.925246501</v>
      </c>
      <c r="F41" s="5">
        <f t="shared" si="3"/>
        <v>0.2177253015784148</v>
      </c>
      <c r="G41" s="12">
        <f t="shared" si="4"/>
        <v>2344.042977898166</v>
      </c>
      <c r="H41" s="12">
        <f t="shared" si="5"/>
        <v>904800.5894686921</v>
      </c>
      <c r="I41" s="12">
        <f t="shared" si="6"/>
        <v>13.85564432671959</v>
      </c>
      <c r="J41" s="12">
        <f t="shared" si="7"/>
        <v>2.3753019124603587E-06</v>
      </c>
      <c r="K41" s="12">
        <f t="shared" si="8"/>
        <v>2.7112696471806153E-06</v>
      </c>
      <c r="L41" s="5">
        <f t="shared" si="11"/>
        <v>51.601564786434935</v>
      </c>
      <c r="M41" s="12">
        <f t="shared" si="0"/>
        <v>1.2351827433416627E-07</v>
      </c>
      <c r="N41" s="12">
        <f t="shared" si="12"/>
        <v>19163251.212787624</v>
      </c>
      <c r="O41" s="12">
        <f t="shared" si="1"/>
        <v>29431274.138034128</v>
      </c>
      <c r="P41" s="5">
        <f t="shared" si="9"/>
        <v>9.887958502086192</v>
      </c>
      <c r="Q41" s="5">
        <f t="shared" si="13"/>
        <v>69.90816174621756</v>
      </c>
      <c r="R41" s="5">
        <f t="shared" si="14"/>
        <v>126.4537057836956</v>
      </c>
    </row>
    <row r="42" spans="1:18" ht="12.75">
      <c r="A42">
        <v>5</v>
      </c>
      <c r="B42" t="str">
        <f t="shared" si="10"/>
        <v>Center</v>
      </c>
      <c r="C42" s="5">
        <f t="shared" si="15"/>
        <v>0.30398270995734106</v>
      </c>
      <c r="D42" s="5">
        <f t="shared" si="15"/>
        <v>1.2042569201023514</v>
      </c>
      <c r="E42" s="12">
        <f t="shared" si="2"/>
        <v>10268022.925246501</v>
      </c>
      <c r="F42" s="5">
        <f t="shared" si="3"/>
        <v>0.2177253015784148</v>
      </c>
      <c r="G42" s="12">
        <f t="shared" si="4"/>
        <v>2344.042977898166</v>
      </c>
      <c r="H42" s="12">
        <f t="shared" si="5"/>
        <v>904800.5894686921</v>
      </c>
      <c r="I42" s="12">
        <f t="shared" si="6"/>
        <v>13.85564432671959</v>
      </c>
      <c r="J42" s="12">
        <f t="shared" si="7"/>
        <v>2.3753019124603587E-06</v>
      </c>
      <c r="K42" s="12">
        <f t="shared" si="8"/>
        <v>2.7112696471806153E-06</v>
      </c>
      <c r="L42" s="5">
        <f t="shared" si="11"/>
        <v>61.48952328852113</v>
      </c>
      <c r="M42" s="12">
        <f t="shared" si="0"/>
        <v>1.2795139891301694E-07</v>
      </c>
      <c r="N42" s="12">
        <f t="shared" si="12"/>
        <v>19851028.632121272</v>
      </c>
      <c r="O42" s="12">
        <f t="shared" si="1"/>
        <v>30119051.557367772</v>
      </c>
      <c r="P42" s="5">
        <f t="shared" si="9"/>
        <v>10.119029523651461</v>
      </c>
      <c r="Q42" s="5">
        <f t="shared" si="13"/>
        <v>71.54184076570782</v>
      </c>
      <c r="R42" s="5">
        <f t="shared" si="14"/>
        <v>138.09087881605467</v>
      </c>
    </row>
    <row r="43" spans="1:18" ht="12.75">
      <c r="A43">
        <v>6</v>
      </c>
      <c r="B43" t="str">
        <f t="shared" si="10"/>
        <v>Center</v>
      </c>
      <c r="C43" s="5">
        <f t="shared" si="15"/>
        <v>0.30398270995734106</v>
      </c>
      <c r="D43" s="5">
        <f t="shared" si="15"/>
        <v>1.2042569201023514</v>
      </c>
      <c r="E43" s="12">
        <f t="shared" si="2"/>
        <v>10268022.925246501</v>
      </c>
      <c r="F43" s="5">
        <f t="shared" si="3"/>
        <v>0.2177253015784148</v>
      </c>
      <c r="G43" s="12">
        <f t="shared" si="4"/>
        <v>2344.042977898166</v>
      </c>
      <c r="H43" s="12">
        <f t="shared" si="5"/>
        <v>904800.5894686921</v>
      </c>
      <c r="I43" s="12">
        <f t="shared" si="6"/>
        <v>13.85564432671959</v>
      </c>
      <c r="J43" s="12">
        <f t="shared" si="7"/>
        <v>2.3753019124603587E-06</v>
      </c>
      <c r="K43" s="12">
        <f t="shared" si="8"/>
        <v>2.7112696471806153E-06</v>
      </c>
      <c r="L43" s="5">
        <f t="shared" si="11"/>
        <v>71.60855281217259</v>
      </c>
      <c r="M43" s="12">
        <f t="shared" si="0"/>
        <v>1.3248812087498212E-07</v>
      </c>
      <c r="N43" s="12">
        <f t="shared" si="12"/>
        <v>20554878.67462192</v>
      </c>
      <c r="O43" s="12">
        <f t="shared" si="1"/>
        <v>30822901.599868424</v>
      </c>
      <c r="P43" s="5">
        <f t="shared" si="9"/>
        <v>10.355500428013162</v>
      </c>
      <c r="Q43" s="5">
        <f t="shared" si="13"/>
        <v>73.21369711774491</v>
      </c>
      <c r="R43" s="5">
        <f t="shared" si="14"/>
        <v>150.00000014392407</v>
      </c>
    </row>
    <row r="44" spans="1:18" ht="12.75">
      <c r="A44">
        <v>7</v>
      </c>
      <c r="B44" t="s">
        <v>411</v>
      </c>
      <c r="C44" s="5">
        <f>C39</f>
        <v>0.47118616796587287</v>
      </c>
      <c r="D44" s="5">
        <f>D39</f>
        <v>0.5792097689439725</v>
      </c>
      <c r="E44" s="12">
        <f t="shared" si="2"/>
        <v>7655035.475176245</v>
      </c>
      <c r="F44" s="5">
        <f t="shared" si="3"/>
        <v>0.6249100060287128</v>
      </c>
      <c r="G44" s="12">
        <f t="shared" si="4"/>
        <v>3235.868583011845</v>
      </c>
      <c r="H44" s="12">
        <f t="shared" si="5"/>
        <v>1249045.2730425722</v>
      </c>
      <c r="I44" s="12">
        <f t="shared" si="6"/>
        <v>6.664129900426093</v>
      </c>
      <c r="J44" s="12">
        <f t="shared" si="7"/>
        <v>4.938579973587139E-06</v>
      </c>
      <c r="K44" s="12">
        <f t="shared" si="8"/>
        <v>5.274547708307396E-06</v>
      </c>
      <c r="L44" s="5">
        <f t="shared" si="11"/>
        <v>81.96405324018575</v>
      </c>
      <c r="M44" s="12">
        <f t="shared" si="0"/>
        <v>2.2979646997799175E-08</v>
      </c>
      <c r="N44" s="12">
        <f t="shared" si="12"/>
        <v>3565178.922502139</v>
      </c>
      <c r="O44" s="12">
        <f t="shared" si="1"/>
        <v>11220214.397678385</v>
      </c>
      <c r="P44" s="5">
        <f t="shared" si="9"/>
        <v>3.769630014263613</v>
      </c>
      <c r="Q44" s="5">
        <f t="shared" si="13"/>
        <v>55.411926123728556</v>
      </c>
      <c r="R44" s="5">
        <f t="shared" si="14"/>
        <v>139.2607943710461</v>
      </c>
    </row>
    <row r="45" spans="1:18" ht="12.75">
      <c r="A45">
        <v>8</v>
      </c>
      <c r="B45" t="str">
        <f t="shared" si="10"/>
        <v>End</v>
      </c>
      <c r="C45" s="5">
        <f>C38</f>
        <v>0.6383896259744046</v>
      </c>
      <c r="D45" s="5">
        <f>D38</f>
        <v>3.688402879967661</v>
      </c>
      <c r="E45" s="12">
        <v>0</v>
      </c>
      <c r="F45" s="5">
        <f t="shared" si="3"/>
        <v>1.207753699303936</v>
      </c>
      <c r="G45" s="12">
        <f t="shared" si="4"/>
        <v>39824.85907186985</v>
      </c>
      <c r="H45" s="12">
        <f t="shared" si="5"/>
        <v>15372395.601741761</v>
      </c>
      <c r="I45" s="12">
        <f t="shared" si="6"/>
        <v>42.43712249885732</v>
      </c>
      <c r="J45" s="12">
        <f t="shared" si="7"/>
        <v>7.755318110579659E-07</v>
      </c>
      <c r="K45" s="12">
        <f t="shared" si="8"/>
        <v>1.1114995457782223E-06</v>
      </c>
      <c r="L45" s="5">
        <f t="shared" si="11"/>
        <v>85.73368325444936</v>
      </c>
      <c r="M45" s="12">
        <f t="shared" si="0"/>
        <v>7.664867416430337E-08</v>
      </c>
      <c r="N45" s="12">
        <f t="shared" si="12"/>
        <v>11891663.853429954</v>
      </c>
      <c r="O45" s="12">
        <f t="shared" si="1"/>
        <v>11891663.853429954</v>
      </c>
      <c r="P45" s="5">
        <f t="shared" si="9"/>
        <v>3.995215366891617</v>
      </c>
      <c r="Q45" s="5">
        <f t="shared" si="13"/>
        <v>9.222363604743082</v>
      </c>
      <c r="R45" s="5">
        <f t="shared" si="14"/>
        <v>96.95365454263825</v>
      </c>
    </row>
    <row r="46" spans="4:7" ht="12.75">
      <c r="D46" s="5">
        <f>SUM(D38:D45)</f>
        <v>13.352252978232674</v>
      </c>
      <c r="F46" s="28" t="s">
        <v>415</v>
      </c>
      <c r="G46" s="12">
        <f>SUM(G38:G45)</f>
        <v>95497.62722135604</v>
      </c>
    </row>
    <row r="47" spans="11:18" ht="12.75">
      <c r="K47" s="28" t="s">
        <v>416</v>
      </c>
      <c r="L47" s="5">
        <f>L45+P45</f>
        <v>89.72889862134097</v>
      </c>
      <c r="M47" s="28" t="s">
        <v>415</v>
      </c>
      <c r="N47" s="12">
        <f>SUM(N38:N46)</f>
        <v>106517107.02677809</v>
      </c>
      <c r="Q47" s="28" t="s">
        <v>416</v>
      </c>
      <c r="R47" s="5">
        <f>MAX(R38:R45)</f>
        <v>150.00000014392407</v>
      </c>
    </row>
    <row r="48" spans="4:5" ht="12.75">
      <c r="D48">
        <f>D46/2</f>
        <v>6.676126489116337</v>
      </c>
      <c r="E48" s="5">
        <f>D48-D38</f>
        <v>2.987723609148676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8"/>
  <sheetViews>
    <sheetView workbookViewId="0" topLeftCell="A1">
      <selection activeCell="B8" sqref="B8"/>
    </sheetView>
  </sheetViews>
  <sheetFormatPr defaultColWidth="11.00390625" defaultRowHeight="12"/>
  <sheetData>
    <row r="1" spans="1:3" ht="12.75">
      <c r="A1" t="s">
        <v>11</v>
      </c>
      <c r="B1">
        <f>mu0*Itf/2/PI()/drtf</f>
        <v>8.19502158817235</v>
      </c>
      <c r="C1" t="s">
        <v>747</v>
      </c>
    </row>
    <row r="2" spans="1:2" ht="12.75">
      <c r="A2" t="s">
        <v>12</v>
      </c>
      <c r="B2">
        <v>0.34</v>
      </c>
    </row>
    <row r="3" spans="1:2" ht="12.75">
      <c r="A3" t="s">
        <v>13</v>
      </c>
      <c r="B3">
        <f>-1*Bmax^2/2/mu0*(3-2*Nu)/2/(1-Nu)</f>
        <v>-46965007.70711588</v>
      </c>
    </row>
    <row r="4" spans="1:2" ht="12.75">
      <c r="A4" t="s">
        <v>221</v>
      </c>
      <c r="B4">
        <f>-1*Bmax^2/2/mu0*((3-2*Nu)/2/(1-Nu)-(1+2*Nu)/2/(1-Nu))</f>
        <v>-12955864.195066445</v>
      </c>
    </row>
    <row r="5" spans="1:2" ht="12.75">
      <c r="A5" t="s">
        <v>222</v>
      </c>
      <c r="B5">
        <f>-1*Bmax^2/2/mu0*Nu/(1-Nu)</f>
        <v>-13765605.707258107</v>
      </c>
    </row>
    <row r="6" spans="1:2" ht="12.75">
      <c r="A6" t="s">
        <v>223</v>
      </c>
      <c r="B6">
        <f>SQRT(((B3-B4)^2+(B4-B5)^2+(B5-B3)^2)/2)</f>
        <v>33611588.90091259</v>
      </c>
    </row>
    <row r="7" spans="1:2" ht="12.75">
      <c r="A7" t="s">
        <v>224</v>
      </c>
      <c r="B7">
        <v>2</v>
      </c>
    </row>
    <row r="8" spans="1:3" ht="12.75">
      <c r="A8" t="s">
        <v>225</v>
      </c>
      <c r="B8">
        <f>B7*B6/1000000</f>
        <v>67.22317780182519</v>
      </c>
      <c r="C8" t="s">
        <v>226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workbookViewId="0" topLeftCell="A1">
      <selection activeCell="E20" sqref="E20"/>
    </sheetView>
  </sheetViews>
  <sheetFormatPr defaultColWidth="11.00390625" defaultRowHeight="12"/>
  <cols>
    <col min="1" max="1" width="35.875" style="0" bestFit="1" customWidth="1"/>
    <col min="2" max="2" width="12.125" style="0" bestFit="1" customWidth="1"/>
  </cols>
  <sheetData>
    <row r="1" spans="1:7" ht="12.75">
      <c r="A1" t="s">
        <v>187</v>
      </c>
      <c r="B1" s="4">
        <f>MAX(MIN(2*(kappa*R0/A_100-1.5),2*kappa*R0/A_100*0.333333),1)</f>
        <v>1.7840825419932314</v>
      </c>
      <c r="C1" t="s">
        <v>706</v>
      </c>
      <c r="D1" t="s">
        <v>335</v>
      </c>
      <c r="E1">
        <v>1.5</v>
      </c>
      <c r="F1">
        <v>2</v>
      </c>
      <c r="G1">
        <v>2.5</v>
      </c>
    </row>
    <row r="2" spans="1:19" ht="12.75">
      <c r="A2" t="s">
        <v>752</v>
      </c>
      <c r="B2" s="5">
        <f>B1/2/(kappa*R0/A)</f>
        <v>0.348340189177237</v>
      </c>
      <c r="C2" t="s">
        <v>39</v>
      </c>
      <c r="D2" t="s">
        <v>2</v>
      </c>
      <c r="E2">
        <v>1.5</v>
      </c>
      <c r="F2">
        <v>1.5</v>
      </c>
      <c r="G2">
        <v>1.8</v>
      </c>
      <c r="K2" t="s">
        <v>228</v>
      </c>
      <c r="L2">
        <v>1.44821393798907</v>
      </c>
      <c r="M2" t="s">
        <v>39</v>
      </c>
      <c r="O2" t="s">
        <v>310</v>
      </c>
      <c r="P2">
        <v>0.9886649730891136</v>
      </c>
      <c r="R2" t="s">
        <v>421</v>
      </c>
      <c r="S2">
        <f>xk1*xa</f>
        <v>1.4317983940292431</v>
      </c>
    </row>
    <row r="3" spans="1:16" ht="12.75">
      <c r="A3" t="s">
        <v>176</v>
      </c>
      <c r="B3" s="5">
        <f>P_aux</f>
        <v>39.51683605702496</v>
      </c>
      <c r="C3" t="s">
        <v>466</v>
      </c>
      <c r="D3" t="s">
        <v>310</v>
      </c>
      <c r="E3">
        <f>E2/E1</f>
        <v>1</v>
      </c>
      <c r="F3">
        <f>F2/F1</f>
        <v>0.75</v>
      </c>
      <c r="G3">
        <f>G2/G1</f>
        <v>0.72</v>
      </c>
      <c r="K3" t="s">
        <v>229</v>
      </c>
      <c r="L3">
        <f>B32*B33/B27</f>
        <v>0.9010491100332019</v>
      </c>
      <c r="M3" t="s">
        <v>39</v>
      </c>
      <c r="O3" t="s">
        <v>597</v>
      </c>
      <c r="P3">
        <v>1.0161463447243062</v>
      </c>
    </row>
    <row r="4" spans="1:18" ht="13.5">
      <c r="A4" t="s">
        <v>272</v>
      </c>
      <c r="B4" s="5">
        <f>E_nbi</f>
        <v>274.5888540965522</v>
      </c>
      <c r="C4" t="s">
        <v>177</v>
      </c>
      <c r="D4" t="s">
        <v>336</v>
      </c>
      <c r="E4">
        <v>3</v>
      </c>
      <c r="F4">
        <v>2.75</v>
      </c>
      <c r="G4">
        <v>2.5</v>
      </c>
      <c r="J4" s="37" t="s">
        <v>114</v>
      </c>
      <c r="K4" s="37" t="s">
        <v>319</v>
      </c>
      <c r="L4" t="s">
        <v>320</v>
      </c>
      <c r="M4" t="s">
        <v>322</v>
      </c>
      <c r="N4" t="s">
        <v>599</v>
      </c>
      <c r="O4" t="s">
        <v>321</v>
      </c>
      <c r="P4" t="s">
        <v>598</v>
      </c>
      <c r="Q4" t="s">
        <v>600</v>
      </c>
      <c r="R4" t="s">
        <v>186</v>
      </c>
    </row>
    <row r="5" spans="1:18" ht="13.5">
      <c r="A5" t="s">
        <v>368</v>
      </c>
      <c r="B5" s="5">
        <f>B3*1000000/B4/1000</f>
        <v>143.91274615658605</v>
      </c>
      <c r="C5" t="s">
        <v>669</v>
      </c>
      <c r="D5" t="s">
        <v>233</v>
      </c>
      <c r="E5">
        <f>E3*E4</f>
        <v>3</v>
      </c>
      <c r="F5">
        <f>F3*F4</f>
        <v>2.0625</v>
      </c>
      <c r="G5">
        <f>G3*G4</f>
        <v>1.7999999999999998</v>
      </c>
      <c r="J5" s="37">
        <v>0</v>
      </c>
      <c r="K5" s="37">
        <v>1</v>
      </c>
      <c r="L5" s="4">
        <f>xk1*xk2*K5</f>
        <v>1.3049118799627302</v>
      </c>
      <c r="M5">
        <v>0</v>
      </c>
      <c r="N5" s="4">
        <f>L5</f>
        <v>1.3049118799627302</v>
      </c>
      <c r="O5">
        <f>xk1*xk2*xa*(1-J5^2/xb^2)</f>
        <v>1.2901206686870172</v>
      </c>
      <c r="P5" s="37">
        <f aca="true" t="shared" si="0" ref="P5:P19">xk1*xk2*(J5-J5^3/3/xa^2)</f>
        <v>0</v>
      </c>
      <c r="Q5">
        <f>O5</f>
        <v>1.2901206686870172</v>
      </c>
      <c r="R5">
        <f>(Q5-N5)^2</f>
        <v>0.00021877993100277712</v>
      </c>
    </row>
    <row r="6" spans="1:18" ht="13.5">
      <c r="A6" t="s">
        <v>178</v>
      </c>
      <c r="B6" s="5">
        <f>IF(B4&lt;=120,G20,E20)</f>
        <v>40.4040404040404</v>
      </c>
      <c r="C6" t="s">
        <v>118</v>
      </c>
      <c r="D6" t="s">
        <v>74</v>
      </c>
      <c r="E6">
        <f>2*(E4*E3-1.5)</f>
        <v>3</v>
      </c>
      <c r="F6">
        <f>2*(F4*F3-1.5)</f>
        <v>1.125</v>
      </c>
      <c r="G6">
        <f>2*(G4*G3-1.5)</f>
        <v>0.5999999999999996</v>
      </c>
      <c r="J6" s="37">
        <v>0.056391</v>
      </c>
      <c r="K6" s="37">
        <v>1</v>
      </c>
      <c r="L6" s="4">
        <f aca="true" t="shared" si="1" ref="L6:L19">xk1*xk2*K6</f>
        <v>1.3049118799627302</v>
      </c>
      <c r="M6">
        <f>M5+L5*(J6-J5)</f>
        <v>0.07358528582297831</v>
      </c>
      <c r="N6">
        <f>M6/J6</f>
        <v>1.3049118799627302</v>
      </c>
      <c r="O6">
        <f aca="true" t="shared" si="2" ref="O6:O19">xk1*xk2*xa*(1-J6^2/xb^2)</f>
        <v>1.2861474963159674</v>
      </c>
      <c r="P6" s="37">
        <f t="shared" si="0"/>
        <v>0.07350548800378243</v>
      </c>
      <c r="Q6">
        <f>xk1*xk2*xa*(J6-J6^3/3/xb^2)/J6</f>
        <v>1.2887962778966675</v>
      </c>
      <c r="R6">
        <f aca="true" t="shared" si="3" ref="R6:R19">(Q6-N6)^2</f>
        <v>0.00025971262995168315</v>
      </c>
    </row>
    <row r="7" spans="1:18" ht="13.5">
      <c r="A7" t="s">
        <v>262</v>
      </c>
      <c r="B7" s="5">
        <f>B5/B6</f>
        <v>3.561840467375505</v>
      </c>
      <c r="C7" t="s">
        <v>119</v>
      </c>
      <c r="D7" t="s">
        <v>345</v>
      </c>
      <c r="E7">
        <f>2*(E4*E3)/3</f>
        <v>2</v>
      </c>
      <c r="F7">
        <f>2*(F4*F3)/3</f>
        <v>1.375</v>
      </c>
      <c r="G7">
        <f>2*(G4*G3)/3</f>
        <v>1.2</v>
      </c>
      <c r="J7" s="37">
        <v>0.11278</v>
      </c>
      <c r="K7" s="37">
        <v>0.97054</v>
      </c>
      <c r="L7" s="4">
        <f t="shared" si="1"/>
        <v>1.266469175979028</v>
      </c>
      <c r="M7">
        <f aca="true" t="shared" si="4" ref="M7:M19">M6+L6*(J7-J6)</f>
        <v>0.1471679618221967</v>
      </c>
      <c r="N7">
        <f aca="true" t="shared" si="5" ref="N7:N19">M7/J7</f>
        <v>1.3049118799627302</v>
      </c>
      <c r="O7">
        <f t="shared" si="2"/>
        <v>1.274228542858315</v>
      </c>
      <c r="P7" s="37">
        <f t="shared" si="0"/>
        <v>0.1465296132299656</v>
      </c>
      <c r="Q7">
        <f aca="true" t="shared" si="6" ref="Q7:Q19">xk1*xk2*xa*(J7-J7^3/3/xb^2)/J7</f>
        <v>1.2848232934107833</v>
      </c>
      <c r="R7">
        <f t="shared" si="3"/>
        <v>0.0004035513096550617</v>
      </c>
    </row>
    <row r="8" spans="1:18" ht="13.5">
      <c r="A8" t="s">
        <v>509</v>
      </c>
      <c r="B8" s="5">
        <v>1.25</v>
      </c>
      <c r="D8" t="s">
        <v>737</v>
      </c>
      <c r="E8">
        <f>MAX(MIN(E6,E7),1)</f>
        <v>2</v>
      </c>
      <c r="F8">
        <f>MAX(MIN(F6,F7),1)</f>
        <v>1.125</v>
      </c>
      <c r="G8">
        <f>MAX(MIN(G6,G7),1)</f>
        <v>1</v>
      </c>
      <c r="J8" s="37">
        <v>0.18797</v>
      </c>
      <c r="K8" s="37">
        <v>0.93023</v>
      </c>
      <c r="L8" s="4">
        <f t="shared" si="1"/>
        <v>1.2138681780977305</v>
      </c>
      <c r="M8">
        <f t="shared" si="4"/>
        <v>0.24239377916405982</v>
      </c>
      <c r="N8">
        <f t="shared" si="5"/>
        <v>1.2895343893390425</v>
      </c>
      <c r="O8">
        <f t="shared" si="2"/>
        <v>1.2459743090086859</v>
      </c>
      <c r="P8" s="37">
        <f t="shared" si="0"/>
        <v>0.24232881129156147</v>
      </c>
      <c r="Q8">
        <f t="shared" si="6"/>
        <v>1.2754052154609068</v>
      </c>
      <c r="R8">
        <f t="shared" si="3"/>
        <v>0.00019963355447859295</v>
      </c>
    </row>
    <row r="9" spans="1:18" ht="13.5">
      <c r="A9" t="s">
        <v>179</v>
      </c>
      <c r="B9" s="5">
        <f>MAX(1,INT(1+B7/B1/B8))</f>
        <v>2</v>
      </c>
      <c r="D9" t="s">
        <v>457</v>
      </c>
      <c r="E9">
        <f>E8/(2*E4*E3)</f>
        <v>0.3333333333333333</v>
      </c>
      <c r="F9">
        <f>F8/(2*F4*F3)</f>
        <v>0.2727272727272727</v>
      </c>
      <c r="G9">
        <f>G8/(2*G4*G3)</f>
        <v>0.2777777777777778</v>
      </c>
      <c r="J9" s="37">
        <v>0.26316</v>
      </c>
      <c r="K9" s="37">
        <v>0.86357</v>
      </c>
      <c r="L9" s="4">
        <f t="shared" si="1"/>
        <v>1.126882752179415</v>
      </c>
      <c r="M9">
        <f t="shared" si="4"/>
        <v>0.3336645274752282</v>
      </c>
      <c r="N9">
        <f t="shared" si="5"/>
        <v>1.2679150610853784</v>
      </c>
      <c r="O9">
        <f t="shared" si="2"/>
        <v>1.2035924885046683</v>
      </c>
      <c r="P9" s="37">
        <f t="shared" si="0"/>
        <v>0.33529060261557037</v>
      </c>
      <c r="Q9">
        <f t="shared" si="6"/>
        <v>1.2612779419595674</v>
      </c>
      <c r="R9">
        <f t="shared" si="3"/>
        <v>4.405135029020614E-05</v>
      </c>
    </row>
    <row r="10" spans="1:18" ht="13.5">
      <c r="A10" t="s">
        <v>212</v>
      </c>
      <c r="B10" s="5">
        <f>B7/B1/B9</f>
        <v>0.9982274876688464</v>
      </c>
      <c r="C10" t="s">
        <v>706</v>
      </c>
      <c r="J10" s="37">
        <v>0.33835</v>
      </c>
      <c r="K10" s="37">
        <v>0.82636</v>
      </c>
      <c r="L10" s="4">
        <f t="shared" si="1"/>
        <v>1.0783269811260017</v>
      </c>
      <c r="M10">
        <f t="shared" si="4"/>
        <v>0.41839484161159834</v>
      </c>
      <c r="N10">
        <f t="shared" si="5"/>
        <v>1.236574084857687</v>
      </c>
      <c r="O10">
        <f t="shared" si="2"/>
        <v>1.1470830813462627</v>
      </c>
      <c r="P10" s="37">
        <f t="shared" si="0"/>
        <v>0.42427999431696184</v>
      </c>
      <c r="Q10">
        <f t="shared" si="6"/>
        <v>1.2424414729067657</v>
      </c>
      <c r="R10">
        <f t="shared" si="3"/>
        <v>3.442624251847172E-05</v>
      </c>
    </row>
    <row r="11" spans="1:18" ht="13.5">
      <c r="A11" s="16" t="s">
        <v>365</v>
      </c>
      <c r="B11" s="21">
        <f>R0+R0/A_100+OSOL</f>
        <v>2.136017290042659</v>
      </c>
      <c r="C11" t="s">
        <v>706</v>
      </c>
      <c r="J11" s="37">
        <v>0.41353</v>
      </c>
      <c r="K11" s="37">
        <v>0.74264</v>
      </c>
      <c r="L11" s="4">
        <f t="shared" si="1"/>
        <v>0.9690797585355219</v>
      </c>
      <c r="M11">
        <f t="shared" si="4"/>
        <v>0.4994634640526512</v>
      </c>
      <c r="N11">
        <f t="shared" si="5"/>
        <v>1.2078046672615075</v>
      </c>
      <c r="O11">
        <f t="shared" si="2"/>
        <v>1.076456421334198</v>
      </c>
      <c r="P11" s="37">
        <f t="shared" si="0"/>
        <v>0.5081512273999087</v>
      </c>
      <c r="Q11">
        <f t="shared" si="6"/>
        <v>1.2188992529027443</v>
      </c>
      <c r="R11">
        <f t="shared" si="3"/>
        <v>0.00012308983055073723</v>
      </c>
    </row>
    <row r="12" spans="1:18" ht="13.5">
      <c r="A12" s="16" t="s">
        <v>366</v>
      </c>
      <c r="B12" s="21">
        <f>R0</f>
        <v>1.2</v>
      </c>
      <c r="C12" t="s">
        <v>706</v>
      </c>
      <c r="J12" s="37">
        <v>0.48872</v>
      </c>
      <c r="K12" s="37">
        <v>0.69302</v>
      </c>
      <c r="L12" s="4">
        <f t="shared" si="1"/>
        <v>0.9043300310517712</v>
      </c>
      <c r="M12">
        <f t="shared" si="4"/>
        <v>0.572328571096937</v>
      </c>
      <c r="N12">
        <f t="shared" si="5"/>
        <v>1.1710766309889855</v>
      </c>
      <c r="O12">
        <f t="shared" si="2"/>
        <v>0.9916937197853102</v>
      </c>
      <c r="P12" s="37">
        <f t="shared" si="0"/>
        <v>0.5857917468807667</v>
      </c>
      <c r="Q12">
        <f t="shared" si="6"/>
        <v>1.190645019053115</v>
      </c>
      <c r="R12">
        <f t="shared" si="3"/>
        <v>0.0003829218114283669</v>
      </c>
    </row>
    <row r="13" spans="1:18" ht="13.5">
      <c r="A13" s="16" t="s">
        <v>367</v>
      </c>
      <c r="B13" s="21">
        <f>ACOS(B12/B11)*180/PI()</f>
        <v>55.820099226734605</v>
      </c>
      <c r="C13" t="s">
        <v>520</v>
      </c>
      <c r="D13" t="s">
        <v>39</v>
      </c>
      <c r="J13" s="37">
        <v>0.56391</v>
      </c>
      <c r="K13" s="37">
        <v>0.61085</v>
      </c>
      <c r="L13" s="4">
        <f t="shared" si="1"/>
        <v>0.7971054218752337</v>
      </c>
      <c r="M13">
        <f t="shared" si="4"/>
        <v>0.6403251461317198</v>
      </c>
      <c r="N13">
        <f t="shared" si="5"/>
        <v>1.1355094716031278</v>
      </c>
      <c r="O13">
        <f t="shared" si="2"/>
        <v>0.8928034315820343</v>
      </c>
      <c r="P13" s="37">
        <f t="shared" si="0"/>
        <v>0.6560550390338945</v>
      </c>
      <c r="Q13">
        <f t="shared" si="6"/>
        <v>1.1576815896520227</v>
      </c>
      <c r="R13">
        <f t="shared" si="3"/>
        <v>0.0004916028187741337</v>
      </c>
    </row>
    <row r="14" spans="1:18" ht="13.5">
      <c r="A14" s="16" t="s">
        <v>658</v>
      </c>
      <c r="B14" s="21">
        <f>B10/COS(PI()/2-B13*PI()/180)</f>
        <v>1.2066413570069054</v>
      </c>
      <c r="C14" t="s">
        <v>706</v>
      </c>
      <c r="J14" s="37">
        <v>0.6391</v>
      </c>
      <c r="K14" s="37">
        <v>0.57674</v>
      </c>
      <c r="L14" s="4">
        <f t="shared" si="1"/>
        <v>0.752594877649705</v>
      </c>
      <c r="M14">
        <f t="shared" si="4"/>
        <v>0.7002595028025186</v>
      </c>
      <c r="N14">
        <f t="shared" si="5"/>
        <v>1.095696296045249</v>
      </c>
      <c r="O14">
        <f t="shared" si="2"/>
        <v>0.7797855567243703</v>
      </c>
      <c r="P14" s="37">
        <f t="shared" si="0"/>
        <v>0.7178061109742611</v>
      </c>
      <c r="Q14">
        <f t="shared" si="6"/>
        <v>1.1200089646994682</v>
      </c>
      <c r="R14">
        <f t="shared" si="3"/>
        <v>0.0005911058570898536</v>
      </c>
    </row>
    <row r="15" spans="1:18" ht="13.5">
      <c r="A15" s="16" t="s">
        <v>260</v>
      </c>
      <c r="B15" s="21">
        <f>2*180/PI()*ASIN(B14/2/B11)</f>
        <v>32.813110986352626</v>
      </c>
      <c r="C15" t="s">
        <v>520</v>
      </c>
      <c r="D15" t="s">
        <v>386</v>
      </c>
      <c r="F15" t="s">
        <v>259</v>
      </c>
      <c r="J15" s="37">
        <v>0.71429</v>
      </c>
      <c r="K15" s="37">
        <v>0.48372</v>
      </c>
      <c r="L15" s="4">
        <f t="shared" si="1"/>
        <v>0.6312119745755718</v>
      </c>
      <c r="M15">
        <f t="shared" si="4"/>
        <v>0.7568471116529999</v>
      </c>
      <c r="N15">
        <f t="shared" si="5"/>
        <v>1.0595795988366068</v>
      </c>
      <c r="O15">
        <f t="shared" si="2"/>
        <v>0.652640095212318</v>
      </c>
      <c r="P15" s="37">
        <f t="shared" si="0"/>
        <v>0.7699099698168366</v>
      </c>
      <c r="Q15">
        <f t="shared" si="6"/>
        <v>1.0776271441954508</v>
      </c>
      <c r="R15">
        <f t="shared" si="3"/>
        <v>0.0003257138934795319</v>
      </c>
    </row>
    <row r="16" spans="1:18" ht="13.5">
      <c r="A16" s="16" t="s">
        <v>261</v>
      </c>
      <c r="B16" s="21">
        <f>B9*B15/360*2*PI()*B11*B1</f>
        <v>4.364901804396554</v>
      </c>
      <c r="C16" t="s">
        <v>119</v>
      </c>
      <c r="D16" t="s">
        <v>548</v>
      </c>
      <c r="E16">
        <v>10</v>
      </c>
      <c r="F16" t="s">
        <v>548</v>
      </c>
      <c r="G16">
        <v>8</v>
      </c>
      <c r="J16" s="37">
        <v>0.78947</v>
      </c>
      <c r="K16" s="37">
        <v>0.42636</v>
      </c>
      <c r="L16" s="4">
        <f t="shared" si="1"/>
        <v>0.5563622291409096</v>
      </c>
      <c r="M16">
        <f t="shared" si="4"/>
        <v>0.8043016279015914</v>
      </c>
      <c r="N16">
        <f t="shared" si="5"/>
        <v>1.0187868163471587</v>
      </c>
      <c r="O16">
        <f t="shared" si="2"/>
        <v>0.5113867751881882</v>
      </c>
      <c r="P16" s="37">
        <f t="shared" si="0"/>
        <v>0.8112268942537446</v>
      </c>
      <c r="Q16">
        <f t="shared" si="6"/>
        <v>1.0305427041874076</v>
      </c>
      <c r="R16">
        <f t="shared" si="3"/>
        <v>0.00013820089891251043</v>
      </c>
    </row>
    <row r="17" spans="1:18" ht="13.5">
      <c r="A17" s="34" t="s">
        <v>534</v>
      </c>
      <c r="B17" s="5">
        <v>1</v>
      </c>
      <c r="C17" t="s">
        <v>706</v>
      </c>
      <c r="D17" t="s">
        <v>485</v>
      </c>
      <c r="E17">
        <v>500</v>
      </c>
      <c r="F17" t="s">
        <v>485</v>
      </c>
      <c r="G17">
        <v>120</v>
      </c>
      <c r="J17" s="37">
        <v>0.86466</v>
      </c>
      <c r="K17" s="37">
        <v>0.34264</v>
      </c>
      <c r="L17" s="4">
        <f t="shared" si="1"/>
        <v>0.44711500655042985</v>
      </c>
      <c r="M17">
        <f t="shared" si="4"/>
        <v>0.8461345039106964</v>
      </c>
      <c r="N17">
        <f t="shared" si="5"/>
        <v>0.9785748200572438</v>
      </c>
      <c r="O17">
        <f t="shared" si="2"/>
        <v>0.3559880192856539</v>
      </c>
      <c r="P17" s="37">
        <f t="shared" si="0"/>
        <v>0.8406330086552533</v>
      </c>
      <c r="Q17">
        <f t="shared" si="6"/>
        <v>0.9787431188865627</v>
      </c>
      <c r="R17">
        <f t="shared" si="3"/>
        <v>2.8324495950113077E-08</v>
      </c>
    </row>
    <row r="18" spans="1:18" ht="13.5">
      <c r="A18" s="34" t="s">
        <v>238</v>
      </c>
      <c r="B18" s="21">
        <f>2*180/PI()*ASIN(B17/2/B11)</f>
        <v>27.074855470469725</v>
      </c>
      <c r="C18" t="s">
        <v>520</v>
      </c>
      <c r="D18" t="s">
        <v>486</v>
      </c>
      <c r="E18">
        <f>E16/E17*1000</f>
        <v>20</v>
      </c>
      <c r="F18" t="s">
        <v>486</v>
      </c>
      <c r="G18">
        <f>G16/G17*1000</f>
        <v>66.66666666666667</v>
      </c>
      <c r="J18" s="37">
        <v>0.93985</v>
      </c>
      <c r="K18" s="37">
        <v>0.27132</v>
      </c>
      <c r="L18" s="4">
        <f t="shared" si="1"/>
        <v>0.35404869127148797</v>
      </c>
      <c r="M18">
        <f t="shared" si="4"/>
        <v>0.8797530812532233</v>
      </c>
      <c r="N18">
        <f t="shared" si="5"/>
        <v>0.936056904030668</v>
      </c>
      <c r="O18">
        <f t="shared" si="2"/>
        <v>0.1864616767287315</v>
      </c>
      <c r="P18" s="37">
        <f t="shared" si="0"/>
        <v>0.8569870822538574</v>
      </c>
      <c r="Q18">
        <f t="shared" si="6"/>
        <v>0.9222343380342554</v>
      </c>
      <c r="R18">
        <f t="shared" si="3"/>
        <v>0.00019106333072518262</v>
      </c>
    </row>
    <row r="19" spans="1:18" ht="13.5">
      <c r="A19" s="34" t="s">
        <v>521</v>
      </c>
      <c r="B19" s="29">
        <v>2</v>
      </c>
      <c r="D19" t="s">
        <v>753</v>
      </c>
      <c r="E19">
        <f>0.45*1.1</f>
        <v>0.49500000000000005</v>
      </c>
      <c r="F19" t="s">
        <v>753</v>
      </c>
      <c r="G19">
        <f>30*24*2.54^2/100^2</f>
        <v>0.4645152</v>
      </c>
      <c r="J19" s="37">
        <v>1</v>
      </c>
      <c r="K19" s="37">
        <v>0.15504</v>
      </c>
      <c r="L19" s="4">
        <f t="shared" si="1"/>
        <v>0.2023135378694217</v>
      </c>
      <c r="M19">
        <f t="shared" si="4"/>
        <v>0.9010491100332033</v>
      </c>
      <c r="N19">
        <f t="shared" si="5"/>
        <v>0.9010491100332033</v>
      </c>
      <c r="O19">
        <f t="shared" si="2"/>
        <v>0.040673738084753976</v>
      </c>
      <c r="P19" s="37">
        <f t="shared" si="0"/>
        <v>0.8599102167274686</v>
      </c>
      <c r="Q19">
        <f t="shared" si="6"/>
        <v>0.8736383584862629</v>
      </c>
      <c r="R19">
        <f t="shared" si="3"/>
        <v>0.0007513493003680951</v>
      </c>
    </row>
    <row r="20" spans="1:18" ht="12.75">
      <c r="A20" t="s">
        <v>510</v>
      </c>
      <c r="B20">
        <f>INT((360-B9*B15-B19*B18)/B18)</f>
        <v>8</v>
      </c>
      <c r="D20" t="s">
        <v>487</v>
      </c>
      <c r="E20" s="5">
        <f>E18/E19</f>
        <v>40.4040404040404</v>
      </c>
      <c r="F20" s="5" t="s">
        <v>487</v>
      </c>
      <c r="G20" s="5">
        <f>G18/G19</f>
        <v>143.51880555612965</v>
      </c>
      <c r="L20" s="4"/>
      <c r="R20">
        <f>SUM(R5:R19)</f>
        <v>0.004155231083721155</v>
      </c>
    </row>
    <row r="21" spans="1:12" ht="12.75">
      <c r="A21" t="s">
        <v>188</v>
      </c>
      <c r="B21" s="5">
        <f>B20*B1*B17</f>
        <v>14.27266033594585</v>
      </c>
      <c r="L21" s="4"/>
    </row>
    <row r="22" ht="12.75">
      <c r="L22" s="4"/>
    </row>
    <row r="23" spans="1:12" ht="12.75">
      <c r="A23" t="s">
        <v>243</v>
      </c>
      <c r="B23" s="4">
        <f>2*ASIN((drtf+drfw)/(R0+R0/A/3))</f>
        <v>0.501581459107296</v>
      </c>
      <c r="L23" s="4"/>
    </row>
    <row r="24" spans="1:2" ht="12.75">
      <c r="A24" t="s">
        <v>244</v>
      </c>
      <c r="B24" s="4">
        <f>ATAN(dztfmiddle/2/((R0+R0/A/3)-(drtf+drfw)))</f>
        <v>1.1414521181626005</v>
      </c>
    </row>
    <row r="25" spans="1:2" ht="12.75">
      <c r="A25" t="s">
        <v>540</v>
      </c>
      <c r="B25" s="3">
        <f>B23*SIN(B24)/2/PI()</f>
        <v>0.0725837881797022</v>
      </c>
    </row>
    <row r="27" spans="1:2" ht="12.75">
      <c r="A27" t="s">
        <v>306</v>
      </c>
      <c r="B27" s="5">
        <f>B32+B30+B28</f>
        <v>105.92376091158711</v>
      </c>
    </row>
    <row r="28" spans="1:2" ht="12.75">
      <c r="A28" t="s">
        <v>230</v>
      </c>
      <c r="B28" s="5">
        <f>2*PI()*(drtf+drfw)*2*kappa*R0/A_100</f>
        <v>12.240446357167416</v>
      </c>
    </row>
    <row r="29" spans="1:2" ht="12.75">
      <c r="A29" t="s">
        <v>594</v>
      </c>
      <c r="B29" s="5">
        <f>f_CS/(B28/B27)</f>
        <v>0.6281100869088921</v>
      </c>
    </row>
    <row r="30" spans="1:2" ht="12.75">
      <c r="A30" t="s">
        <v>507</v>
      </c>
      <c r="B30" s="5">
        <f>2*PI()*((R0+R0/A_100)^2-(drtf+drfw)^2)</f>
        <v>25.213687456051822</v>
      </c>
    </row>
    <row r="31" spans="1:2" ht="12.75">
      <c r="A31" t="s">
        <v>595</v>
      </c>
      <c r="B31" s="5">
        <f>(B27-B29*B28-B33*B32)/B30</f>
        <v>0.11076930300242428</v>
      </c>
    </row>
    <row r="32" spans="1:2" ht="12.75">
      <c r="A32" t="s">
        <v>307</v>
      </c>
      <c r="B32" s="14">
        <f>2*PI()*(R0+R0/A_100)*2*kappa*R0/A_100</f>
        <v>68.46962709836788</v>
      </c>
    </row>
    <row r="33" spans="1:2" ht="12.75">
      <c r="A33" t="s">
        <v>596</v>
      </c>
      <c r="B33" s="5">
        <f>4.6/3.3</f>
        <v>1.3939393939393938</v>
      </c>
    </row>
    <row r="34" spans="1:3" ht="12.75">
      <c r="A34" t="s">
        <v>315</v>
      </c>
      <c r="B34" s="5">
        <f>B33*xk1*xk2*xa*(B2-B2^3/3/xb^2)/B2</f>
        <v>1.7279054374786469</v>
      </c>
      <c r="C34" s="5"/>
    </row>
    <row r="36" spans="1:2" ht="12.75">
      <c r="A36" t="s">
        <v>468</v>
      </c>
      <c r="B36" s="5">
        <f>MIN(B21,10)</f>
        <v>10</v>
      </c>
    </row>
    <row r="37" spans="1:8" ht="12.75">
      <c r="A37" t="s">
        <v>439</v>
      </c>
      <c r="B37" s="5">
        <f>MIN(B20,INT(1+B36/(B1*B17)))</f>
        <v>6</v>
      </c>
      <c r="F37" t="s">
        <v>39</v>
      </c>
      <c r="G37" t="s">
        <v>39</v>
      </c>
      <c r="H37" t="s">
        <v>39</v>
      </c>
    </row>
    <row r="38" spans="1:2" ht="12.75">
      <c r="A38" t="s">
        <v>211</v>
      </c>
      <c r="B38" s="1">
        <f>B37*B1*B17</f>
        <v>10.704495251959388</v>
      </c>
    </row>
    <row r="39" spans="1:2" ht="12.75">
      <c r="A39" t="s">
        <v>469</v>
      </c>
      <c r="B39" s="5">
        <f>B37*B1*B17*B34</f>
        <v>18.496355551324985</v>
      </c>
    </row>
    <row r="40" spans="1:2" ht="12.75">
      <c r="A40" s="34" t="s">
        <v>758</v>
      </c>
      <c r="B40" s="5">
        <f>B1*B17*B19*B34</f>
        <v>6.165451850441662</v>
      </c>
    </row>
    <row r="41" spans="1:2" ht="12.75">
      <c r="A41" s="34" t="s">
        <v>759</v>
      </c>
      <c r="B41" s="5">
        <f>B30*B31</f>
        <v>2.7929025856278287</v>
      </c>
    </row>
    <row r="42" spans="1:2" ht="12.75">
      <c r="A42" s="39" t="s">
        <v>539</v>
      </c>
      <c r="B42" s="5">
        <f>B28*B29</f>
        <v>7.688347825204058</v>
      </c>
    </row>
    <row r="43" spans="1:2" ht="12.75">
      <c r="A43" s="39" t="s">
        <v>422</v>
      </c>
      <c r="B43" s="5">
        <f>B14*B1*B34*B9</f>
        <v>7.439489187377662</v>
      </c>
    </row>
    <row r="44" spans="1:2" ht="12.75">
      <c r="A44" t="s">
        <v>139</v>
      </c>
      <c r="B44" s="5">
        <f>B40+B41+B42+B43</f>
        <v>24.086191448651213</v>
      </c>
    </row>
    <row r="45" spans="1:2" ht="12.75">
      <c r="A45" t="s">
        <v>420</v>
      </c>
      <c r="B45" s="5">
        <f>B27</f>
        <v>105.92376091158711</v>
      </c>
    </row>
    <row r="46" spans="1:2" ht="12.75">
      <c r="A46" t="s">
        <v>242</v>
      </c>
      <c r="B46" s="5">
        <f>(B45-B44)/B45</f>
        <v>0.7726082302840854</v>
      </c>
    </row>
    <row r="47" spans="3:7" ht="12.75">
      <c r="C47" s="9"/>
      <c r="F47" s="4"/>
      <c r="G47" s="4"/>
    </row>
    <row r="48" spans="1:7" ht="12.75">
      <c r="A48" t="s">
        <v>655</v>
      </c>
      <c r="B48">
        <f>B33*xk1*xk2*xa</f>
        <v>1.7983500230182663</v>
      </c>
      <c r="C48" s="9"/>
      <c r="F48" s="4"/>
      <c r="G48" s="4"/>
    </row>
    <row r="49" spans="3:7" ht="12.75">
      <c r="C49" s="9"/>
      <c r="F49" s="4"/>
      <c r="G49" s="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12"/>
  <sheetViews>
    <sheetView workbookViewId="0" topLeftCell="A1">
      <selection activeCell="B2" sqref="B2"/>
    </sheetView>
  </sheetViews>
  <sheetFormatPr defaultColWidth="11.00390625" defaultRowHeight="12"/>
  <sheetData>
    <row r="1" spans="1:4" ht="12.75">
      <c r="A1" t="s">
        <v>39</v>
      </c>
      <c r="B1">
        <v>200</v>
      </c>
      <c r="C1" t="s">
        <v>546</v>
      </c>
      <c r="D1" t="s">
        <v>547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">
      <c r="A5">
        <v>5</v>
      </c>
    </row>
    <row r="6" ht="12">
      <c r="A6">
        <v>6</v>
      </c>
    </row>
    <row r="7" ht="12">
      <c r="A7">
        <v>10</v>
      </c>
    </row>
    <row r="8" ht="12">
      <c r="A8">
        <v>12</v>
      </c>
    </row>
    <row r="9" ht="12">
      <c r="A9">
        <v>15</v>
      </c>
    </row>
    <row r="10" ht="12">
      <c r="A10">
        <v>20</v>
      </c>
    </row>
    <row r="11" ht="12">
      <c r="A11">
        <v>25</v>
      </c>
    </row>
    <row r="12" ht="12">
      <c r="A12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21"/>
  <sheetViews>
    <sheetView workbookViewId="0" topLeftCell="A1">
      <selection activeCell="C8" sqref="C8"/>
    </sheetView>
  </sheetViews>
  <sheetFormatPr defaultColWidth="11.00390625" defaultRowHeight="12"/>
  <cols>
    <col min="4" max="4" width="12.125" style="0" customWidth="1"/>
  </cols>
  <sheetData>
    <row r="1" spans="1:2" ht="12.75">
      <c r="A1" t="s">
        <v>310</v>
      </c>
      <c r="B1" s="6">
        <v>-0.0008470712825632544</v>
      </c>
    </row>
    <row r="2" spans="1:2" ht="12.75">
      <c r="A2" t="s">
        <v>597</v>
      </c>
      <c r="B2" s="6">
        <v>0.0018524690844933184</v>
      </c>
    </row>
    <row r="3" spans="1:2" s="13" customFormat="1" ht="12.75">
      <c r="A3" s="13" t="s">
        <v>549</v>
      </c>
      <c r="B3" s="173">
        <v>-5.306879867378073E-05</v>
      </c>
    </row>
    <row r="4" spans="1:2" s="13" customFormat="1" ht="12.75">
      <c r="A4" s="13" t="s">
        <v>674</v>
      </c>
      <c r="B4" s="173">
        <v>0.5326782116688302</v>
      </c>
    </row>
    <row r="5" spans="3:12" ht="12.75">
      <c r="C5">
        <v>200</v>
      </c>
      <c r="F5">
        <v>300</v>
      </c>
      <c r="I5">
        <v>400</v>
      </c>
      <c r="L5">
        <v>500</v>
      </c>
    </row>
    <row r="6" spans="1:12" ht="12.75">
      <c r="A6" t="s">
        <v>747</v>
      </c>
      <c r="B6" t="s">
        <v>550</v>
      </c>
      <c r="C6" t="s">
        <v>551</v>
      </c>
      <c r="E6" t="s">
        <v>552</v>
      </c>
      <c r="F6" t="s">
        <v>553</v>
      </c>
      <c r="H6" t="s">
        <v>554</v>
      </c>
      <c r="I6" t="s">
        <v>555</v>
      </c>
      <c r="K6" t="s">
        <v>556</v>
      </c>
      <c r="L6" t="s">
        <v>617</v>
      </c>
    </row>
    <row r="7" spans="1:13" ht="12.75">
      <c r="A7">
        <v>8</v>
      </c>
      <c r="B7">
        <v>0.19</v>
      </c>
      <c r="C7">
        <f>C5^kd*(ka+kb*A7+kc*A7^2)</f>
        <v>0.17784489867293268</v>
      </c>
      <c r="D7">
        <f>(C7-B7)^2</f>
        <v>0.0001477464882712737</v>
      </c>
      <c r="E7">
        <v>0.24</v>
      </c>
      <c r="F7">
        <f>F5^kd*(ka+kb*A7+kc*A7^2)</f>
        <v>0.22071984846320583</v>
      </c>
      <c r="G7">
        <f>(F7-E7)^2</f>
        <v>0.00037172424328174624</v>
      </c>
      <c r="H7">
        <v>0.26</v>
      </c>
      <c r="I7" s="28">
        <f>I5^kd*(ka+kb*A7+kc*A7^2)</f>
        <v>0.25727259796645346</v>
      </c>
      <c r="J7">
        <f>(I7-H7)^2</f>
        <v>7.438721852593825E-06</v>
      </c>
      <c r="K7">
        <v>0.28</v>
      </c>
      <c r="L7">
        <f>L5^kd*(ka+kb*A7+kc*A7^2)</f>
        <v>0.28974462254329253</v>
      </c>
      <c r="M7">
        <f>(L7-K7)^2</f>
        <v>9.495766851124444E-05</v>
      </c>
    </row>
    <row r="8" spans="1:13" ht="12.75">
      <c r="A8">
        <v>10</v>
      </c>
      <c r="B8">
        <v>0.21</v>
      </c>
      <c r="C8">
        <f>C5^kd*(ka+kb*A8+kc*A8^2)</f>
        <v>0.20801957831301793</v>
      </c>
      <c r="D8">
        <f>(C8-B8)^2</f>
        <v>3.922070058268886E-06</v>
      </c>
      <c r="E8">
        <v>0.26</v>
      </c>
      <c r="F8">
        <f>F5^kd*(ka+kb*A8+kc*A8^2)</f>
        <v>0.25816905711233223</v>
      </c>
      <c r="G8">
        <f>(F8-E8)^2</f>
        <v>3.3523518579012092E-06</v>
      </c>
      <c r="H8">
        <v>0.31</v>
      </c>
      <c r="I8" s="28">
        <f>I5^kd*(ka+kb*A8+kc*A8^2)</f>
        <v>0.3009236572981412</v>
      </c>
      <c r="J8">
        <f>(I8-H8)^2</f>
        <v>8.237999684158565E-05</v>
      </c>
      <c r="K8">
        <v>0.33</v>
      </c>
      <c r="L8">
        <f>L5^kd*(ka+kb*A8+kc*A8^2)</f>
        <v>0.33890516202415827</v>
      </c>
      <c r="M8">
        <f>(L8-K8)^2</f>
        <v>7.930191067651031E-05</v>
      </c>
    </row>
    <row r="9" spans="1:13" ht="12.75">
      <c r="A9">
        <v>12</v>
      </c>
      <c r="B9">
        <v>0.22</v>
      </c>
      <c r="C9">
        <f>C5^kd*(ka+kb*A9+kc*A9^2)</f>
        <v>0.23105525130103216</v>
      </c>
      <c r="D9">
        <f>(C9-B9)^2</f>
        <v>0.00012221858132897327</v>
      </c>
      <c r="E9">
        <v>0.28</v>
      </c>
      <c r="F9">
        <f>F5^kd*(ka+kb*A9+kc*A9^2)</f>
        <v>0.2867581833065732</v>
      </c>
      <c r="G9">
        <f>(F9-E9)^2</f>
        <v>4.567304160524446E-05</v>
      </c>
      <c r="H9">
        <v>0.34</v>
      </c>
      <c r="I9" s="28">
        <f>I5^kd*(ka+kb*A9+kc*A9^2)</f>
        <v>0.3342473425978313</v>
      </c>
      <c r="J9">
        <f>(I9-H9)^2</f>
        <v>3.3093067186726766E-05</v>
      </c>
      <c r="K9">
        <v>0.37</v>
      </c>
      <c r="L9">
        <f>L5^kd*(ka+kb*A9+kc*A9^2)</f>
        <v>0.37643484336305144</v>
      </c>
      <c r="M9">
        <f>(L9-K9)^2</f>
        <v>4.140720910700724E-05</v>
      </c>
    </row>
    <row r="10" spans="1:13" ht="12.75">
      <c r="A10">
        <v>14</v>
      </c>
      <c r="B10">
        <v>0.23</v>
      </c>
      <c r="C10">
        <f>C5^kd*(ka+kb*A10+kc*A10^2)</f>
        <v>0.24695191763697535</v>
      </c>
      <c r="D10">
        <f>(C10-B10)^2</f>
        <v>0.0002873675115707957</v>
      </c>
      <c r="E10">
        <v>0.3</v>
      </c>
      <c r="F10">
        <f>F5^kd*(ka+kb*A10+kc*A10^2)</f>
        <v>0.3064872270459286</v>
      </c>
      <c r="G10">
        <f>(F10-E10)^2</f>
        <v>4.2084114745427954E-05</v>
      </c>
      <c r="H10">
        <v>0.36</v>
      </c>
      <c r="I10" s="28">
        <f>I5^kd*(ka+kb*A10+kc*A10^2)</f>
        <v>0.35724365386552365</v>
      </c>
      <c r="J10">
        <f>(I10-H10)^2</f>
        <v>7.59744401304266E-06</v>
      </c>
      <c r="K10">
        <v>0.4</v>
      </c>
      <c r="L10">
        <f>L5^kd*(ka+kb*A10+kc*A10^2)</f>
        <v>0.40233366655997194</v>
      </c>
      <c r="M10">
        <f>(L10-K10)^2</f>
        <v>5.445999613131148E-06</v>
      </c>
    </row>
    <row r="11" spans="1:13" ht="12.75">
      <c r="A11">
        <v>16</v>
      </c>
      <c r="B11">
        <v>0.24</v>
      </c>
      <c r="C11">
        <f>C5^kd*(ka+kb*A11+kc*A11^2)</f>
        <v>0.2557095773208474</v>
      </c>
      <c r="D11">
        <f>(C11-B11)^2</f>
        <v>0.00024679081959968406</v>
      </c>
      <c r="E11">
        <v>0.32</v>
      </c>
      <c r="F11">
        <f>F5^kd*(ka+kb*A11+kc*A11^2)</f>
        <v>0.31735618833039847</v>
      </c>
      <c r="G11">
        <f>(F11-E11)^2</f>
        <v>6.989740144321265E-06</v>
      </c>
      <c r="H11">
        <v>0.38</v>
      </c>
      <c r="I11" s="28">
        <f>I5^kd*(ka+kb*A11+kc*A11^2)</f>
        <v>0.36991259110121816</v>
      </c>
      <c r="J11">
        <f>(I11-H11)^2</f>
        <v>0.00010175581829122318</v>
      </c>
      <c r="K11">
        <v>0.43</v>
      </c>
      <c r="L11">
        <f>L5^kd*(ka+kb*A11+kc*A11^2)</f>
        <v>0.41660163161491964</v>
      </c>
      <c r="M11">
        <f>(L11-K11)^2</f>
        <v>0.00017951627538232063</v>
      </c>
    </row>
    <row r="12" spans="4:13" ht="12.75">
      <c r="D12">
        <f>SUM(D7:D11)</f>
        <v>0.0008080454708289957</v>
      </c>
      <c r="G12">
        <f>SUM(G7:G11)</f>
        <v>0.0004698234916346411</v>
      </c>
      <c r="J12">
        <f>SUM(J7:J11)</f>
        <v>0.0002322650481851721</v>
      </c>
      <c r="M12">
        <f>SUM(M7:M11)</f>
        <v>0.0004006290632902138</v>
      </c>
    </row>
    <row r="13" spans="4:13" ht="12.75">
      <c r="D13">
        <f>SQRT(D12)</f>
        <v>0.028426140624942312</v>
      </c>
      <c r="G13">
        <f>SQRT(G12)</f>
        <v>0.021675412144516217</v>
      </c>
      <c r="J13">
        <f>SQRT(J12)</f>
        <v>0.015240244361071515</v>
      </c>
      <c r="M13">
        <f>SQRT(M12)</f>
        <v>0.020015720403977814</v>
      </c>
    </row>
    <row r="14" ht="12.75">
      <c r="B14">
        <f>D12+G12+J12+M12</f>
        <v>0.0019107630739390227</v>
      </c>
    </row>
    <row r="16" spans="1:10" ht="12.75">
      <c r="A16" t="str">
        <f>A6</f>
        <v>T</v>
      </c>
      <c r="B16" t="str">
        <f>B6</f>
        <v>Eb=200</v>
      </c>
      <c r="C16" t="str">
        <f>C6</f>
        <v>Eb=200 fit</v>
      </c>
      <c r="D16" t="str">
        <f>E6</f>
        <v>Eb=300</v>
      </c>
      <c r="E16" t="str">
        <f>F6</f>
        <v>Eb=300 fit</v>
      </c>
      <c r="F16" t="str">
        <f>H6</f>
        <v>Eb=400</v>
      </c>
      <c r="G16" t="str">
        <f>I6</f>
        <v>Eb=400 fit</v>
      </c>
      <c r="H16" t="str">
        <f>K6</f>
        <v>Eb=500</v>
      </c>
      <c r="I16" t="str">
        <f>L6</f>
        <v>Eb=500 fit</v>
      </c>
      <c r="J16" t="s">
        <v>618</v>
      </c>
    </row>
    <row r="17" spans="1:10" ht="12.75">
      <c r="A17">
        <f aca="true" t="shared" si="0" ref="A17:C21">A7</f>
        <v>8</v>
      </c>
      <c r="B17">
        <f t="shared" si="0"/>
        <v>0.19</v>
      </c>
      <c r="C17">
        <f t="shared" si="0"/>
        <v>0.17784489867293268</v>
      </c>
      <c r="D17">
        <f aca="true" t="shared" si="1" ref="D17:E21">E7</f>
        <v>0.24</v>
      </c>
      <c r="E17">
        <f t="shared" si="1"/>
        <v>0.22071984846320583</v>
      </c>
      <c r="F17">
        <f aca="true" t="shared" si="2" ref="F17:G21">H7</f>
        <v>0.26</v>
      </c>
      <c r="G17">
        <f t="shared" si="2"/>
        <v>0.25727259796645346</v>
      </c>
      <c r="H17">
        <f aca="true" t="shared" si="3" ref="H17:I21">K7</f>
        <v>0.28</v>
      </c>
      <c r="I17">
        <f t="shared" si="3"/>
        <v>0.28974462254329253</v>
      </c>
      <c r="J17">
        <f>A17/40</f>
        <v>0.2</v>
      </c>
    </row>
    <row r="18" spans="1:10" ht="12.75">
      <c r="A18">
        <f t="shared" si="0"/>
        <v>10</v>
      </c>
      <c r="B18">
        <f t="shared" si="0"/>
        <v>0.21</v>
      </c>
      <c r="C18">
        <f t="shared" si="0"/>
        <v>0.20801957831301793</v>
      </c>
      <c r="D18">
        <f t="shared" si="1"/>
        <v>0.26</v>
      </c>
      <c r="E18">
        <f t="shared" si="1"/>
        <v>0.25816905711233223</v>
      </c>
      <c r="F18">
        <f t="shared" si="2"/>
        <v>0.31</v>
      </c>
      <c r="G18">
        <f t="shared" si="2"/>
        <v>0.3009236572981412</v>
      </c>
      <c r="H18">
        <f t="shared" si="3"/>
        <v>0.33</v>
      </c>
      <c r="I18">
        <f t="shared" si="3"/>
        <v>0.33890516202415827</v>
      </c>
      <c r="J18">
        <f>A18/40</f>
        <v>0.25</v>
      </c>
    </row>
    <row r="19" spans="1:10" ht="12.75">
      <c r="A19">
        <f t="shared" si="0"/>
        <v>12</v>
      </c>
      <c r="B19">
        <f t="shared" si="0"/>
        <v>0.22</v>
      </c>
      <c r="C19">
        <f t="shared" si="0"/>
        <v>0.23105525130103216</v>
      </c>
      <c r="D19">
        <f t="shared" si="1"/>
        <v>0.28</v>
      </c>
      <c r="E19">
        <f t="shared" si="1"/>
        <v>0.2867581833065732</v>
      </c>
      <c r="F19">
        <f t="shared" si="2"/>
        <v>0.34</v>
      </c>
      <c r="G19">
        <f t="shared" si="2"/>
        <v>0.3342473425978313</v>
      </c>
      <c r="H19">
        <f t="shared" si="3"/>
        <v>0.37</v>
      </c>
      <c r="I19">
        <f t="shared" si="3"/>
        <v>0.37643484336305144</v>
      </c>
      <c r="J19">
        <f>A19/40</f>
        <v>0.3</v>
      </c>
    </row>
    <row r="20" spans="1:10" ht="12.75">
      <c r="A20">
        <f t="shared" si="0"/>
        <v>14</v>
      </c>
      <c r="B20">
        <f t="shared" si="0"/>
        <v>0.23</v>
      </c>
      <c r="C20">
        <f t="shared" si="0"/>
        <v>0.24695191763697535</v>
      </c>
      <c r="D20">
        <f t="shared" si="1"/>
        <v>0.3</v>
      </c>
      <c r="E20">
        <f t="shared" si="1"/>
        <v>0.3064872270459286</v>
      </c>
      <c r="F20">
        <f t="shared" si="2"/>
        <v>0.36</v>
      </c>
      <c r="G20">
        <f t="shared" si="2"/>
        <v>0.35724365386552365</v>
      </c>
      <c r="H20">
        <f t="shared" si="3"/>
        <v>0.4</v>
      </c>
      <c r="I20">
        <f t="shared" si="3"/>
        <v>0.40233366655997194</v>
      </c>
      <c r="J20">
        <f>A20/40</f>
        <v>0.35</v>
      </c>
    </row>
    <row r="21" spans="1:10" ht="12.75">
      <c r="A21">
        <f t="shared" si="0"/>
        <v>16</v>
      </c>
      <c r="B21">
        <f t="shared" si="0"/>
        <v>0.24</v>
      </c>
      <c r="C21">
        <f t="shared" si="0"/>
        <v>0.2557095773208474</v>
      </c>
      <c r="D21">
        <f t="shared" si="1"/>
        <v>0.32</v>
      </c>
      <c r="E21">
        <f t="shared" si="1"/>
        <v>0.31735618833039847</v>
      </c>
      <c r="F21">
        <f t="shared" si="2"/>
        <v>0.38</v>
      </c>
      <c r="G21">
        <f t="shared" si="2"/>
        <v>0.36991259110121816</v>
      </c>
      <c r="H21">
        <f t="shared" si="3"/>
        <v>0.43</v>
      </c>
      <c r="I21">
        <f t="shared" si="3"/>
        <v>0.41660163161491964</v>
      </c>
      <c r="J21">
        <f>A21/40</f>
        <v>0.4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User</cp:lastModifiedBy>
  <cp:lastPrinted>2002-11-14T15:45:22Z</cp:lastPrinted>
  <dcterms:created xsi:type="dcterms:W3CDTF">2002-04-18T20:45:09Z</dcterms:created>
  <cp:category/>
  <cp:version/>
  <cp:contentType/>
  <cp:contentStatus/>
</cp:coreProperties>
</file>