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Total $s" sheetId="1" r:id="rId1"/>
    <sheet name="Profile" sheetId="2" r:id="rId2"/>
    <sheet name="Chamber Costs breakout" sheetId="3" r:id="rId3"/>
    <sheet name="testing PMs" sheetId="4" r:id="rId4"/>
    <sheet name="Installation Cost breakout" sheetId="5" r:id="rId5"/>
  </sheets>
  <definedNames>
    <definedName name="_xlnm.Print_Area" localSheetId="1">'Profile'!$A$2:$P$54</definedName>
    <definedName name="_xlnm.Print_Area" localSheetId="0">'Total $s'!$A$2:$L$50</definedName>
  </definedNames>
  <calcPr fullCalcOnLoad="1"/>
</workbook>
</file>

<file path=xl/sharedStrings.xml><?xml version="1.0" encoding="utf-8"?>
<sst xmlns="http://schemas.openxmlformats.org/spreadsheetml/2006/main" count="339" uniqueCount="104">
  <si>
    <t>Chambers</t>
  </si>
  <si>
    <t>Labor &amp; benefits</t>
  </si>
  <si>
    <t>Mining equipment operation</t>
  </si>
  <si>
    <t>Supplies</t>
  </si>
  <si>
    <t>Precast concrete liner</t>
  </si>
  <si>
    <t>Outside contractor</t>
  </si>
  <si>
    <t>Plastic liner</t>
  </si>
  <si>
    <t>Rock removal</t>
  </si>
  <si>
    <t>Mining equipment</t>
  </si>
  <si>
    <t>Chamber construction-subtotal</t>
  </si>
  <si>
    <t>Photomultipliers</t>
  </si>
  <si>
    <t>PM tube</t>
  </si>
  <si>
    <t>PM installation</t>
  </si>
  <si>
    <t>Readout electronics</t>
  </si>
  <si>
    <t>Cables</t>
  </si>
  <si>
    <t>Other</t>
  </si>
  <si>
    <t>Calibration equipment</t>
  </si>
  <si>
    <t>Development labor</t>
  </si>
  <si>
    <t>Water purification</t>
  </si>
  <si>
    <t>Other-subtotal</t>
  </si>
  <si>
    <t>Total - pm and other</t>
  </si>
  <si>
    <t>Grand total</t>
  </si>
  <si>
    <t>Three Modules</t>
  </si>
  <si>
    <t>One Module</t>
  </si>
  <si>
    <t xml:space="preserve"> </t>
  </si>
  <si>
    <t>Contingency - 30%</t>
  </si>
  <si>
    <t>Contingency - 25% (pm &amp; other)</t>
  </si>
  <si>
    <t>FY07</t>
  </si>
  <si>
    <t>FY08</t>
  </si>
  <si>
    <t>FY09</t>
  </si>
  <si>
    <t>FY10</t>
  </si>
  <si>
    <t>FY11</t>
  </si>
  <si>
    <t>FY13</t>
  </si>
  <si>
    <t>FY12</t>
  </si>
  <si>
    <t>FY14</t>
  </si>
  <si>
    <t>FY15</t>
  </si>
  <si>
    <t>FY16</t>
  </si>
  <si>
    <t>FY17</t>
  </si>
  <si>
    <t>Total</t>
  </si>
  <si>
    <t xml:space="preserve">Total Project $s </t>
  </si>
  <si>
    <t>PM subtotal per tube</t>
  </si>
  <si>
    <t>PM subtotal (3 Modules)</t>
  </si>
  <si>
    <t>Grand total (FY07$s)</t>
  </si>
  <si>
    <t>escalation rates</t>
  </si>
  <si>
    <t>Grand total (AY$s)</t>
  </si>
  <si>
    <t>Chamber R&amp;D (coring)</t>
  </si>
  <si>
    <t>PM R&amp;D</t>
  </si>
  <si>
    <t>Calibration Equipment R&amp;D</t>
  </si>
  <si>
    <t>Original Proposal Budget (FY05 $s)</t>
  </si>
  <si>
    <t>Chamber R&amp;D</t>
  </si>
  <si>
    <t>Revised Proposal Budget (FY07$s)</t>
  </si>
  <si>
    <t>New Item</t>
  </si>
  <si>
    <t>Testing</t>
  </si>
  <si>
    <t>Test Facility</t>
  </si>
  <si>
    <t>PM Testing</t>
  </si>
  <si>
    <t>FY18</t>
  </si>
  <si>
    <t>FY19</t>
  </si>
  <si>
    <t>without discount</t>
  </si>
  <si>
    <t>no discount</t>
  </si>
  <si>
    <t>Chamber 1</t>
  </si>
  <si>
    <t>Chamber 2</t>
  </si>
  <si>
    <t>Chamber 3</t>
  </si>
  <si>
    <t>3 modules total</t>
  </si>
  <si>
    <t>Contingency</t>
  </si>
  <si>
    <t>Grand Total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</si>
  <si>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</si>
  <si>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</si>
  <si>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</si>
  <si>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</si>
  <si>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</si>
  <si>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</si>
  <si>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</si>
  <si>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</si>
  <si>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</si>
  <si>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</si>
  <si>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</si>
  <si>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</si>
  <si>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FY2013</t>
  </si>
  <si>
    <t>FY2014</t>
  </si>
  <si>
    <t>quantity per month</t>
  </si>
  <si>
    <t>total</t>
  </si>
  <si>
    <t>cost per month</t>
  </si>
  <si>
    <t>cost per FY</t>
  </si>
  <si>
    <t>Module 1</t>
  </si>
  <si>
    <t>Module 2</t>
  </si>
  <si>
    <t>FY2015</t>
  </si>
  <si>
    <t>FY2016</t>
  </si>
  <si>
    <t>Module 3</t>
  </si>
  <si>
    <t>Grand Total Cost</t>
  </si>
  <si>
    <t>new estimate</t>
  </si>
  <si>
    <t>see worksheet</t>
  </si>
  <si>
    <t>Vendor 1</t>
  </si>
  <si>
    <t>Vendor 2</t>
  </si>
  <si>
    <t>tech's needed</t>
  </si>
  <si>
    <t>PMs</t>
  </si>
  <si>
    <t>FY Quantity</t>
  </si>
  <si>
    <t>FY labor cost</t>
  </si>
  <si>
    <t>CUM cost</t>
  </si>
  <si>
    <t>Long Baseline Neutrinos + PDK Profile $s (3 Modules) (schedule 2)</t>
  </si>
  <si>
    <t>Long Baseline Neutrinos + PDK Proposal $s (schedule 2)</t>
  </si>
  <si>
    <t>Chamber Construction (schedule 2)</t>
  </si>
  <si>
    <t>Installation schedule and costs (schedule 2)</t>
  </si>
  <si>
    <t>Testing of PMs (based on schedule 2)</t>
  </si>
  <si>
    <t>Revised Proposal total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</si>
</sst>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-yy"/>
    <numFmt numFmtId="166" formatCode="_(* #,##0.000_);_(* \(#,##0.000\);_(* &quot;-&quot;??_);_(@_)"/>
    <numFmt numFmtId="167" formatCode="_(* #,##0.0000_);_(* \(#,##0.0000\);_(* &quot;-&quot;??_);_(@_)"/>
    <numFmt numFmtId="168" formatCode="_(* #,##0.0000_);_(* \(#,##0.0000\);_(* &quot;-&quot;????_);_(@_)"/>
    <numFmt numFmtId="169" formatCode="_(* #,##0.0_);_(* \(#,##0.0\);_(* &quot;-&quot;??_);_(@_)"/>
    <numFmt numFmtId="170" formatCode="_(* #,##0_);_(* \(#,##0\);_(* &quot;-&quot;??_);_(@_)"/>
    <numFmt numFmtId="171" formatCode="0.0000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6" fontId="0" fillId="0" borderId="0" xfId="15" applyNumberFormat="1" applyAlignment="1">
      <alignment/>
    </xf>
    <xf numFmtId="167" fontId="0" fillId="0" borderId="0" xfId="15" applyNumberFormat="1" applyAlignment="1">
      <alignment/>
    </xf>
    <xf numFmtId="170" fontId="0" fillId="0" borderId="0" xfId="15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15" applyNumberFormat="1" applyFont="1" applyAlignment="1">
      <alignment/>
    </xf>
    <xf numFmtId="43" fontId="1" fillId="0" borderId="0" xfId="15" applyFont="1" applyAlignment="1">
      <alignment/>
    </xf>
    <xf numFmtId="171" fontId="0" fillId="0" borderId="0" xfId="15" applyNumberFormat="1" applyAlignment="1">
      <alignment/>
    </xf>
    <xf numFmtId="170" fontId="0" fillId="0" borderId="0" xfId="0" applyNumberFormat="1" applyAlignment="1">
      <alignment/>
    </xf>
    <xf numFmtId="43" fontId="0" fillId="0" borderId="0" xfId="15" applyAlignment="1">
      <alignment/>
    </xf>
    <xf numFmtId="4" fontId="1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3"/>
  <sheetViews>
    <sheetView tabSelected="1" zoomScale="75" zoomScaleNormal="75" workbookViewId="0" topLeftCell="H1">
      <selection activeCell="A1" sqref="A1"/>
    </sheetView>
  </sheetViews>
  <sheetFormatPr defaultColWidth="9.140625" defaultRowHeight="12.75"/>
  <cols>
    <col min="1" max="1" width="32.00390625" style="0" bestFit="1" customWidth="1"/>
    <col min="2" max="2" width="12.7109375" style="0" bestFit="1" customWidth="1"/>
    <col min="3" max="3" width="13.7109375" style="0" bestFit="1" customWidth="1"/>
    <col min="4" max="4" width="16.140625" style="0" bestFit="1" customWidth="1"/>
    <col min="5" max="5" width="2.140625" style="0" customWidth="1"/>
    <col min="6" max="6" width="32.00390625" style="0" bestFit="1" customWidth="1"/>
    <col min="7" max="7" width="11.7109375" style="0" bestFit="1" customWidth="1"/>
    <col min="8" max="8" width="13.7109375" style="0" bestFit="1" customWidth="1"/>
    <col min="9" max="9" width="16.140625" style="0" bestFit="1" customWidth="1"/>
    <col min="10" max="10" width="10.421875" style="0" bestFit="1" customWidth="1"/>
    <col min="11" max="11" width="24.8515625" style="0" bestFit="1" customWidth="1"/>
    <col min="12" max="13" width="12.7109375" style="0" bestFit="1" customWidth="1"/>
  </cols>
  <sheetData>
    <row r="2" ht="23.25">
      <c r="A2" s="4" t="s">
        <v>99</v>
      </c>
    </row>
    <row r="3" spans="11:12" ht="18">
      <c r="K3" s="35" t="s">
        <v>103</v>
      </c>
      <c r="L3" s="36"/>
    </row>
    <row r="4" spans="1:12" ht="18">
      <c r="A4" s="32" t="s">
        <v>48</v>
      </c>
      <c r="B4" s="33"/>
      <c r="C4" s="33"/>
      <c r="D4" s="34"/>
      <c r="F4" s="32" t="s">
        <v>50</v>
      </c>
      <c r="G4" s="33"/>
      <c r="H4" s="33"/>
      <c r="I4" s="34"/>
      <c r="K4" s="37" t="s">
        <v>57</v>
      </c>
      <c r="L4" s="38"/>
    </row>
    <row r="5" spans="11:12" ht="12.75">
      <c r="K5" s="26"/>
      <c r="L5" s="25"/>
    </row>
    <row r="6" spans="6:12" ht="12.75">
      <c r="F6" s="3" t="s">
        <v>49</v>
      </c>
      <c r="H6" s="1">
        <v>200000</v>
      </c>
      <c r="I6" s="1">
        <v>200000</v>
      </c>
      <c r="J6" s="5" t="s">
        <v>51</v>
      </c>
      <c r="K6" s="27">
        <f>+I6</f>
        <v>200000</v>
      </c>
      <c r="L6" s="25"/>
    </row>
    <row r="7" spans="11:12" ht="12.75">
      <c r="K7" s="27"/>
      <c r="L7" s="25"/>
    </row>
    <row r="8" spans="1:12" ht="12.75">
      <c r="A8" s="3" t="s">
        <v>0</v>
      </c>
      <c r="C8" s="2" t="s">
        <v>23</v>
      </c>
      <c r="D8" s="2" t="s">
        <v>22</v>
      </c>
      <c r="F8" s="3" t="s">
        <v>0</v>
      </c>
      <c r="H8" s="2" t="s">
        <v>23</v>
      </c>
      <c r="I8" s="2" t="s">
        <v>22</v>
      </c>
      <c r="K8" s="27"/>
      <c r="L8" s="25"/>
    </row>
    <row r="9" spans="11:12" ht="12.75">
      <c r="K9" s="27"/>
      <c r="L9" s="25"/>
    </row>
    <row r="10" spans="1:12" ht="12.75">
      <c r="A10" t="s">
        <v>1</v>
      </c>
      <c r="C10" s="1">
        <v>6060000</v>
      </c>
      <c r="D10" s="1">
        <v>12030000</v>
      </c>
      <c r="F10" t="s">
        <v>1</v>
      </c>
      <c r="H10" s="1">
        <f>+C10*1.06</f>
        <v>6423600</v>
      </c>
      <c r="I10" s="1">
        <f>+D10*1.06</f>
        <v>12751800</v>
      </c>
      <c r="K10" s="27">
        <f>+H10*3</f>
        <v>19270800</v>
      </c>
      <c r="L10" s="28" t="s">
        <v>58</v>
      </c>
    </row>
    <row r="11" spans="1:12" ht="12.75">
      <c r="A11" t="s">
        <v>2</v>
      </c>
      <c r="C11" s="1">
        <v>1430000</v>
      </c>
      <c r="D11" s="1">
        <v>4279000</v>
      </c>
      <c r="F11" t="s">
        <v>2</v>
      </c>
      <c r="H11" s="1">
        <f aca="true" t="shared" si="0" ref="H11:H18">+C11*1.06</f>
        <v>1515800</v>
      </c>
      <c r="I11" s="1">
        <f aca="true" t="shared" si="1" ref="I11:I18">+D11*1.06</f>
        <v>4535740</v>
      </c>
      <c r="K11" s="27">
        <f>+H11*3</f>
        <v>4547400</v>
      </c>
      <c r="L11" s="28" t="s">
        <v>58</v>
      </c>
    </row>
    <row r="12" spans="1:13" ht="12.75">
      <c r="A12" t="s">
        <v>3</v>
      </c>
      <c r="C12" s="1">
        <v>4961000</v>
      </c>
      <c r="D12" s="1">
        <v>14685000</v>
      </c>
      <c r="F12" t="s">
        <v>3</v>
      </c>
      <c r="H12" s="1">
        <f t="shared" si="0"/>
        <v>5258660</v>
      </c>
      <c r="I12" s="1">
        <f t="shared" si="1"/>
        <v>15566100</v>
      </c>
      <c r="K12" s="27">
        <f>+H12*3</f>
        <v>15775980</v>
      </c>
      <c r="L12" s="28" t="s">
        <v>58</v>
      </c>
      <c r="M12" t="s">
        <v>24</v>
      </c>
    </row>
    <row r="13" spans="1:13" ht="12.75">
      <c r="A13" t="s">
        <v>4</v>
      </c>
      <c r="C13" s="1">
        <v>3575000</v>
      </c>
      <c r="D13" s="1">
        <v>10725000</v>
      </c>
      <c r="F13" t="s">
        <v>4</v>
      </c>
      <c r="H13" s="1">
        <f t="shared" si="0"/>
        <v>3789500</v>
      </c>
      <c r="I13" s="1">
        <f t="shared" si="1"/>
        <v>11368500</v>
      </c>
      <c r="J13" t="s">
        <v>24</v>
      </c>
      <c r="K13" s="27">
        <f>+I13</f>
        <v>11368500</v>
      </c>
      <c r="L13" s="28" t="s">
        <v>24</v>
      </c>
      <c r="M13" s="1" t="s">
        <v>24</v>
      </c>
    </row>
    <row r="14" spans="1:13" ht="12.75">
      <c r="A14" t="s">
        <v>5</v>
      </c>
      <c r="C14" s="1">
        <v>132000</v>
      </c>
      <c r="D14" s="1">
        <v>396000</v>
      </c>
      <c r="F14" t="s">
        <v>5</v>
      </c>
      <c r="H14" s="1">
        <f t="shared" si="0"/>
        <v>139920</v>
      </c>
      <c r="I14" s="1">
        <f t="shared" si="1"/>
        <v>419760</v>
      </c>
      <c r="K14" s="27">
        <f>+I14</f>
        <v>419760</v>
      </c>
      <c r="L14" s="28" t="s">
        <v>24</v>
      </c>
      <c r="M14" t="s">
        <v>24</v>
      </c>
    </row>
    <row r="15" spans="1:13" ht="12.75">
      <c r="A15" t="s">
        <v>6</v>
      </c>
      <c r="C15" s="1">
        <v>250000</v>
      </c>
      <c r="D15" s="1">
        <v>750000</v>
      </c>
      <c r="F15" t="s">
        <v>6</v>
      </c>
      <c r="H15" s="1">
        <f t="shared" si="0"/>
        <v>265000</v>
      </c>
      <c r="I15" s="1">
        <f t="shared" si="1"/>
        <v>795000</v>
      </c>
      <c r="K15" s="27">
        <f>+I15</f>
        <v>795000</v>
      </c>
      <c r="L15" s="28" t="s">
        <v>24</v>
      </c>
      <c r="M15" t="s">
        <v>24</v>
      </c>
    </row>
    <row r="16" spans="1:13" ht="12.75">
      <c r="A16" t="s">
        <v>7</v>
      </c>
      <c r="C16" s="1">
        <v>1000000</v>
      </c>
      <c r="D16" s="1">
        <v>3000000</v>
      </c>
      <c r="F16" t="s">
        <v>7</v>
      </c>
      <c r="H16" s="1">
        <f t="shared" si="0"/>
        <v>1060000</v>
      </c>
      <c r="I16" s="1">
        <f t="shared" si="1"/>
        <v>3180000</v>
      </c>
      <c r="K16" s="27">
        <f>+I16</f>
        <v>3180000</v>
      </c>
      <c r="L16" s="28" t="s">
        <v>24</v>
      </c>
      <c r="M16" t="s">
        <v>24</v>
      </c>
    </row>
    <row r="17" spans="1:13" ht="12.75">
      <c r="A17" t="s">
        <v>8</v>
      </c>
      <c r="C17" s="1">
        <v>5000000</v>
      </c>
      <c r="D17" s="1">
        <v>5000000</v>
      </c>
      <c r="F17" t="s">
        <v>8</v>
      </c>
      <c r="H17" s="1">
        <f t="shared" si="0"/>
        <v>5300000</v>
      </c>
      <c r="I17" s="1">
        <f t="shared" si="1"/>
        <v>5300000</v>
      </c>
      <c r="K17" s="27">
        <f>+I17</f>
        <v>5300000</v>
      </c>
      <c r="L17" s="28" t="s">
        <v>24</v>
      </c>
      <c r="M17" t="s">
        <v>24</v>
      </c>
    </row>
    <row r="18" spans="1:13" ht="12.75">
      <c r="A18" t="s">
        <v>25</v>
      </c>
      <c r="C18" s="1">
        <v>6722400</v>
      </c>
      <c r="D18" s="1">
        <v>15259500</v>
      </c>
      <c r="F18" t="s">
        <v>25</v>
      </c>
      <c r="H18" s="1">
        <f t="shared" si="0"/>
        <v>7125744</v>
      </c>
      <c r="I18" s="1">
        <f t="shared" si="1"/>
        <v>16175070</v>
      </c>
      <c r="K18" s="27">
        <f>SUM(K10:K17)*0.3</f>
        <v>18197232</v>
      </c>
      <c r="L18" s="28" t="s">
        <v>24</v>
      </c>
      <c r="M18" s="1" t="s">
        <v>24</v>
      </c>
    </row>
    <row r="19" spans="3:13" ht="12.75">
      <c r="C19" s="1"/>
      <c r="D19" s="1"/>
      <c r="H19" s="1"/>
      <c r="I19" s="1"/>
      <c r="K19" s="27"/>
      <c r="L19" s="25"/>
      <c r="M19" t="s">
        <v>24</v>
      </c>
    </row>
    <row r="20" spans="1:12" ht="12.75">
      <c r="A20" s="3" t="s">
        <v>9</v>
      </c>
      <c r="C20" s="1">
        <f>SUM(C10:C19)</f>
        <v>29130400</v>
      </c>
      <c r="D20" s="1">
        <f>SUM(D10:D19)</f>
        <v>66124500</v>
      </c>
      <c r="F20" s="3" t="s">
        <v>9</v>
      </c>
      <c r="H20" s="1">
        <f>SUM(H10:H19)</f>
        <v>30878224</v>
      </c>
      <c r="I20" s="1">
        <f>SUM(I10:I19)</f>
        <v>70091970</v>
      </c>
      <c r="K20" s="27">
        <f>SUM(K10:K19)</f>
        <v>78854672</v>
      </c>
      <c r="L20" s="28" t="s">
        <v>24</v>
      </c>
    </row>
    <row r="21" spans="2:12" ht="12.75">
      <c r="B21" s="1"/>
      <c r="C21" s="1"/>
      <c r="D21" s="1"/>
      <c r="G21" s="1"/>
      <c r="H21" s="1"/>
      <c r="I21" s="1"/>
      <c r="K21" s="27" t="s">
        <v>24</v>
      </c>
      <c r="L21" s="25"/>
    </row>
    <row r="22" spans="2:12" ht="12.75">
      <c r="B22" s="1"/>
      <c r="C22" s="1"/>
      <c r="D22" s="1"/>
      <c r="F22" s="3" t="s">
        <v>46</v>
      </c>
      <c r="G22" s="1"/>
      <c r="H22" s="1">
        <f>1500000+600000</f>
        <v>2100000</v>
      </c>
      <c r="I22" s="1">
        <f>+H22</f>
        <v>2100000</v>
      </c>
      <c r="J22" s="5" t="s">
        <v>51</v>
      </c>
      <c r="K22" s="27">
        <f>+I22</f>
        <v>2100000</v>
      </c>
      <c r="L22" s="25"/>
    </row>
    <row r="23" spans="2:12" ht="12.75">
      <c r="B23" s="1"/>
      <c r="C23" s="1"/>
      <c r="D23" s="1"/>
      <c r="G23" s="1"/>
      <c r="H23" s="1"/>
      <c r="I23" s="1"/>
      <c r="K23" s="27"/>
      <c r="L23" s="25"/>
    </row>
    <row r="24" spans="1:12" ht="12.75">
      <c r="A24" s="3" t="s">
        <v>10</v>
      </c>
      <c r="B24" s="1"/>
      <c r="C24" s="1"/>
      <c r="D24" s="1"/>
      <c r="F24" s="3" t="s">
        <v>10</v>
      </c>
      <c r="G24" s="1"/>
      <c r="H24" s="1"/>
      <c r="I24" s="1"/>
      <c r="K24" s="27"/>
      <c r="L24" s="25"/>
    </row>
    <row r="25" spans="2:12" ht="12.75">
      <c r="B25" s="1"/>
      <c r="C25" s="1"/>
      <c r="D25" s="1"/>
      <c r="G25" s="1"/>
      <c r="H25" s="1"/>
      <c r="I25" s="1"/>
      <c r="K25" s="27"/>
      <c r="L25" s="25"/>
    </row>
    <row r="26" spans="1:12" ht="12.75">
      <c r="A26" t="s">
        <v>11</v>
      </c>
      <c r="B26" s="1">
        <v>880</v>
      </c>
      <c r="C26" s="1"/>
      <c r="D26" s="1"/>
      <c r="F26" t="s">
        <v>11</v>
      </c>
      <c r="G26" s="1">
        <f>+B26*1.06</f>
        <v>932.8000000000001</v>
      </c>
      <c r="H26" s="1"/>
      <c r="I26" s="1"/>
      <c r="K26" s="27">
        <f>+G26*150000</f>
        <v>139920000</v>
      </c>
      <c r="L26" s="25"/>
    </row>
    <row r="27" spans="1:12" ht="12.75">
      <c r="A27" t="s">
        <v>12</v>
      </c>
      <c r="B27" s="1">
        <v>165</v>
      </c>
      <c r="C27" s="1"/>
      <c r="D27" s="1"/>
      <c r="F27" t="s">
        <v>12</v>
      </c>
      <c r="G27" s="1">
        <f>+B27*1.06</f>
        <v>174.9</v>
      </c>
      <c r="H27" s="1"/>
      <c r="I27" s="1"/>
      <c r="K27" s="27">
        <f>+G27*150000</f>
        <v>26235000</v>
      </c>
      <c r="L27" s="25"/>
    </row>
    <row r="28" spans="1:12" ht="12.75">
      <c r="A28" t="s">
        <v>13</v>
      </c>
      <c r="B28" s="1">
        <v>120</v>
      </c>
      <c r="C28" s="1"/>
      <c r="D28" s="1"/>
      <c r="F28" t="s">
        <v>13</v>
      </c>
      <c r="G28" s="1">
        <f>+B28*1.06</f>
        <v>127.2</v>
      </c>
      <c r="H28" s="1"/>
      <c r="I28" s="1"/>
      <c r="K28" s="27">
        <f>+G28*150000</f>
        <v>19080000</v>
      </c>
      <c r="L28" s="25"/>
    </row>
    <row r="29" spans="1:12" ht="12.75">
      <c r="A29" t="s">
        <v>14</v>
      </c>
      <c r="B29" s="1">
        <v>77</v>
      </c>
      <c r="C29" s="1"/>
      <c r="D29" s="1"/>
      <c r="F29" t="s">
        <v>14</v>
      </c>
      <c r="G29" s="1">
        <f>+B29*1.06</f>
        <v>81.62</v>
      </c>
      <c r="H29" s="1"/>
      <c r="I29" s="1"/>
      <c r="K29" s="27">
        <f>+G29*150000</f>
        <v>12243000</v>
      </c>
      <c r="L29" s="25"/>
    </row>
    <row r="30" spans="2:12" ht="12.75">
      <c r="B30" s="1"/>
      <c r="C30" s="1"/>
      <c r="D30" s="1"/>
      <c r="G30" s="1"/>
      <c r="H30" s="1"/>
      <c r="I30" s="1"/>
      <c r="K30" s="27"/>
      <c r="L30" s="25"/>
    </row>
    <row r="31" spans="1:12" ht="12.75">
      <c r="A31" s="3" t="s">
        <v>40</v>
      </c>
      <c r="B31" s="1">
        <f>SUM(B26:B30)</f>
        <v>1242</v>
      </c>
      <c r="C31" s="1">
        <f>+B31*50000</f>
        <v>62100000</v>
      </c>
      <c r="D31" s="1">
        <f>+B31*150000</f>
        <v>186300000</v>
      </c>
      <c r="F31" s="3" t="s">
        <v>40</v>
      </c>
      <c r="G31" s="1">
        <f>SUM(G26:G30)</f>
        <v>1316.52</v>
      </c>
      <c r="H31" s="1">
        <f>+G31*50000</f>
        <v>65826000</v>
      </c>
      <c r="I31" s="1">
        <f>+G31*150000</f>
        <v>197478000</v>
      </c>
      <c r="K31" s="27">
        <f>SUM(K26:K30)</f>
        <v>197478000</v>
      </c>
      <c r="L31" s="25"/>
    </row>
    <row r="32" spans="2:12" ht="12.75">
      <c r="B32" s="1"/>
      <c r="C32" s="1"/>
      <c r="D32" s="1"/>
      <c r="G32" s="1"/>
      <c r="H32" s="1"/>
      <c r="I32" s="1"/>
      <c r="K32" s="27"/>
      <c r="L32" s="25"/>
    </row>
    <row r="33" spans="2:12" ht="12.75">
      <c r="B33" s="1"/>
      <c r="C33" s="1"/>
      <c r="D33" s="1"/>
      <c r="F33" s="3" t="s">
        <v>54</v>
      </c>
      <c r="G33" s="1"/>
      <c r="H33" s="1"/>
      <c r="I33" s="1"/>
      <c r="J33" s="5" t="s">
        <v>51</v>
      </c>
      <c r="K33" s="27"/>
      <c r="L33" s="25"/>
    </row>
    <row r="34" spans="2:12" ht="12.75">
      <c r="B34" s="1"/>
      <c r="C34" s="1"/>
      <c r="D34" s="1"/>
      <c r="F34" t="s">
        <v>53</v>
      </c>
      <c r="G34" s="1"/>
      <c r="H34" s="1">
        <v>2000000</v>
      </c>
      <c r="I34" s="1">
        <f>+H34</f>
        <v>2000000</v>
      </c>
      <c r="K34" s="27">
        <f>+I34</f>
        <v>2000000</v>
      </c>
      <c r="L34" s="25"/>
    </row>
    <row r="35" spans="2:12" ht="12.75">
      <c r="B35" s="1"/>
      <c r="C35" s="1"/>
      <c r="D35" s="1"/>
      <c r="F35" t="s">
        <v>52</v>
      </c>
      <c r="G35" s="1"/>
      <c r="H35" s="1">
        <v>7500000</v>
      </c>
      <c r="I35" s="1">
        <f>+H35</f>
        <v>7500000</v>
      </c>
      <c r="K35" s="27">
        <f>+I35</f>
        <v>7500000</v>
      </c>
      <c r="L35" s="25" t="s">
        <v>90</v>
      </c>
    </row>
    <row r="36" spans="2:12" ht="12.75">
      <c r="B36" s="1"/>
      <c r="C36" s="1"/>
      <c r="D36" s="1"/>
      <c r="G36" s="1"/>
      <c r="H36" s="1"/>
      <c r="I36" s="1"/>
      <c r="K36" s="27"/>
      <c r="L36" s="25"/>
    </row>
    <row r="37" spans="2:12" ht="12.75">
      <c r="B37" s="1"/>
      <c r="C37" s="1"/>
      <c r="D37" s="1"/>
      <c r="F37" s="3" t="s">
        <v>47</v>
      </c>
      <c r="G37" s="1"/>
      <c r="H37" s="1">
        <f>+G40*0.1</f>
        <v>42400</v>
      </c>
      <c r="I37" s="1">
        <f>+H37</f>
        <v>42400</v>
      </c>
      <c r="J37" s="5" t="s">
        <v>51</v>
      </c>
      <c r="K37" s="27">
        <f>+I37</f>
        <v>42400</v>
      </c>
      <c r="L37" s="25"/>
    </row>
    <row r="38" spans="2:12" ht="12.75">
      <c r="B38" s="1"/>
      <c r="C38" s="1"/>
      <c r="D38" s="1"/>
      <c r="G38" s="1"/>
      <c r="H38" s="1"/>
      <c r="I38" s="1"/>
      <c r="K38" s="27"/>
      <c r="L38" s="25"/>
    </row>
    <row r="39" spans="1:12" ht="12.75">
      <c r="A39" s="3" t="s">
        <v>15</v>
      </c>
      <c r="B39" s="1"/>
      <c r="C39" s="1"/>
      <c r="D39" s="1"/>
      <c r="F39" s="3" t="s">
        <v>15</v>
      </c>
      <c r="G39" s="1"/>
      <c r="H39" s="1"/>
      <c r="I39" s="1"/>
      <c r="K39" s="27"/>
      <c r="L39" s="25"/>
    </row>
    <row r="40" spans="1:12" ht="12.75">
      <c r="A40" t="s">
        <v>16</v>
      </c>
      <c r="B40" s="1">
        <v>400000</v>
      </c>
      <c r="C40" s="1"/>
      <c r="D40" s="1"/>
      <c r="F40" t="s">
        <v>16</v>
      </c>
      <c r="G40" s="1">
        <f>+B40*1.06</f>
        <v>424000</v>
      </c>
      <c r="H40" s="1"/>
      <c r="I40" s="1"/>
      <c r="K40" s="27">
        <f>+G40</f>
        <v>424000</v>
      </c>
      <c r="L40" s="25"/>
    </row>
    <row r="41" spans="1:12" ht="12.75">
      <c r="A41" t="s">
        <v>17</v>
      </c>
      <c r="B41" s="1">
        <v>3000000</v>
      </c>
      <c r="C41" s="1"/>
      <c r="D41" s="1"/>
      <c r="F41" t="s">
        <v>17</v>
      </c>
      <c r="G41" s="1">
        <f>+B41*1.06</f>
        <v>3180000</v>
      </c>
      <c r="H41" s="1"/>
      <c r="I41" s="1"/>
      <c r="K41" s="27">
        <f>+G41</f>
        <v>3180000</v>
      </c>
      <c r="L41" s="25"/>
    </row>
    <row r="42" spans="1:13" ht="12.75">
      <c r="A42" t="s">
        <v>18</v>
      </c>
      <c r="B42" s="1">
        <v>4500000</v>
      </c>
      <c r="C42" s="1"/>
      <c r="D42" s="1"/>
      <c r="F42" t="s">
        <v>18</v>
      </c>
      <c r="G42" s="1">
        <f>+B42*1.06</f>
        <v>4770000</v>
      </c>
      <c r="H42" s="1"/>
      <c r="I42" s="1"/>
      <c r="K42" s="27">
        <f>750000*3</f>
        <v>2250000</v>
      </c>
      <c r="L42" s="25" t="s">
        <v>89</v>
      </c>
      <c r="M42" t="s">
        <v>24</v>
      </c>
    </row>
    <row r="43" spans="2:12" ht="12.75">
      <c r="B43" s="1"/>
      <c r="C43" s="1"/>
      <c r="D43" s="1"/>
      <c r="G43" s="1"/>
      <c r="H43" s="1"/>
      <c r="I43" s="1"/>
      <c r="K43" s="27"/>
      <c r="L43" s="25"/>
    </row>
    <row r="44" spans="1:12" ht="12.75">
      <c r="A44" t="s">
        <v>19</v>
      </c>
      <c r="B44" s="1">
        <f>SUM(B40:B43)</f>
        <v>7900000</v>
      </c>
      <c r="C44" s="1">
        <v>7800000</v>
      </c>
      <c r="D44" s="1">
        <v>7800000</v>
      </c>
      <c r="F44" t="s">
        <v>19</v>
      </c>
      <c r="G44" s="1">
        <f>SUM(G40:G43)</f>
        <v>8374000</v>
      </c>
      <c r="H44" s="1">
        <f>+G44</f>
        <v>8374000</v>
      </c>
      <c r="I44" s="1">
        <f>+H44</f>
        <v>8374000</v>
      </c>
      <c r="J44" t="s">
        <v>24</v>
      </c>
      <c r="K44" s="27">
        <f>+K42+K41+K40</f>
        <v>5854000</v>
      </c>
      <c r="L44" s="25"/>
    </row>
    <row r="45" spans="2:12" ht="12.75">
      <c r="B45" s="1"/>
      <c r="C45" s="1"/>
      <c r="D45" s="1"/>
      <c r="G45" s="1"/>
      <c r="H45" s="1"/>
      <c r="I45" s="1"/>
      <c r="K45" s="27"/>
      <c r="L45" s="25"/>
    </row>
    <row r="46" spans="1:12" ht="12.75">
      <c r="A46" s="3" t="s">
        <v>20</v>
      </c>
      <c r="B46" s="1"/>
      <c r="C46" s="1">
        <f>+C44+C31</f>
        <v>69900000</v>
      </c>
      <c r="D46" s="1">
        <f>+D44+D31</f>
        <v>194100000</v>
      </c>
      <c r="F46" s="3" t="s">
        <v>20</v>
      </c>
      <c r="G46" s="1"/>
      <c r="H46" s="1">
        <f>+H44+H31</f>
        <v>74200000</v>
      </c>
      <c r="I46" s="1">
        <f>+I44+I31</f>
        <v>205852000</v>
      </c>
      <c r="K46" s="27">
        <f>+K44+K31</f>
        <v>203332000</v>
      </c>
      <c r="L46" s="25"/>
    </row>
    <row r="47" spans="2:12" ht="12.75">
      <c r="B47" s="1"/>
      <c r="C47" s="1"/>
      <c r="D47" s="1"/>
      <c r="G47" s="1"/>
      <c r="H47" s="1"/>
      <c r="I47" s="1"/>
      <c r="K47" s="27"/>
      <c r="L47" s="25"/>
    </row>
    <row r="48" spans="1:12" ht="12.75">
      <c r="A48" s="3" t="s">
        <v>26</v>
      </c>
      <c r="B48" s="1"/>
      <c r="C48" s="1">
        <f>(+C44+C31)*0.25</f>
        <v>17475000</v>
      </c>
      <c r="D48" s="1">
        <f>(+D44+D31)*0.25</f>
        <v>48525000</v>
      </c>
      <c r="F48" s="3" t="s">
        <v>26</v>
      </c>
      <c r="G48" s="1"/>
      <c r="H48" s="1">
        <f>(+H44+H31)*0.25</f>
        <v>18550000</v>
      </c>
      <c r="I48" s="1">
        <f>(+I44+I31)*0.25</f>
        <v>51463000</v>
      </c>
      <c r="K48" s="27">
        <f>(+K44+K31)*0.25</f>
        <v>50833000</v>
      </c>
      <c r="L48" s="25"/>
    </row>
    <row r="49" spans="11:12" ht="12.75">
      <c r="K49" s="27"/>
      <c r="L49" s="25"/>
    </row>
    <row r="50" spans="1:12" ht="12.75">
      <c r="A50" s="3" t="s">
        <v>21</v>
      </c>
      <c r="C50" s="1">
        <f>+C48+C46+C20</f>
        <v>116505400</v>
      </c>
      <c r="D50" s="1">
        <f>+D48+D46+D20</f>
        <v>308749500</v>
      </c>
      <c r="F50" s="3" t="s">
        <v>21</v>
      </c>
      <c r="H50" s="1">
        <f>+H48+H46+H20+H6+H22+H37+H34+H35</f>
        <v>135470624</v>
      </c>
      <c r="I50" s="1">
        <f>+I48+I46+I20+I6+I22+I37+I34+I35</f>
        <v>339249370</v>
      </c>
      <c r="K50" s="29">
        <f>+K48+K46+K20+K6+K22+K37+K34+K35</f>
        <v>344862072</v>
      </c>
      <c r="L50" s="30"/>
    </row>
    <row r="52" spans="3:9" ht="12.75">
      <c r="C52" s="1" t="s">
        <v>24</v>
      </c>
      <c r="D52" s="1" t="s">
        <v>24</v>
      </c>
      <c r="H52" t="s">
        <v>24</v>
      </c>
      <c r="I52" s="1" t="s">
        <v>24</v>
      </c>
    </row>
    <row r="53" spans="3:9" ht="12.75">
      <c r="C53" t="s">
        <v>24</v>
      </c>
      <c r="D53" t="s">
        <v>24</v>
      </c>
      <c r="I53" t="s">
        <v>24</v>
      </c>
    </row>
  </sheetData>
  <mergeCells count="4">
    <mergeCell ref="A4:D4"/>
    <mergeCell ref="F4:I4"/>
    <mergeCell ref="K3:L3"/>
    <mergeCell ref="K4:L4"/>
  </mergeCells>
  <printOptions/>
  <pageMargins left="0" right="0" top="0.25" bottom="0.25" header="0.5" footer="0.5"/>
  <pageSetup horizontalDpi="1200" verticalDpi="1200" orientation="landscape" scale="65" r:id="rId1"/>
  <headerFooter alignWithMargins="0">
    <oddFooter>&amp;R &amp;F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S54"/>
  <sheetViews>
    <sheetView zoomScale="75" zoomScaleNormal="75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40625" defaultRowHeight="12.75"/>
  <cols>
    <col min="1" max="1" width="32.140625" style="0" customWidth="1"/>
    <col min="2" max="2" width="18.28125" style="0" bestFit="1" customWidth="1"/>
    <col min="3" max="5" width="14.8515625" style="0" bestFit="1" customWidth="1"/>
    <col min="6" max="6" width="13.421875" style="0" bestFit="1" customWidth="1"/>
    <col min="7" max="7" width="16.28125" style="0" bestFit="1" customWidth="1"/>
    <col min="8" max="12" width="17.140625" style="0" bestFit="1" customWidth="1"/>
    <col min="13" max="13" width="13.421875" style="0" bestFit="1" customWidth="1"/>
    <col min="14" max="14" width="13.140625" style="0" bestFit="1" customWidth="1"/>
    <col min="15" max="15" width="12.28125" style="0" customWidth="1"/>
    <col min="16" max="16" width="17.140625" style="0" bestFit="1" customWidth="1"/>
    <col min="17" max="17" width="10.00390625" style="0" bestFit="1" customWidth="1"/>
    <col min="18" max="18" width="11.28125" style="0" bestFit="1" customWidth="1"/>
  </cols>
  <sheetData>
    <row r="2" spans="1:2" ht="23.25">
      <c r="A2" s="4" t="s">
        <v>98</v>
      </c>
      <c r="B2" s="4"/>
    </row>
    <row r="3" spans="1:2" ht="23.25">
      <c r="A3" s="4"/>
      <c r="B3" s="4"/>
    </row>
    <row r="4" spans="1:2" ht="23.25">
      <c r="A4" s="4"/>
      <c r="B4" s="4"/>
    </row>
    <row r="5" spans="2:16" ht="12.75">
      <c r="B5" s="2" t="s">
        <v>39</v>
      </c>
      <c r="C5" s="2" t="s">
        <v>27</v>
      </c>
      <c r="D5" s="2" t="s">
        <v>28</v>
      </c>
      <c r="E5" s="2" t="s">
        <v>29</v>
      </c>
      <c r="F5" s="2" t="s">
        <v>30</v>
      </c>
      <c r="G5" s="2" t="s">
        <v>31</v>
      </c>
      <c r="H5" s="2" t="s">
        <v>33</v>
      </c>
      <c r="I5" s="2" t="s">
        <v>32</v>
      </c>
      <c r="J5" s="2" t="s">
        <v>34</v>
      </c>
      <c r="K5" s="2" t="s">
        <v>35</v>
      </c>
      <c r="L5" s="2" t="s">
        <v>36</v>
      </c>
      <c r="M5" s="2" t="s">
        <v>37</v>
      </c>
      <c r="N5" s="2" t="s">
        <v>55</v>
      </c>
      <c r="O5" s="2" t="s">
        <v>56</v>
      </c>
      <c r="P5" s="2" t="s">
        <v>38</v>
      </c>
    </row>
    <row r="6" ht="12.75">
      <c r="B6" s="3"/>
    </row>
    <row r="7" spans="1:17" ht="12.75">
      <c r="A7" s="3" t="s">
        <v>45</v>
      </c>
      <c r="B7" s="9">
        <v>200000</v>
      </c>
      <c r="C7" s="13">
        <v>50000</v>
      </c>
      <c r="D7" s="13">
        <v>150000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/>
      <c r="O7" s="13"/>
      <c r="P7" s="13">
        <f>SUM(C7:O7)</f>
        <v>200000</v>
      </c>
      <c r="Q7" t="s">
        <v>24</v>
      </c>
    </row>
    <row r="8" spans="2:16" ht="12.75">
      <c r="B8" s="7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12.75">
      <c r="A9" s="3" t="s">
        <v>0</v>
      </c>
      <c r="B9" s="8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12.75">
      <c r="A10" t="s">
        <v>1</v>
      </c>
      <c r="B10" s="8">
        <v>19270800</v>
      </c>
      <c r="C10" s="13">
        <f>+'Chamber Costs breakout'!C38</f>
        <v>0</v>
      </c>
      <c r="D10" s="13">
        <f>+'Chamber Costs breakout'!D38</f>
        <v>401475</v>
      </c>
      <c r="E10" s="13">
        <f>+'Chamber Costs breakout'!E38</f>
        <v>2007375</v>
      </c>
      <c r="F10" s="13">
        <f>+'Chamber Costs breakout'!F38</f>
        <v>3613275</v>
      </c>
      <c r="G10" s="13">
        <f>+'Chamber Costs breakout'!G38</f>
        <v>4817700</v>
      </c>
      <c r="H10" s="13">
        <f>+'Chamber Costs breakout'!H38</f>
        <v>4416225</v>
      </c>
      <c r="I10" s="13">
        <f>+'Chamber Costs breakout'!I38</f>
        <v>2810325</v>
      </c>
      <c r="J10" s="13">
        <f>+'Chamber Costs breakout'!J38</f>
        <v>1204425</v>
      </c>
      <c r="K10" s="13">
        <f>+'Chamber Costs breakout'!K38</f>
        <v>0</v>
      </c>
      <c r="L10" s="13">
        <f>+'Chamber Costs breakout'!L38</f>
        <v>0</v>
      </c>
      <c r="M10" s="13">
        <f>+'Chamber Costs breakout'!M38</f>
        <v>0</v>
      </c>
      <c r="N10" s="13"/>
      <c r="O10" s="13"/>
      <c r="P10" s="13">
        <f>SUM(C10:O10)</f>
        <v>19270800</v>
      </c>
    </row>
    <row r="11" spans="1:16" ht="12.75">
      <c r="A11" t="s">
        <v>2</v>
      </c>
      <c r="B11" s="8">
        <v>4547400</v>
      </c>
      <c r="C11" s="13">
        <f>+'Chamber Costs breakout'!C39</f>
        <v>0</v>
      </c>
      <c r="D11" s="13">
        <f>+'Chamber Costs breakout'!D39</f>
        <v>94737.5</v>
      </c>
      <c r="E11" s="13">
        <f>+'Chamber Costs breakout'!E39</f>
        <v>473687.5</v>
      </c>
      <c r="F11" s="13">
        <f>+'Chamber Costs breakout'!F39</f>
        <v>852637.5</v>
      </c>
      <c r="G11" s="13">
        <f>+'Chamber Costs breakout'!G39</f>
        <v>1136850</v>
      </c>
      <c r="H11" s="13">
        <f>+'Chamber Costs breakout'!H39</f>
        <v>1042112.5</v>
      </c>
      <c r="I11" s="13">
        <f>+'Chamber Costs breakout'!I39</f>
        <v>663162.5</v>
      </c>
      <c r="J11" s="13">
        <f>+'Chamber Costs breakout'!J39</f>
        <v>284212.5</v>
      </c>
      <c r="K11" s="13">
        <f>+'Chamber Costs breakout'!K39</f>
        <v>0</v>
      </c>
      <c r="L11" s="13">
        <f>+'Chamber Costs breakout'!L39</f>
        <v>0</v>
      </c>
      <c r="M11" s="13">
        <f>+'Chamber Costs breakout'!M39</f>
        <v>0</v>
      </c>
      <c r="N11" s="13"/>
      <c r="O11" s="13"/>
      <c r="P11" s="13">
        <f aca="true" t="shared" si="0" ref="P11:P18">SUM(C11:O11)</f>
        <v>4547400</v>
      </c>
    </row>
    <row r="12" spans="1:16" ht="12.75">
      <c r="A12" t="s">
        <v>3</v>
      </c>
      <c r="B12" s="8">
        <v>15775980</v>
      </c>
      <c r="C12" s="13">
        <f>+'Chamber Costs breakout'!C40</f>
        <v>0</v>
      </c>
      <c r="D12" s="13">
        <f>+'Chamber Costs breakout'!D40</f>
        <v>328666.25</v>
      </c>
      <c r="E12" s="13">
        <f>+'Chamber Costs breakout'!E40</f>
        <v>1643331.25</v>
      </c>
      <c r="F12" s="13">
        <f>+'Chamber Costs breakout'!F40</f>
        <v>2957996.25</v>
      </c>
      <c r="G12" s="13">
        <f>+'Chamber Costs breakout'!G40</f>
        <v>3943995</v>
      </c>
      <c r="H12" s="13">
        <f>+'Chamber Costs breakout'!H40</f>
        <v>3615328.75</v>
      </c>
      <c r="I12" s="13">
        <f>+'Chamber Costs breakout'!I40</f>
        <v>2300663.75</v>
      </c>
      <c r="J12" s="13">
        <f>+'Chamber Costs breakout'!J40</f>
        <v>985998.75</v>
      </c>
      <c r="K12" s="13">
        <f>+'Chamber Costs breakout'!K40</f>
        <v>0</v>
      </c>
      <c r="L12" s="13">
        <f>+'Chamber Costs breakout'!L40</f>
        <v>0</v>
      </c>
      <c r="M12" s="13">
        <f>+'Chamber Costs breakout'!M40</f>
        <v>0</v>
      </c>
      <c r="N12" s="13"/>
      <c r="O12" s="13"/>
      <c r="P12" s="13">
        <f t="shared" si="0"/>
        <v>15775980</v>
      </c>
    </row>
    <row r="13" spans="1:16" ht="12.75">
      <c r="A13" t="s">
        <v>4</v>
      </c>
      <c r="B13" s="8">
        <v>11368500</v>
      </c>
      <c r="C13" s="13">
        <f>+'Chamber Costs breakout'!C41</f>
        <v>0</v>
      </c>
      <c r="D13" s="13">
        <f>+'Chamber Costs breakout'!D41</f>
        <v>236843.75</v>
      </c>
      <c r="E13" s="13">
        <f>+'Chamber Costs breakout'!E41</f>
        <v>1184218.75</v>
      </c>
      <c r="F13" s="13">
        <f>+'Chamber Costs breakout'!F41</f>
        <v>2131593.75</v>
      </c>
      <c r="G13" s="13">
        <f>+'Chamber Costs breakout'!G41</f>
        <v>2842125</v>
      </c>
      <c r="H13" s="13">
        <f>+'Chamber Costs breakout'!H41</f>
        <v>2605281.25</v>
      </c>
      <c r="I13" s="13">
        <f>+'Chamber Costs breakout'!I41</f>
        <v>1657906.25</v>
      </c>
      <c r="J13" s="13">
        <f>+'Chamber Costs breakout'!J41</f>
        <v>710531.25</v>
      </c>
      <c r="K13" s="13">
        <f>+'Chamber Costs breakout'!K41</f>
        <v>0</v>
      </c>
      <c r="L13" s="13">
        <f>+'Chamber Costs breakout'!L41</f>
        <v>0</v>
      </c>
      <c r="M13" s="13">
        <f>+'Chamber Costs breakout'!M41</f>
        <v>0</v>
      </c>
      <c r="N13" s="13"/>
      <c r="O13" s="13"/>
      <c r="P13" s="13">
        <f t="shared" si="0"/>
        <v>11368500</v>
      </c>
    </row>
    <row r="14" spans="1:16" ht="12.75">
      <c r="A14" t="s">
        <v>5</v>
      </c>
      <c r="B14" s="8">
        <v>419760</v>
      </c>
      <c r="C14" s="13">
        <f>+'Chamber Costs breakout'!C42</f>
        <v>0</v>
      </c>
      <c r="D14" s="13">
        <f>+'Chamber Costs breakout'!D42</f>
        <v>8745</v>
      </c>
      <c r="E14" s="13">
        <f>+'Chamber Costs breakout'!E42</f>
        <v>43725</v>
      </c>
      <c r="F14" s="13">
        <f>+'Chamber Costs breakout'!F42</f>
        <v>78705</v>
      </c>
      <c r="G14" s="13">
        <f>+'Chamber Costs breakout'!G42</f>
        <v>104940</v>
      </c>
      <c r="H14" s="13">
        <f>+'Chamber Costs breakout'!H42</f>
        <v>96195</v>
      </c>
      <c r="I14" s="13">
        <f>+'Chamber Costs breakout'!I42</f>
        <v>61215</v>
      </c>
      <c r="J14" s="13">
        <f>+'Chamber Costs breakout'!J42</f>
        <v>26235</v>
      </c>
      <c r="K14" s="13">
        <f>+'Chamber Costs breakout'!K42</f>
        <v>0</v>
      </c>
      <c r="L14" s="13">
        <f>+'Chamber Costs breakout'!L42</f>
        <v>0</v>
      </c>
      <c r="M14" s="13">
        <f>+'Chamber Costs breakout'!M42</f>
        <v>0</v>
      </c>
      <c r="N14" s="13"/>
      <c r="O14" s="13"/>
      <c r="P14" s="13">
        <f t="shared" si="0"/>
        <v>419760</v>
      </c>
    </row>
    <row r="15" spans="1:16" ht="12.75">
      <c r="A15" t="s">
        <v>6</v>
      </c>
      <c r="B15" s="8">
        <v>795000</v>
      </c>
      <c r="C15" s="13">
        <f>+'Chamber Costs breakout'!C43</f>
        <v>0</v>
      </c>
      <c r="D15" s="13">
        <f>+'Chamber Costs breakout'!D43</f>
        <v>16562.5</v>
      </c>
      <c r="E15" s="13">
        <f>+'Chamber Costs breakout'!E43</f>
        <v>82812.5</v>
      </c>
      <c r="F15" s="13">
        <f>+'Chamber Costs breakout'!F43</f>
        <v>149062.5</v>
      </c>
      <c r="G15" s="13">
        <f>+'Chamber Costs breakout'!G43</f>
        <v>198750</v>
      </c>
      <c r="H15" s="13">
        <f>+'Chamber Costs breakout'!H43</f>
        <v>182187.5</v>
      </c>
      <c r="I15" s="13">
        <f>+'Chamber Costs breakout'!I43</f>
        <v>115937.5</v>
      </c>
      <c r="J15" s="13">
        <f>+'Chamber Costs breakout'!J43</f>
        <v>49687.5</v>
      </c>
      <c r="K15" s="13">
        <f>+'Chamber Costs breakout'!K43</f>
        <v>0</v>
      </c>
      <c r="L15" s="13">
        <f>+'Chamber Costs breakout'!L43</f>
        <v>0</v>
      </c>
      <c r="M15" s="13">
        <f>+'Chamber Costs breakout'!M43</f>
        <v>0</v>
      </c>
      <c r="N15" s="13"/>
      <c r="O15" s="13"/>
      <c r="P15" s="13">
        <f t="shared" si="0"/>
        <v>795000</v>
      </c>
    </row>
    <row r="16" spans="1:16" ht="12.75">
      <c r="A16" t="s">
        <v>7</v>
      </c>
      <c r="B16" s="8">
        <v>3180000</v>
      </c>
      <c r="C16" s="13">
        <f>+'Chamber Costs breakout'!C44</f>
        <v>0</v>
      </c>
      <c r="D16" s="13">
        <f>+'Chamber Costs breakout'!D44</f>
        <v>66250</v>
      </c>
      <c r="E16" s="13">
        <f>+'Chamber Costs breakout'!E44</f>
        <v>331250</v>
      </c>
      <c r="F16" s="13">
        <f>+'Chamber Costs breakout'!F44</f>
        <v>596250</v>
      </c>
      <c r="G16" s="13">
        <f>+'Chamber Costs breakout'!G44</f>
        <v>795000</v>
      </c>
      <c r="H16" s="13">
        <f>+'Chamber Costs breakout'!H44</f>
        <v>728750</v>
      </c>
      <c r="I16" s="13">
        <f>+'Chamber Costs breakout'!I44</f>
        <v>463750</v>
      </c>
      <c r="J16" s="13">
        <f>+'Chamber Costs breakout'!J44</f>
        <v>198750</v>
      </c>
      <c r="K16" s="13">
        <f>+'Chamber Costs breakout'!K44</f>
        <v>0</v>
      </c>
      <c r="L16" s="13">
        <f>+'Chamber Costs breakout'!L44</f>
        <v>0</v>
      </c>
      <c r="M16" s="13">
        <f>+'Chamber Costs breakout'!M44</f>
        <v>0</v>
      </c>
      <c r="N16" s="13"/>
      <c r="O16" s="13"/>
      <c r="P16" s="13">
        <f t="shared" si="0"/>
        <v>3180000</v>
      </c>
    </row>
    <row r="17" spans="1:16" ht="12.75">
      <c r="A17" t="s">
        <v>8</v>
      </c>
      <c r="B17" s="8">
        <v>5300000</v>
      </c>
      <c r="C17" s="13">
        <f>+'Chamber Costs breakout'!C45</f>
        <v>0</v>
      </c>
      <c r="D17" s="13">
        <f>+'Chamber Costs breakout'!D45</f>
        <v>5300000</v>
      </c>
      <c r="E17" s="13">
        <f>+'Chamber Costs breakout'!E45</f>
        <v>0</v>
      </c>
      <c r="F17" s="13">
        <f>+'Chamber Costs breakout'!F45</f>
        <v>0</v>
      </c>
      <c r="G17" s="13">
        <f>+'Chamber Costs breakout'!G45</f>
        <v>0</v>
      </c>
      <c r="H17" s="13">
        <f>+'Chamber Costs breakout'!H45</f>
        <v>0</v>
      </c>
      <c r="I17" s="13">
        <f>+'Chamber Costs breakout'!I45</f>
        <v>0</v>
      </c>
      <c r="J17" s="13">
        <f>+'Chamber Costs breakout'!J45</f>
        <v>0</v>
      </c>
      <c r="K17" s="13">
        <f>+'Chamber Costs breakout'!K45</f>
        <v>0</v>
      </c>
      <c r="L17" s="13">
        <f>+'Chamber Costs breakout'!L45</f>
        <v>0</v>
      </c>
      <c r="M17" s="13">
        <f>+'Chamber Costs breakout'!M45</f>
        <v>0</v>
      </c>
      <c r="N17" s="13"/>
      <c r="O17" s="13"/>
      <c r="P17" s="13">
        <f t="shared" si="0"/>
        <v>5300000</v>
      </c>
    </row>
    <row r="18" spans="1:16" ht="12.75">
      <c r="A18" t="s">
        <v>25</v>
      </c>
      <c r="B18" s="8">
        <v>18197232</v>
      </c>
      <c r="C18" s="13">
        <f>+'Chamber Costs breakout'!C48</f>
        <v>0</v>
      </c>
      <c r="D18" s="13">
        <f>+'Chamber Costs breakout'!D48</f>
        <v>1935984</v>
      </c>
      <c r="E18" s="13">
        <f>+'Chamber Costs breakout'!E48</f>
        <v>1729920</v>
      </c>
      <c r="F18" s="13">
        <f>+'Chamber Costs breakout'!F48</f>
        <v>3113856</v>
      </c>
      <c r="G18" s="13">
        <f>+'Chamber Costs breakout'!G48</f>
        <v>4151808</v>
      </c>
      <c r="H18" s="13">
        <f>+'Chamber Costs breakout'!H48</f>
        <v>3805824</v>
      </c>
      <c r="I18" s="13">
        <f>+'Chamber Costs breakout'!I48</f>
        <v>2421888</v>
      </c>
      <c r="J18" s="13">
        <f>+'Chamber Costs breakout'!J48</f>
        <v>1037952</v>
      </c>
      <c r="K18" s="13">
        <f>+'Chamber Costs breakout'!K48</f>
        <v>0</v>
      </c>
      <c r="L18" s="13">
        <f>+'Chamber Costs breakout'!L48</f>
        <v>0</v>
      </c>
      <c r="M18" s="13">
        <f>+'Chamber Costs breakout'!M48</f>
        <v>0</v>
      </c>
      <c r="N18" s="13"/>
      <c r="O18" s="13"/>
      <c r="P18" s="13">
        <f t="shared" si="0"/>
        <v>18197232</v>
      </c>
    </row>
    <row r="19" spans="2:16" ht="12.75">
      <c r="B19" s="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2.75">
      <c r="A20" s="3" t="s">
        <v>9</v>
      </c>
      <c r="B20" s="9">
        <f>SUM(B10:B19)</f>
        <v>78854672</v>
      </c>
      <c r="C20" s="14">
        <f aca="true" t="shared" si="1" ref="C20:M20">SUM(C10:C19)</f>
        <v>0</v>
      </c>
      <c r="D20" s="14">
        <f>SUM(D10:D19)</f>
        <v>8389264</v>
      </c>
      <c r="E20" s="14">
        <f t="shared" si="1"/>
        <v>7496320</v>
      </c>
      <c r="F20" s="14">
        <f>SUM(F10:F19)</f>
        <v>13493376</v>
      </c>
      <c r="G20" s="14">
        <f>SUM(G10:G19)</f>
        <v>17991168</v>
      </c>
      <c r="H20" s="14">
        <f t="shared" si="1"/>
        <v>16491904</v>
      </c>
      <c r="I20" s="14">
        <f t="shared" si="1"/>
        <v>10494848</v>
      </c>
      <c r="J20" s="14">
        <f t="shared" si="1"/>
        <v>4497792</v>
      </c>
      <c r="K20" s="14">
        <f t="shared" si="1"/>
        <v>0</v>
      </c>
      <c r="L20" s="14">
        <f t="shared" si="1"/>
        <v>0</v>
      </c>
      <c r="M20" s="14">
        <f t="shared" si="1"/>
        <v>0</v>
      </c>
      <c r="N20" s="14"/>
      <c r="O20" s="14"/>
      <c r="P20" s="14">
        <f>SUM(P10:P19)</f>
        <v>78854672</v>
      </c>
    </row>
    <row r="21" spans="2:16" ht="12.75">
      <c r="B21" s="10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ht="12.75">
      <c r="A22" s="3" t="s">
        <v>46</v>
      </c>
      <c r="B22" s="9">
        <f>1500000+600000</f>
        <v>2100000</v>
      </c>
      <c r="C22">
        <v>0</v>
      </c>
      <c r="D22">
        <v>0</v>
      </c>
      <c r="E22" s="15">
        <f>+B22/2</f>
        <v>1050000</v>
      </c>
      <c r="F22" s="15">
        <f>+B22/2</f>
        <v>1050000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f>SUM(C22:O22)</f>
        <v>2100000</v>
      </c>
    </row>
    <row r="23" spans="2:18" ht="12.75">
      <c r="B23" s="7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R23" s="18"/>
    </row>
    <row r="24" spans="1:16" ht="12.75">
      <c r="A24" s="3" t="s">
        <v>10</v>
      </c>
      <c r="B24" s="8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8" ht="12.75">
      <c r="A25" t="s">
        <v>11</v>
      </c>
      <c r="B25" s="8">
        <v>932.8</v>
      </c>
      <c r="C25" s="13">
        <v>0</v>
      </c>
      <c r="D25" s="13">
        <v>0</v>
      </c>
      <c r="E25" s="13">
        <v>0</v>
      </c>
      <c r="F25" s="13">
        <v>0</v>
      </c>
      <c r="G25" s="13">
        <f>+B25*20000</f>
        <v>18656000</v>
      </c>
      <c r="H25" s="13">
        <f>+B25*40000</f>
        <v>37312000</v>
      </c>
      <c r="I25" s="13">
        <f>+B25*40000</f>
        <v>37312000</v>
      </c>
      <c r="J25" s="13">
        <f>+B25*40000</f>
        <v>37312000</v>
      </c>
      <c r="K25" s="13">
        <f>+B25*10000</f>
        <v>9328000</v>
      </c>
      <c r="L25" s="13">
        <v>0</v>
      </c>
      <c r="M25" s="13">
        <v>0</v>
      </c>
      <c r="N25" s="13">
        <v>0</v>
      </c>
      <c r="O25" s="13">
        <v>0</v>
      </c>
      <c r="P25" s="13">
        <f>SUM(C25:O25)</f>
        <v>139920000</v>
      </c>
      <c r="R25" s="18" t="s">
        <v>24</v>
      </c>
    </row>
    <row r="26" spans="1:18" ht="12.75">
      <c r="A26" t="s">
        <v>12</v>
      </c>
      <c r="B26" s="8">
        <v>174.9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8016192</v>
      </c>
      <c r="J26" s="13">
        <f>728808+8016192</f>
        <v>8745000</v>
      </c>
      <c r="K26" s="13">
        <f>728808+8016192</f>
        <v>8745000</v>
      </c>
      <c r="L26" s="13">
        <v>728808</v>
      </c>
      <c r="M26" s="13">
        <v>0</v>
      </c>
      <c r="N26" s="13">
        <v>0</v>
      </c>
      <c r="O26" s="13">
        <v>0</v>
      </c>
      <c r="P26" s="13">
        <f>SUM(C26:O26)</f>
        <v>26235000</v>
      </c>
      <c r="R26" t="s">
        <v>24</v>
      </c>
    </row>
    <row r="27" spans="1:16" ht="12.75">
      <c r="A27" t="s">
        <v>13</v>
      </c>
      <c r="B27" s="8">
        <v>127.2</v>
      </c>
      <c r="C27" s="13">
        <v>0</v>
      </c>
      <c r="D27" s="13">
        <v>0</v>
      </c>
      <c r="E27" s="13">
        <v>0</v>
      </c>
      <c r="F27" s="13">
        <v>0</v>
      </c>
      <c r="G27" s="13">
        <f>+B27*20000</f>
        <v>2544000</v>
      </c>
      <c r="H27" s="13">
        <f>+B27*40000</f>
        <v>5088000</v>
      </c>
      <c r="I27" s="13">
        <f>+B27*40000</f>
        <v>5088000</v>
      </c>
      <c r="J27" s="13">
        <f>+B27*40000</f>
        <v>5088000</v>
      </c>
      <c r="K27" s="13">
        <f>+B27*10000</f>
        <v>1272000</v>
      </c>
      <c r="L27" s="13">
        <v>0</v>
      </c>
      <c r="M27" s="13">
        <v>0</v>
      </c>
      <c r="N27" s="13">
        <v>0</v>
      </c>
      <c r="O27" s="13">
        <v>0</v>
      </c>
      <c r="P27" s="13">
        <f>SUM(C27:O27)</f>
        <v>19080000</v>
      </c>
    </row>
    <row r="28" spans="1:16" ht="12.75">
      <c r="A28" t="s">
        <v>14</v>
      </c>
      <c r="B28" s="8">
        <v>81.62</v>
      </c>
      <c r="C28" s="13">
        <v>0</v>
      </c>
      <c r="D28" s="13">
        <v>0</v>
      </c>
      <c r="E28" s="13">
        <v>0</v>
      </c>
      <c r="F28" s="13">
        <v>0</v>
      </c>
      <c r="G28" s="13">
        <f>+B28*20000</f>
        <v>1632400</v>
      </c>
      <c r="H28" s="13">
        <f>+B28*40000</f>
        <v>3264800</v>
      </c>
      <c r="I28" s="13">
        <f>+B28*40000</f>
        <v>3264800</v>
      </c>
      <c r="J28" s="13">
        <f>+B28*40000</f>
        <v>3264800</v>
      </c>
      <c r="K28" s="13">
        <f>+B28*10000</f>
        <v>816200</v>
      </c>
      <c r="L28" s="13">
        <v>0</v>
      </c>
      <c r="M28" s="13">
        <v>0</v>
      </c>
      <c r="N28" s="13">
        <v>0</v>
      </c>
      <c r="O28" s="13">
        <v>0</v>
      </c>
      <c r="P28" s="13">
        <f>SUM(C28:O28)</f>
        <v>12243000</v>
      </c>
    </row>
    <row r="29" spans="2:16" ht="12.75">
      <c r="B29" s="8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2.75">
      <c r="A30" s="3" t="s">
        <v>40</v>
      </c>
      <c r="B30" s="9">
        <f>SUM(B25:B29)</f>
        <v>1316.52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12.75">
      <c r="A31" s="3" t="s">
        <v>41</v>
      </c>
      <c r="B31" s="9">
        <f>+B30*150000</f>
        <v>197478000</v>
      </c>
      <c r="C31" s="13"/>
      <c r="D31" s="13"/>
      <c r="E31" s="15">
        <f>+E28+E27+E26+E25</f>
        <v>0</v>
      </c>
      <c r="F31" s="15">
        <f aca="true" t="shared" si="2" ref="F31:P31">+F28+F27+F26+F25</f>
        <v>0</v>
      </c>
      <c r="G31" s="15">
        <f t="shared" si="2"/>
        <v>22832400</v>
      </c>
      <c r="H31" s="15">
        <f t="shared" si="2"/>
        <v>45664800</v>
      </c>
      <c r="I31" s="15">
        <f t="shared" si="2"/>
        <v>53680992</v>
      </c>
      <c r="J31" s="15">
        <f t="shared" si="2"/>
        <v>54409800</v>
      </c>
      <c r="K31" s="15">
        <f t="shared" si="2"/>
        <v>20161200</v>
      </c>
      <c r="L31" s="15">
        <f t="shared" si="2"/>
        <v>728808</v>
      </c>
      <c r="M31" s="15">
        <f t="shared" si="2"/>
        <v>0</v>
      </c>
      <c r="N31" s="15">
        <f t="shared" si="2"/>
        <v>0</v>
      </c>
      <c r="O31" s="15">
        <f t="shared" si="2"/>
        <v>0</v>
      </c>
      <c r="P31" s="15">
        <f t="shared" si="2"/>
        <v>197478000</v>
      </c>
    </row>
    <row r="32" spans="2:16" ht="12.75">
      <c r="B32" s="8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ht="12.75">
      <c r="A33" s="3" t="s">
        <v>54</v>
      </c>
      <c r="B33" s="8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9" ht="12.75">
      <c r="A34" t="s">
        <v>53</v>
      </c>
      <c r="B34" s="8">
        <v>2000000</v>
      </c>
      <c r="C34" s="13">
        <v>0</v>
      </c>
      <c r="D34" s="13">
        <v>0</v>
      </c>
      <c r="E34" s="13">
        <v>0</v>
      </c>
      <c r="F34" s="13">
        <v>2000000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/>
      <c r="O34" s="13"/>
      <c r="P34" s="13">
        <f>SUM(C34:O34)</f>
        <v>2000000</v>
      </c>
      <c r="S34" t="s">
        <v>24</v>
      </c>
    </row>
    <row r="35" spans="1:19" ht="12.75">
      <c r="A35" t="s">
        <v>52</v>
      </c>
      <c r="B35" s="8">
        <v>7500000</v>
      </c>
      <c r="C35" s="13"/>
      <c r="D35" s="13"/>
      <c r="E35" s="13">
        <v>0</v>
      </c>
      <c r="F35" s="13">
        <v>0</v>
      </c>
      <c r="G35" s="13">
        <f>8*125000</f>
        <v>1000000</v>
      </c>
      <c r="H35" s="13">
        <f>16*125000</f>
        <v>2000000</v>
      </c>
      <c r="I35" s="13">
        <f>16*125000</f>
        <v>2000000</v>
      </c>
      <c r="J35" s="13">
        <f>16*125000</f>
        <v>2000000</v>
      </c>
      <c r="K35" s="13">
        <f>4*125000</f>
        <v>500000</v>
      </c>
      <c r="L35" s="13">
        <v>0</v>
      </c>
      <c r="M35" s="13">
        <v>0</v>
      </c>
      <c r="N35" s="13">
        <v>0</v>
      </c>
      <c r="O35" s="13">
        <v>0</v>
      </c>
      <c r="P35" s="13">
        <f>SUM(C35:O35)</f>
        <v>7500000</v>
      </c>
      <c r="Q35" t="s">
        <v>24</v>
      </c>
      <c r="R35" s="18" t="s">
        <v>24</v>
      </c>
      <c r="S35" t="s">
        <v>24</v>
      </c>
    </row>
    <row r="36" spans="2:19" ht="12.75">
      <c r="B36" s="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S36" t="s">
        <v>24</v>
      </c>
    </row>
    <row r="37" spans="1:19" ht="12.75">
      <c r="A37" s="3" t="s">
        <v>47</v>
      </c>
      <c r="B37" s="9">
        <f>+B40*0.1</f>
        <v>42400</v>
      </c>
      <c r="C37" s="15">
        <v>0</v>
      </c>
      <c r="D37" s="15">
        <v>0</v>
      </c>
      <c r="E37" s="15">
        <v>0</v>
      </c>
      <c r="F37" s="15">
        <v>0</v>
      </c>
      <c r="G37" s="15">
        <v>42400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/>
      <c r="O37" s="15"/>
      <c r="P37" s="15">
        <f>SUM(C37:M37)</f>
        <v>42400</v>
      </c>
      <c r="S37" t="s">
        <v>24</v>
      </c>
    </row>
    <row r="38" spans="2:19" ht="12.75">
      <c r="B38" s="8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S38" t="s">
        <v>24</v>
      </c>
    </row>
    <row r="39" spans="1:19" ht="12.75">
      <c r="A39" s="3" t="s">
        <v>15</v>
      </c>
      <c r="B39" s="8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S39" t="s">
        <v>24</v>
      </c>
    </row>
    <row r="40" spans="1:16" ht="12.75">
      <c r="A40" t="s">
        <v>16</v>
      </c>
      <c r="B40" s="8">
        <v>424000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212000</v>
      </c>
      <c r="I40" s="13">
        <f>+B40/2</f>
        <v>212000</v>
      </c>
      <c r="J40" s="13">
        <v>0</v>
      </c>
      <c r="K40">
        <v>0</v>
      </c>
      <c r="M40" s="13">
        <v>0</v>
      </c>
      <c r="N40" s="13"/>
      <c r="O40" s="13"/>
      <c r="P40" s="13">
        <f>SUM(C40:O40)</f>
        <v>424000</v>
      </c>
    </row>
    <row r="41" spans="1:16" ht="12.75">
      <c r="A41" t="s">
        <v>17</v>
      </c>
      <c r="B41" s="8">
        <v>3180000</v>
      </c>
      <c r="C41" s="13">
        <v>0</v>
      </c>
      <c r="D41" s="13">
        <f>+B41/2</f>
        <v>1590000</v>
      </c>
      <c r="E41" s="13">
        <f>+B41/2</f>
        <v>1590000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/>
      <c r="O41" s="13"/>
      <c r="P41" s="13">
        <f>SUM(C41:O41)</f>
        <v>3180000</v>
      </c>
    </row>
    <row r="42" spans="1:16" ht="12.75">
      <c r="A42" t="s">
        <v>18</v>
      </c>
      <c r="B42" s="8">
        <v>4770000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f>750000*3</f>
        <v>2250000</v>
      </c>
      <c r="I42" s="13">
        <v>0</v>
      </c>
      <c r="J42" s="13">
        <v>0</v>
      </c>
      <c r="K42" s="13">
        <v>0</v>
      </c>
      <c r="L42" s="13"/>
      <c r="M42" s="13"/>
      <c r="N42" s="13"/>
      <c r="O42" s="13"/>
      <c r="P42" s="13">
        <f>SUM(C42:O42)</f>
        <v>2250000</v>
      </c>
    </row>
    <row r="43" spans="2:18" ht="12.75">
      <c r="B43" s="8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R43" s="18"/>
    </row>
    <row r="44" spans="1:18" ht="12.75">
      <c r="A44" t="s">
        <v>19</v>
      </c>
      <c r="B44" s="8">
        <f>+B42+B41+B40</f>
        <v>8374000</v>
      </c>
      <c r="C44" s="16">
        <f>+C42+C41+C40</f>
        <v>0</v>
      </c>
      <c r="D44" s="16">
        <f>+D42+D41+D40</f>
        <v>1590000</v>
      </c>
      <c r="E44" s="16">
        <f>+E42+E41+E40</f>
        <v>1590000</v>
      </c>
      <c r="F44" s="9">
        <f>+F42+F41+F40</f>
        <v>0</v>
      </c>
      <c r="G44" s="9">
        <f aca="true" t="shared" si="3" ref="G44:N44">+G42+G41+G40</f>
        <v>0</v>
      </c>
      <c r="H44" s="9">
        <f t="shared" si="3"/>
        <v>2462000</v>
      </c>
      <c r="I44" s="9">
        <f t="shared" si="3"/>
        <v>212000</v>
      </c>
      <c r="J44" s="9">
        <f t="shared" si="3"/>
        <v>0</v>
      </c>
      <c r="K44" s="9">
        <f t="shared" si="3"/>
        <v>0</v>
      </c>
      <c r="L44" s="9">
        <f t="shared" si="3"/>
        <v>0</v>
      </c>
      <c r="M44" s="9">
        <f t="shared" si="3"/>
        <v>0</v>
      </c>
      <c r="N44" s="9">
        <f t="shared" si="3"/>
        <v>0</v>
      </c>
      <c r="O44" s="9"/>
      <c r="P44" s="15">
        <f>SUM(C44:O44)</f>
        <v>5854000</v>
      </c>
      <c r="R44" s="18"/>
    </row>
    <row r="45" spans="2:16" ht="12.75">
      <c r="B45" s="8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ht="12.75">
      <c r="A46" s="3" t="s">
        <v>20</v>
      </c>
      <c r="B46" s="9">
        <f>+B44+B31</f>
        <v>205852000</v>
      </c>
      <c r="C46" s="15">
        <f>+C44+C31</f>
        <v>0</v>
      </c>
      <c r="D46" s="15">
        <f aca="true" t="shared" si="4" ref="D46:L46">+D44+D31</f>
        <v>1590000</v>
      </c>
      <c r="E46" s="15">
        <f>+E44+E31</f>
        <v>1590000</v>
      </c>
      <c r="F46" s="15">
        <f>+F44+F31</f>
        <v>0</v>
      </c>
      <c r="G46" s="15">
        <f t="shared" si="4"/>
        <v>22832400</v>
      </c>
      <c r="H46" s="15">
        <f t="shared" si="4"/>
        <v>48126800</v>
      </c>
      <c r="I46" s="15">
        <f>+I44+I31</f>
        <v>53892992</v>
      </c>
      <c r="J46" s="15">
        <f t="shared" si="4"/>
        <v>54409800</v>
      </c>
      <c r="K46" s="15">
        <f t="shared" si="4"/>
        <v>20161200</v>
      </c>
      <c r="L46" s="15">
        <f t="shared" si="4"/>
        <v>728808</v>
      </c>
      <c r="M46" s="15">
        <f>+M44+M31</f>
        <v>0</v>
      </c>
      <c r="N46" s="15">
        <f>+N44+N31</f>
        <v>0</v>
      </c>
      <c r="O46" s="15">
        <f>+O44+O31</f>
        <v>0</v>
      </c>
      <c r="P46" s="15">
        <f>SUM(C46:O46)</f>
        <v>203332000</v>
      </c>
    </row>
    <row r="47" spans="2:16" ht="12.75">
      <c r="B47" s="10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ht="12.75">
      <c r="A48" s="3" t="s">
        <v>26</v>
      </c>
      <c r="B48" s="9">
        <f>+B46*0.25</f>
        <v>51463000</v>
      </c>
      <c r="C48" s="15">
        <f>+C46*0.25</f>
        <v>0</v>
      </c>
      <c r="D48" s="15">
        <f>+D46*0.25</f>
        <v>397500</v>
      </c>
      <c r="E48" s="15">
        <f aca="true" t="shared" si="5" ref="E48:L48">+E46*0.25</f>
        <v>397500</v>
      </c>
      <c r="F48" s="15">
        <f t="shared" si="5"/>
        <v>0</v>
      </c>
      <c r="G48" s="15">
        <f t="shared" si="5"/>
        <v>5708100</v>
      </c>
      <c r="H48" s="15">
        <f t="shared" si="5"/>
        <v>12031700</v>
      </c>
      <c r="I48" s="15">
        <f t="shared" si="5"/>
        <v>13473248</v>
      </c>
      <c r="J48" s="15">
        <f t="shared" si="5"/>
        <v>13602450</v>
      </c>
      <c r="K48" s="15">
        <f t="shared" si="5"/>
        <v>5040300</v>
      </c>
      <c r="L48" s="15">
        <f t="shared" si="5"/>
        <v>182202</v>
      </c>
      <c r="M48" s="15">
        <f>+M46*0.25</f>
        <v>0</v>
      </c>
      <c r="N48" s="15">
        <f>+N46*0.25</f>
        <v>0</v>
      </c>
      <c r="O48" s="15">
        <f>+O46*0.25</f>
        <v>0</v>
      </c>
      <c r="P48" s="15">
        <f>SUM(C48:O48)</f>
        <v>50833000</v>
      </c>
    </row>
    <row r="49" spans="2:16" ht="12.75">
      <c r="B49" s="10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8" ht="12.75">
      <c r="A50" s="3" t="s">
        <v>42</v>
      </c>
      <c r="B50" s="9">
        <f>+B48+B46+B20+B7+B22+B37+B34+B35</f>
        <v>348012072</v>
      </c>
      <c r="C50" s="9">
        <f>+C48+C46+C20+C7+E22+C37+C34+C35</f>
        <v>1100000</v>
      </c>
      <c r="D50" s="9">
        <f>+D48+D46+D20+D7+F22+D37+D34+D35</f>
        <v>11576764</v>
      </c>
      <c r="E50" s="9">
        <f>+E48+E46+E20+E7+E37+E34+E35</f>
        <v>9483820</v>
      </c>
      <c r="F50" s="9">
        <f>+F48+F46+F20+F7+F37+F34+F35</f>
        <v>15493376</v>
      </c>
      <c r="G50" s="9">
        <f aca="true" t="shared" si="6" ref="G50:O50">+G48+G46+G20+G7+G22+G37+G34+G35</f>
        <v>47574068</v>
      </c>
      <c r="H50" s="9">
        <f t="shared" si="6"/>
        <v>78650404</v>
      </c>
      <c r="I50" s="9">
        <f t="shared" si="6"/>
        <v>79861088</v>
      </c>
      <c r="J50" s="9">
        <f t="shared" si="6"/>
        <v>74510042</v>
      </c>
      <c r="K50" s="9">
        <f t="shared" si="6"/>
        <v>25701500</v>
      </c>
      <c r="L50" s="9">
        <f t="shared" si="6"/>
        <v>911010</v>
      </c>
      <c r="M50" s="9">
        <f t="shared" si="6"/>
        <v>0</v>
      </c>
      <c r="N50" s="9">
        <f t="shared" si="6"/>
        <v>0</v>
      </c>
      <c r="O50" s="9">
        <f t="shared" si="6"/>
        <v>0</v>
      </c>
      <c r="P50" s="15">
        <f>SUM(C50:O50)</f>
        <v>344862072</v>
      </c>
      <c r="Q50" t="s">
        <v>24</v>
      </c>
      <c r="R50" s="18" t="s">
        <v>24</v>
      </c>
    </row>
    <row r="51" spans="2:16" ht="12.75">
      <c r="B51" s="6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ht="12.75">
      <c r="A52" t="s">
        <v>43</v>
      </c>
      <c r="C52" s="17">
        <v>1</v>
      </c>
      <c r="D52" s="17">
        <v>1.026</v>
      </c>
      <c r="E52" s="17">
        <v>1.0527</v>
      </c>
      <c r="F52" s="17">
        <v>1.08</v>
      </c>
      <c r="G52" s="17">
        <v>1.1081</v>
      </c>
      <c r="H52" s="17">
        <v>1.1369</v>
      </c>
      <c r="I52" s="17">
        <v>1.1665</v>
      </c>
      <c r="J52" s="17">
        <v>1.1968</v>
      </c>
      <c r="K52" s="17">
        <v>1.2279</v>
      </c>
      <c r="L52" s="17">
        <v>1.2599</v>
      </c>
      <c r="M52" s="17">
        <v>1.2926</v>
      </c>
      <c r="N52" s="17">
        <v>1.3262</v>
      </c>
      <c r="O52" s="17">
        <v>1.3607</v>
      </c>
      <c r="P52" s="11"/>
    </row>
    <row r="53" spans="3:16" ht="12.7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ht="12.75">
      <c r="A54" s="3" t="s">
        <v>44</v>
      </c>
      <c r="C54" s="15">
        <f>+C52*C50</f>
        <v>1100000</v>
      </c>
      <c r="D54" s="15">
        <f>+D52*D50</f>
        <v>11877759.864</v>
      </c>
      <c r="E54" s="15">
        <f aca="true" t="shared" si="7" ref="E54:L54">+E52*E50</f>
        <v>9983617.314</v>
      </c>
      <c r="F54" s="15">
        <f t="shared" si="7"/>
        <v>16732846.080000002</v>
      </c>
      <c r="G54" s="15">
        <f t="shared" si="7"/>
        <v>52716824.750800006</v>
      </c>
      <c r="H54" s="15">
        <f t="shared" si="7"/>
        <v>89417644.3076</v>
      </c>
      <c r="I54" s="15">
        <f t="shared" si="7"/>
        <v>93157959.15200001</v>
      </c>
      <c r="J54" s="15">
        <f t="shared" si="7"/>
        <v>89173618.26560001</v>
      </c>
      <c r="K54" s="15">
        <f t="shared" si="7"/>
        <v>31558871.85</v>
      </c>
      <c r="L54" s="15">
        <f t="shared" si="7"/>
        <v>1147781.499</v>
      </c>
      <c r="M54" s="15">
        <f>+M52*M50</f>
        <v>0</v>
      </c>
      <c r="N54" s="15">
        <f>+N52*N50</f>
        <v>0</v>
      </c>
      <c r="O54" s="15">
        <f>+O52*O50</f>
        <v>0</v>
      </c>
      <c r="P54" s="15">
        <f>SUM(C54:M54)</f>
        <v>396866923.08300006</v>
      </c>
    </row>
  </sheetData>
  <printOptions/>
  <pageMargins left="0" right="0" top="1" bottom="1" header="0.5" footer="0.5"/>
  <pageSetup horizontalDpi="1200" verticalDpi="1200" orientation="landscape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23.7109375" style="0" customWidth="1"/>
    <col min="3" max="3" width="9.28125" style="0" bestFit="1" customWidth="1"/>
    <col min="4" max="4" width="15.140625" style="0" bestFit="1" customWidth="1"/>
    <col min="5" max="6" width="14.8515625" style="0" bestFit="1" customWidth="1"/>
    <col min="7" max="8" width="16.00390625" style="0" bestFit="1" customWidth="1"/>
    <col min="9" max="9" width="15.140625" style="0" bestFit="1" customWidth="1"/>
    <col min="10" max="10" width="14.8515625" style="0" bestFit="1" customWidth="1"/>
    <col min="11" max="13" width="9.28125" style="0" bestFit="1" customWidth="1"/>
    <col min="14" max="14" width="16.28125" style="0" bestFit="1" customWidth="1"/>
  </cols>
  <sheetData>
    <row r="1" ht="12.75">
      <c r="A1" s="5" t="s">
        <v>100</v>
      </c>
    </row>
    <row r="3" spans="1:14" ht="12.75">
      <c r="A3" s="5" t="s">
        <v>59</v>
      </c>
      <c r="C3" s="2" t="s">
        <v>27</v>
      </c>
      <c r="D3" s="2" t="s">
        <v>28</v>
      </c>
      <c r="E3" s="2" t="s">
        <v>29</v>
      </c>
      <c r="F3" s="2" t="s">
        <v>30</v>
      </c>
      <c r="G3" s="2" t="s">
        <v>31</v>
      </c>
      <c r="H3" s="2" t="s">
        <v>33</v>
      </c>
      <c r="I3" s="2" t="s">
        <v>32</v>
      </c>
      <c r="J3" s="2" t="s">
        <v>34</v>
      </c>
      <c r="K3" s="2" t="s">
        <v>35</v>
      </c>
      <c r="L3" s="2" t="s">
        <v>36</v>
      </c>
      <c r="M3" s="2" t="s">
        <v>37</v>
      </c>
      <c r="N3" s="2" t="s">
        <v>38</v>
      </c>
    </row>
    <row r="4" spans="1:14" ht="12.75">
      <c r="A4" t="s">
        <v>1</v>
      </c>
      <c r="B4" s="1">
        <f>19270800/3</f>
        <v>6423600</v>
      </c>
      <c r="C4" s="19">
        <v>0</v>
      </c>
      <c r="D4" s="19">
        <f aca="true" t="shared" si="0" ref="D4:D10">+B4/16</f>
        <v>401475</v>
      </c>
      <c r="E4" s="19">
        <f aca="true" t="shared" si="1" ref="E4:E10">+B4/4</f>
        <v>1605900</v>
      </c>
      <c r="F4" s="19">
        <f aca="true" t="shared" si="2" ref="F4:F10">+B4/4</f>
        <v>1605900</v>
      </c>
      <c r="G4" s="19">
        <f aca="true" t="shared" si="3" ref="G4:G10">+B4/4</f>
        <v>1605900</v>
      </c>
      <c r="H4" s="19">
        <f aca="true" t="shared" si="4" ref="H4:H10">+B4/16*3</f>
        <v>1204425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f>SUM(C4:M4)</f>
        <v>6423600</v>
      </c>
    </row>
    <row r="5" spans="1:14" ht="12.75">
      <c r="A5" t="s">
        <v>2</v>
      </c>
      <c r="B5" s="1">
        <f>4547400/3</f>
        <v>1515800</v>
      </c>
      <c r="C5" s="19">
        <v>0</v>
      </c>
      <c r="D5" s="19">
        <f t="shared" si="0"/>
        <v>94737.5</v>
      </c>
      <c r="E5" s="19">
        <f t="shared" si="1"/>
        <v>378950</v>
      </c>
      <c r="F5" s="19">
        <f t="shared" si="2"/>
        <v>378950</v>
      </c>
      <c r="G5" s="19">
        <f t="shared" si="3"/>
        <v>378950</v>
      </c>
      <c r="H5" s="19">
        <f t="shared" si="4"/>
        <v>284212.5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f aca="true" t="shared" si="5" ref="N5:N11">SUM(C5:M5)</f>
        <v>1515800</v>
      </c>
    </row>
    <row r="6" spans="1:14" ht="12.75">
      <c r="A6" t="s">
        <v>3</v>
      </c>
      <c r="B6" s="1">
        <f>15775980/3</f>
        <v>5258660</v>
      </c>
      <c r="C6" s="19">
        <v>0</v>
      </c>
      <c r="D6" s="19">
        <f t="shared" si="0"/>
        <v>328666.25</v>
      </c>
      <c r="E6" s="19">
        <f t="shared" si="1"/>
        <v>1314665</v>
      </c>
      <c r="F6" s="19">
        <f t="shared" si="2"/>
        <v>1314665</v>
      </c>
      <c r="G6" s="19">
        <f t="shared" si="3"/>
        <v>1314665</v>
      </c>
      <c r="H6" s="19">
        <f t="shared" si="4"/>
        <v>985998.75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f t="shared" si="5"/>
        <v>5258660</v>
      </c>
    </row>
    <row r="7" spans="1:14" ht="12.75">
      <c r="A7" t="s">
        <v>4</v>
      </c>
      <c r="B7" s="1">
        <f>11368500/3</f>
        <v>3789500</v>
      </c>
      <c r="C7" s="19">
        <v>0</v>
      </c>
      <c r="D7" s="19">
        <f t="shared" si="0"/>
        <v>236843.75</v>
      </c>
      <c r="E7" s="19">
        <f t="shared" si="1"/>
        <v>947375</v>
      </c>
      <c r="F7" s="19">
        <f t="shared" si="2"/>
        <v>947375</v>
      </c>
      <c r="G7" s="19">
        <f t="shared" si="3"/>
        <v>947375</v>
      </c>
      <c r="H7" s="19">
        <f t="shared" si="4"/>
        <v>710531.25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f t="shared" si="5"/>
        <v>3789500</v>
      </c>
    </row>
    <row r="8" spans="1:14" ht="12.75">
      <c r="A8" t="s">
        <v>5</v>
      </c>
      <c r="B8" s="1">
        <f>419760/3</f>
        <v>139920</v>
      </c>
      <c r="C8" s="19">
        <v>0</v>
      </c>
      <c r="D8" s="19">
        <f t="shared" si="0"/>
        <v>8745</v>
      </c>
      <c r="E8" s="19">
        <f t="shared" si="1"/>
        <v>34980</v>
      </c>
      <c r="F8" s="19">
        <f t="shared" si="2"/>
        <v>34980</v>
      </c>
      <c r="G8" s="19">
        <f t="shared" si="3"/>
        <v>34980</v>
      </c>
      <c r="H8" s="19">
        <f t="shared" si="4"/>
        <v>26235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f t="shared" si="5"/>
        <v>139920</v>
      </c>
    </row>
    <row r="9" spans="1:14" ht="12.75">
      <c r="A9" t="s">
        <v>6</v>
      </c>
      <c r="B9" s="1">
        <f>795000/3</f>
        <v>265000</v>
      </c>
      <c r="C9" s="19">
        <v>0</v>
      </c>
      <c r="D9" s="19">
        <f t="shared" si="0"/>
        <v>16562.5</v>
      </c>
      <c r="E9" s="19">
        <f t="shared" si="1"/>
        <v>66250</v>
      </c>
      <c r="F9" s="19">
        <f t="shared" si="2"/>
        <v>66250</v>
      </c>
      <c r="G9" s="19">
        <f t="shared" si="3"/>
        <v>66250</v>
      </c>
      <c r="H9" s="19">
        <f t="shared" si="4"/>
        <v>49687.5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f t="shared" si="5"/>
        <v>265000</v>
      </c>
    </row>
    <row r="10" spans="1:14" ht="12.75">
      <c r="A10" t="s">
        <v>7</v>
      </c>
      <c r="B10" s="1">
        <f>3180000/3</f>
        <v>1060000</v>
      </c>
      <c r="C10" s="19">
        <v>0</v>
      </c>
      <c r="D10" s="19">
        <f t="shared" si="0"/>
        <v>66250</v>
      </c>
      <c r="E10" s="19">
        <f t="shared" si="1"/>
        <v>265000</v>
      </c>
      <c r="F10" s="19">
        <f t="shared" si="2"/>
        <v>265000</v>
      </c>
      <c r="G10" s="19">
        <f t="shared" si="3"/>
        <v>265000</v>
      </c>
      <c r="H10" s="19">
        <f t="shared" si="4"/>
        <v>198750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f t="shared" si="5"/>
        <v>1060000</v>
      </c>
    </row>
    <row r="11" spans="1:14" ht="12.75">
      <c r="A11" t="s">
        <v>8</v>
      </c>
      <c r="B11" s="1">
        <v>5300000</v>
      </c>
      <c r="C11" s="19">
        <v>0</v>
      </c>
      <c r="D11" s="19">
        <v>5300000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f t="shared" si="5"/>
        <v>5300000</v>
      </c>
    </row>
    <row r="12" spans="2:14" ht="12.75">
      <c r="B12" s="1" t="s">
        <v>24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 t="s">
        <v>24</v>
      </c>
    </row>
    <row r="13" spans="2:14" ht="12.75">
      <c r="B13" s="1" t="s">
        <v>24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5" t="s">
        <v>60</v>
      </c>
      <c r="C14" s="2" t="s">
        <v>27</v>
      </c>
      <c r="D14" s="2" t="s">
        <v>28</v>
      </c>
      <c r="E14" s="2" t="s">
        <v>29</v>
      </c>
      <c r="F14" s="2" t="s">
        <v>30</v>
      </c>
      <c r="G14" s="2" t="s">
        <v>31</v>
      </c>
      <c r="H14" s="2" t="s">
        <v>33</v>
      </c>
      <c r="I14" s="2" t="s">
        <v>32</v>
      </c>
      <c r="J14" s="2" t="s">
        <v>34</v>
      </c>
      <c r="K14" s="2" t="s">
        <v>35</v>
      </c>
      <c r="L14" s="2" t="s">
        <v>36</v>
      </c>
      <c r="M14" s="2" t="s">
        <v>37</v>
      </c>
      <c r="N14" s="2" t="s">
        <v>38</v>
      </c>
    </row>
    <row r="15" spans="1:14" ht="12.75">
      <c r="A15" t="s">
        <v>1</v>
      </c>
      <c r="B15" s="1">
        <f>19270800/3</f>
        <v>6423600</v>
      </c>
      <c r="C15" s="19">
        <v>0</v>
      </c>
      <c r="D15" s="19">
        <v>0</v>
      </c>
      <c r="E15" s="19">
        <f aca="true" t="shared" si="6" ref="E15:E21">+B15/16</f>
        <v>401475</v>
      </c>
      <c r="F15" s="19">
        <f aca="true" t="shared" si="7" ref="F15:F21">+B15/4</f>
        <v>1605900</v>
      </c>
      <c r="G15" s="19">
        <f aca="true" t="shared" si="8" ref="G15:G21">+B15/4</f>
        <v>1605900</v>
      </c>
      <c r="H15" s="19">
        <f aca="true" t="shared" si="9" ref="H15:H21">+B15/4</f>
        <v>1605900</v>
      </c>
      <c r="I15" s="19">
        <f aca="true" t="shared" si="10" ref="I15:I21">+B15/16*3</f>
        <v>1204425</v>
      </c>
      <c r="J15" s="19">
        <v>0</v>
      </c>
      <c r="K15" s="19">
        <v>0</v>
      </c>
      <c r="L15" s="19">
        <v>0</v>
      </c>
      <c r="M15" s="19">
        <v>0</v>
      </c>
      <c r="N15" s="19">
        <f>SUM(C15:M15)</f>
        <v>6423600</v>
      </c>
    </row>
    <row r="16" spans="1:14" ht="12.75">
      <c r="A16" t="s">
        <v>2</v>
      </c>
      <c r="B16" s="1">
        <f>4547400/3</f>
        <v>1515800</v>
      </c>
      <c r="C16" s="19">
        <v>0</v>
      </c>
      <c r="D16" s="19">
        <v>0</v>
      </c>
      <c r="E16" s="19">
        <f t="shared" si="6"/>
        <v>94737.5</v>
      </c>
      <c r="F16" s="19">
        <f t="shared" si="7"/>
        <v>378950</v>
      </c>
      <c r="G16" s="19">
        <f t="shared" si="8"/>
        <v>378950</v>
      </c>
      <c r="H16" s="19">
        <f t="shared" si="9"/>
        <v>378950</v>
      </c>
      <c r="I16" s="19">
        <f t="shared" si="10"/>
        <v>284212.5</v>
      </c>
      <c r="J16" s="19">
        <v>0</v>
      </c>
      <c r="K16" s="19">
        <v>0</v>
      </c>
      <c r="L16" s="19">
        <v>0</v>
      </c>
      <c r="M16" s="19">
        <v>0</v>
      </c>
      <c r="N16" s="19">
        <f aca="true" t="shared" si="11" ref="N16:N22">SUM(C16:M16)</f>
        <v>1515800</v>
      </c>
    </row>
    <row r="17" spans="1:14" ht="12.75">
      <c r="A17" t="s">
        <v>3</v>
      </c>
      <c r="B17" s="1">
        <f>15775980/3</f>
        <v>5258660</v>
      </c>
      <c r="C17" s="19">
        <v>0</v>
      </c>
      <c r="D17" s="19">
        <v>0</v>
      </c>
      <c r="E17" s="19">
        <f t="shared" si="6"/>
        <v>328666.25</v>
      </c>
      <c r="F17" s="19">
        <f t="shared" si="7"/>
        <v>1314665</v>
      </c>
      <c r="G17" s="19">
        <f t="shared" si="8"/>
        <v>1314665</v>
      </c>
      <c r="H17" s="19">
        <f t="shared" si="9"/>
        <v>1314665</v>
      </c>
      <c r="I17" s="19">
        <f t="shared" si="10"/>
        <v>985998.75</v>
      </c>
      <c r="J17" s="19">
        <v>0</v>
      </c>
      <c r="K17" s="19">
        <v>0</v>
      </c>
      <c r="L17" s="19">
        <v>0</v>
      </c>
      <c r="M17" s="19">
        <v>0</v>
      </c>
      <c r="N17" s="19">
        <f t="shared" si="11"/>
        <v>5258660</v>
      </c>
    </row>
    <row r="18" spans="1:14" ht="12.75">
      <c r="A18" t="s">
        <v>4</v>
      </c>
      <c r="B18" s="1">
        <f>11368500/3</f>
        <v>3789500</v>
      </c>
      <c r="C18" s="19">
        <v>0</v>
      </c>
      <c r="D18" s="19">
        <v>0</v>
      </c>
      <c r="E18" s="19">
        <f t="shared" si="6"/>
        <v>236843.75</v>
      </c>
      <c r="F18" s="19">
        <f t="shared" si="7"/>
        <v>947375</v>
      </c>
      <c r="G18" s="19">
        <f t="shared" si="8"/>
        <v>947375</v>
      </c>
      <c r="H18" s="19">
        <f t="shared" si="9"/>
        <v>947375</v>
      </c>
      <c r="I18" s="19">
        <f t="shared" si="10"/>
        <v>710531.25</v>
      </c>
      <c r="J18" s="19">
        <v>0</v>
      </c>
      <c r="K18" s="19">
        <v>0</v>
      </c>
      <c r="L18" s="19">
        <v>0</v>
      </c>
      <c r="M18" s="19">
        <v>0</v>
      </c>
      <c r="N18" s="19">
        <f t="shared" si="11"/>
        <v>3789500</v>
      </c>
    </row>
    <row r="19" spans="1:14" ht="12.75">
      <c r="A19" t="s">
        <v>5</v>
      </c>
      <c r="B19" s="1">
        <f>419760/3</f>
        <v>139920</v>
      </c>
      <c r="C19" s="19">
        <v>0</v>
      </c>
      <c r="D19" s="19">
        <v>0</v>
      </c>
      <c r="E19" s="19">
        <f t="shared" si="6"/>
        <v>8745</v>
      </c>
      <c r="F19" s="19">
        <f t="shared" si="7"/>
        <v>34980</v>
      </c>
      <c r="G19" s="19">
        <f t="shared" si="8"/>
        <v>34980</v>
      </c>
      <c r="H19" s="19">
        <f t="shared" si="9"/>
        <v>34980</v>
      </c>
      <c r="I19" s="19">
        <f t="shared" si="10"/>
        <v>26235</v>
      </c>
      <c r="J19" s="19">
        <v>0</v>
      </c>
      <c r="K19" s="19">
        <v>0</v>
      </c>
      <c r="L19" s="19">
        <v>0</v>
      </c>
      <c r="M19" s="19">
        <v>0</v>
      </c>
      <c r="N19" s="19">
        <f t="shared" si="11"/>
        <v>139920</v>
      </c>
    </row>
    <row r="20" spans="1:14" ht="12.75">
      <c r="A20" t="s">
        <v>6</v>
      </c>
      <c r="B20" s="1">
        <f>795000/3</f>
        <v>265000</v>
      </c>
      <c r="C20" s="19">
        <v>0</v>
      </c>
      <c r="D20" s="19">
        <v>0</v>
      </c>
      <c r="E20" s="19">
        <f t="shared" si="6"/>
        <v>16562.5</v>
      </c>
      <c r="F20" s="19">
        <f t="shared" si="7"/>
        <v>66250</v>
      </c>
      <c r="G20" s="19">
        <f t="shared" si="8"/>
        <v>66250</v>
      </c>
      <c r="H20" s="19">
        <f t="shared" si="9"/>
        <v>66250</v>
      </c>
      <c r="I20" s="19">
        <f t="shared" si="10"/>
        <v>49687.5</v>
      </c>
      <c r="J20" s="19">
        <v>0</v>
      </c>
      <c r="K20" s="19">
        <v>0</v>
      </c>
      <c r="L20" s="19">
        <v>0</v>
      </c>
      <c r="M20" s="19">
        <v>0</v>
      </c>
      <c r="N20" s="19">
        <f t="shared" si="11"/>
        <v>265000</v>
      </c>
    </row>
    <row r="21" spans="1:14" ht="12.75">
      <c r="A21" t="s">
        <v>7</v>
      </c>
      <c r="B21" s="1">
        <f>3180000/3</f>
        <v>1060000</v>
      </c>
      <c r="C21" s="19">
        <v>0</v>
      </c>
      <c r="D21" s="19">
        <v>0</v>
      </c>
      <c r="E21" s="19">
        <f t="shared" si="6"/>
        <v>66250</v>
      </c>
      <c r="F21" s="19">
        <f t="shared" si="7"/>
        <v>265000</v>
      </c>
      <c r="G21" s="19">
        <f t="shared" si="8"/>
        <v>265000</v>
      </c>
      <c r="H21" s="19">
        <f t="shared" si="9"/>
        <v>265000</v>
      </c>
      <c r="I21" s="19">
        <f t="shared" si="10"/>
        <v>198750</v>
      </c>
      <c r="J21" s="19">
        <v>0</v>
      </c>
      <c r="K21" s="19">
        <v>0</v>
      </c>
      <c r="L21" s="19">
        <v>0</v>
      </c>
      <c r="M21" s="19">
        <v>0</v>
      </c>
      <c r="N21" s="19">
        <f t="shared" si="11"/>
        <v>1060000</v>
      </c>
    </row>
    <row r="22" spans="1:14" ht="12.75">
      <c r="A22" t="s">
        <v>8</v>
      </c>
      <c r="B22" s="1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f t="shared" si="11"/>
        <v>0</v>
      </c>
    </row>
    <row r="23" spans="3:14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ht="12.75">
      <c r="B24" s="1" t="s">
        <v>24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 t="s">
        <v>24</v>
      </c>
    </row>
    <row r="25" spans="3:14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5" t="s">
        <v>61</v>
      </c>
      <c r="C26" s="2" t="s">
        <v>27</v>
      </c>
      <c r="D26" s="2" t="s">
        <v>28</v>
      </c>
      <c r="E26" s="2" t="s">
        <v>29</v>
      </c>
      <c r="F26" s="2" t="s">
        <v>30</v>
      </c>
      <c r="G26" s="2" t="s">
        <v>31</v>
      </c>
      <c r="H26" s="2" t="s">
        <v>33</v>
      </c>
      <c r="I26" s="2" t="s">
        <v>32</v>
      </c>
      <c r="J26" s="2" t="s">
        <v>34</v>
      </c>
      <c r="K26" s="2" t="s">
        <v>35</v>
      </c>
      <c r="L26" s="2" t="s">
        <v>36</v>
      </c>
      <c r="M26" s="2" t="s">
        <v>37</v>
      </c>
      <c r="N26" s="2" t="s">
        <v>38</v>
      </c>
    </row>
    <row r="27" spans="1:14" ht="12.75">
      <c r="A27" t="s">
        <v>1</v>
      </c>
      <c r="B27" s="1">
        <f>19270800/3</f>
        <v>6423600</v>
      </c>
      <c r="C27" s="19">
        <v>0</v>
      </c>
      <c r="D27" s="19">
        <v>0</v>
      </c>
      <c r="E27" s="19">
        <v>0</v>
      </c>
      <c r="F27" s="19">
        <f aca="true" t="shared" si="12" ref="F27:F33">+B27/16</f>
        <v>401475</v>
      </c>
      <c r="G27" s="19">
        <f aca="true" t="shared" si="13" ref="G27:G33">+B27/4</f>
        <v>1605900</v>
      </c>
      <c r="H27" s="19">
        <f aca="true" t="shared" si="14" ref="H27:H33">+B27/4</f>
        <v>1605900</v>
      </c>
      <c r="I27" s="19">
        <f aca="true" t="shared" si="15" ref="I27:I33">+B27/4</f>
        <v>1605900</v>
      </c>
      <c r="J27" s="19">
        <f aca="true" t="shared" si="16" ref="J27:J33">+B27/16*3</f>
        <v>1204425</v>
      </c>
      <c r="K27" s="19">
        <v>0</v>
      </c>
      <c r="L27" s="19">
        <v>0</v>
      </c>
      <c r="M27" s="19">
        <v>0</v>
      </c>
      <c r="N27" s="19">
        <f>SUM(C27:M27)</f>
        <v>6423600</v>
      </c>
    </row>
    <row r="28" spans="1:14" ht="12.75">
      <c r="A28" t="s">
        <v>2</v>
      </c>
      <c r="B28" s="1">
        <f>4547400/3</f>
        <v>1515800</v>
      </c>
      <c r="C28" s="19">
        <v>0</v>
      </c>
      <c r="D28" s="19">
        <v>0</v>
      </c>
      <c r="E28" s="19">
        <v>0</v>
      </c>
      <c r="F28" s="19">
        <f t="shared" si="12"/>
        <v>94737.5</v>
      </c>
      <c r="G28" s="19">
        <f t="shared" si="13"/>
        <v>378950</v>
      </c>
      <c r="H28" s="19">
        <f t="shared" si="14"/>
        <v>378950</v>
      </c>
      <c r="I28" s="19">
        <f t="shared" si="15"/>
        <v>378950</v>
      </c>
      <c r="J28" s="19">
        <f t="shared" si="16"/>
        <v>284212.5</v>
      </c>
      <c r="K28" s="19">
        <v>0</v>
      </c>
      <c r="L28" s="19">
        <v>0</v>
      </c>
      <c r="M28" s="19">
        <v>0</v>
      </c>
      <c r="N28" s="19">
        <f aca="true" t="shared" si="17" ref="N28:N34">SUM(C28:M28)</f>
        <v>1515800</v>
      </c>
    </row>
    <row r="29" spans="1:14" ht="12.75">
      <c r="A29" t="s">
        <v>3</v>
      </c>
      <c r="B29" s="1">
        <f>15775980/3</f>
        <v>5258660</v>
      </c>
      <c r="C29" s="19">
        <v>0</v>
      </c>
      <c r="D29" s="19">
        <v>0</v>
      </c>
      <c r="E29" s="19">
        <v>0</v>
      </c>
      <c r="F29" s="19">
        <f t="shared" si="12"/>
        <v>328666.25</v>
      </c>
      <c r="G29" s="19">
        <f t="shared" si="13"/>
        <v>1314665</v>
      </c>
      <c r="H29" s="19">
        <f t="shared" si="14"/>
        <v>1314665</v>
      </c>
      <c r="I29" s="19">
        <f t="shared" si="15"/>
        <v>1314665</v>
      </c>
      <c r="J29" s="19">
        <f t="shared" si="16"/>
        <v>985998.75</v>
      </c>
      <c r="K29" s="19">
        <v>0</v>
      </c>
      <c r="L29" s="19">
        <v>0</v>
      </c>
      <c r="M29" s="19">
        <v>0</v>
      </c>
      <c r="N29" s="19">
        <f t="shared" si="17"/>
        <v>5258660</v>
      </c>
    </row>
    <row r="30" spans="1:14" ht="12.75">
      <c r="A30" t="s">
        <v>4</v>
      </c>
      <c r="B30" s="1">
        <f>11368500/3</f>
        <v>3789500</v>
      </c>
      <c r="C30" s="19">
        <v>0</v>
      </c>
      <c r="D30" s="19">
        <v>0</v>
      </c>
      <c r="E30" s="19">
        <v>0</v>
      </c>
      <c r="F30" s="19">
        <f t="shared" si="12"/>
        <v>236843.75</v>
      </c>
      <c r="G30" s="19">
        <f t="shared" si="13"/>
        <v>947375</v>
      </c>
      <c r="H30" s="19">
        <f t="shared" si="14"/>
        <v>947375</v>
      </c>
      <c r="I30" s="19">
        <f t="shared" si="15"/>
        <v>947375</v>
      </c>
      <c r="J30" s="19">
        <f t="shared" si="16"/>
        <v>710531.25</v>
      </c>
      <c r="K30" s="19">
        <v>0</v>
      </c>
      <c r="L30" s="19">
        <v>0</v>
      </c>
      <c r="M30" s="19">
        <v>0</v>
      </c>
      <c r="N30" s="19">
        <f t="shared" si="17"/>
        <v>3789500</v>
      </c>
    </row>
    <row r="31" spans="1:14" ht="12.75">
      <c r="A31" t="s">
        <v>5</v>
      </c>
      <c r="B31" s="1">
        <f>419760/3</f>
        <v>139920</v>
      </c>
      <c r="C31" s="19">
        <v>0</v>
      </c>
      <c r="D31" s="19">
        <v>0</v>
      </c>
      <c r="E31" s="19">
        <v>0</v>
      </c>
      <c r="F31" s="19">
        <f t="shared" si="12"/>
        <v>8745</v>
      </c>
      <c r="G31" s="19">
        <f t="shared" si="13"/>
        <v>34980</v>
      </c>
      <c r="H31" s="19">
        <f t="shared" si="14"/>
        <v>34980</v>
      </c>
      <c r="I31" s="19">
        <f t="shared" si="15"/>
        <v>34980</v>
      </c>
      <c r="J31" s="19">
        <f t="shared" si="16"/>
        <v>26235</v>
      </c>
      <c r="K31" s="19">
        <v>0</v>
      </c>
      <c r="L31" s="19">
        <v>0</v>
      </c>
      <c r="M31" s="19">
        <v>0</v>
      </c>
      <c r="N31" s="19">
        <f t="shared" si="17"/>
        <v>139920</v>
      </c>
    </row>
    <row r="32" spans="1:14" ht="12.75">
      <c r="A32" t="s">
        <v>6</v>
      </c>
      <c r="B32" s="1">
        <f>795000/3</f>
        <v>265000</v>
      </c>
      <c r="C32" s="19">
        <v>0</v>
      </c>
      <c r="D32" s="19">
        <v>0</v>
      </c>
      <c r="E32" s="19">
        <v>0</v>
      </c>
      <c r="F32" s="19">
        <f t="shared" si="12"/>
        <v>16562.5</v>
      </c>
      <c r="G32" s="19">
        <f t="shared" si="13"/>
        <v>66250</v>
      </c>
      <c r="H32" s="19">
        <f t="shared" si="14"/>
        <v>66250</v>
      </c>
      <c r="I32" s="19">
        <f t="shared" si="15"/>
        <v>66250</v>
      </c>
      <c r="J32" s="19">
        <f t="shared" si="16"/>
        <v>49687.5</v>
      </c>
      <c r="K32" s="19">
        <v>0</v>
      </c>
      <c r="L32" s="19">
        <v>0</v>
      </c>
      <c r="M32" s="19">
        <v>0</v>
      </c>
      <c r="N32" s="19">
        <f t="shared" si="17"/>
        <v>265000</v>
      </c>
    </row>
    <row r="33" spans="1:14" ht="12.75">
      <c r="A33" t="s">
        <v>7</v>
      </c>
      <c r="B33" s="1">
        <f>3180000/3</f>
        <v>1060000</v>
      </c>
      <c r="C33" s="19">
        <v>0</v>
      </c>
      <c r="D33" s="19">
        <v>0</v>
      </c>
      <c r="E33" s="19">
        <v>0</v>
      </c>
      <c r="F33" s="19">
        <f t="shared" si="12"/>
        <v>66250</v>
      </c>
      <c r="G33" s="19">
        <f t="shared" si="13"/>
        <v>265000</v>
      </c>
      <c r="H33" s="19">
        <f t="shared" si="14"/>
        <v>265000</v>
      </c>
      <c r="I33" s="19">
        <f t="shared" si="15"/>
        <v>265000</v>
      </c>
      <c r="J33" s="19">
        <f t="shared" si="16"/>
        <v>198750</v>
      </c>
      <c r="K33" s="19">
        <v>0</v>
      </c>
      <c r="L33" s="19">
        <v>0</v>
      </c>
      <c r="M33" s="19">
        <v>0</v>
      </c>
      <c r="N33" s="19">
        <f t="shared" si="17"/>
        <v>1060000</v>
      </c>
    </row>
    <row r="34" spans="1:14" ht="12.75">
      <c r="A34" t="s">
        <v>8</v>
      </c>
      <c r="B34" s="1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f t="shared" si="17"/>
        <v>0</v>
      </c>
    </row>
    <row r="35" spans="3:14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ht="12.75">
      <c r="B36" s="1" t="s">
        <v>24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 t="s">
        <v>24</v>
      </c>
    </row>
    <row r="37" spans="1:14" ht="12.75">
      <c r="A37" s="5" t="s">
        <v>62</v>
      </c>
      <c r="C37" s="2" t="s">
        <v>27</v>
      </c>
      <c r="D37" s="2" t="s">
        <v>28</v>
      </c>
      <c r="E37" s="2" t="s">
        <v>29</v>
      </c>
      <c r="F37" s="2" t="s">
        <v>30</v>
      </c>
      <c r="G37" s="2" t="s">
        <v>31</v>
      </c>
      <c r="H37" s="2" t="s">
        <v>33</v>
      </c>
      <c r="I37" s="2" t="s">
        <v>32</v>
      </c>
      <c r="J37" s="2" t="s">
        <v>34</v>
      </c>
      <c r="K37" s="2" t="s">
        <v>35</v>
      </c>
      <c r="L37" s="2" t="s">
        <v>36</v>
      </c>
      <c r="M37" s="2" t="s">
        <v>37</v>
      </c>
      <c r="N37" s="2" t="s">
        <v>38</v>
      </c>
    </row>
    <row r="38" spans="1:14" ht="12.75">
      <c r="A38" t="s">
        <v>1</v>
      </c>
      <c r="B38" s="1">
        <f>+B27+B15+B4</f>
        <v>19270800</v>
      </c>
      <c r="C38" s="19">
        <f>+C27+C15+C4</f>
        <v>0</v>
      </c>
      <c r="D38" s="19">
        <f aca="true" t="shared" si="18" ref="D38:M38">+D27+D15+D4</f>
        <v>401475</v>
      </c>
      <c r="E38" s="19">
        <f t="shared" si="18"/>
        <v>2007375</v>
      </c>
      <c r="F38" s="19">
        <f t="shared" si="18"/>
        <v>3613275</v>
      </c>
      <c r="G38" s="19">
        <f t="shared" si="18"/>
        <v>4817700</v>
      </c>
      <c r="H38" s="19">
        <f t="shared" si="18"/>
        <v>4416225</v>
      </c>
      <c r="I38" s="19">
        <f t="shared" si="18"/>
        <v>2810325</v>
      </c>
      <c r="J38" s="19">
        <f t="shared" si="18"/>
        <v>1204425</v>
      </c>
      <c r="K38" s="19">
        <f t="shared" si="18"/>
        <v>0</v>
      </c>
      <c r="L38" s="19">
        <f t="shared" si="18"/>
        <v>0</v>
      </c>
      <c r="M38" s="19">
        <f t="shared" si="18"/>
        <v>0</v>
      </c>
      <c r="N38" s="19">
        <f>SUM(C38:M38)</f>
        <v>19270800</v>
      </c>
    </row>
    <row r="39" spans="1:14" ht="12.75">
      <c r="A39" t="s">
        <v>2</v>
      </c>
      <c r="B39" s="1">
        <f aca="true" t="shared" si="19" ref="B39:B45">+B28+B16+B5</f>
        <v>4547400</v>
      </c>
      <c r="C39" s="19">
        <f aca="true" t="shared" si="20" ref="C39:M44">+C28+C16+C5</f>
        <v>0</v>
      </c>
      <c r="D39" s="19">
        <f t="shared" si="20"/>
        <v>94737.5</v>
      </c>
      <c r="E39" s="19">
        <f t="shared" si="20"/>
        <v>473687.5</v>
      </c>
      <c r="F39" s="19">
        <f t="shared" si="20"/>
        <v>852637.5</v>
      </c>
      <c r="G39" s="19">
        <f t="shared" si="20"/>
        <v>1136850</v>
      </c>
      <c r="H39" s="19">
        <f t="shared" si="20"/>
        <v>1042112.5</v>
      </c>
      <c r="I39" s="19">
        <f t="shared" si="20"/>
        <v>663162.5</v>
      </c>
      <c r="J39" s="19">
        <f t="shared" si="20"/>
        <v>284212.5</v>
      </c>
      <c r="K39" s="19">
        <f t="shared" si="20"/>
        <v>0</v>
      </c>
      <c r="L39" s="19">
        <f t="shared" si="20"/>
        <v>0</v>
      </c>
      <c r="M39" s="19">
        <f t="shared" si="20"/>
        <v>0</v>
      </c>
      <c r="N39" s="19">
        <f aca="true" t="shared" si="21" ref="N39:N45">SUM(C39:M39)</f>
        <v>4547400</v>
      </c>
    </row>
    <row r="40" spans="1:14" ht="12.75">
      <c r="A40" t="s">
        <v>3</v>
      </c>
      <c r="B40" s="1">
        <f t="shared" si="19"/>
        <v>15775980</v>
      </c>
      <c r="C40" s="19">
        <f t="shared" si="20"/>
        <v>0</v>
      </c>
      <c r="D40" s="19">
        <f t="shared" si="20"/>
        <v>328666.25</v>
      </c>
      <c r="E40" s="19">
        <f t="shared" si="20"/>
        <v>1643331.25</v>
      </c>
      <c r="F40" s="19">
        <f t="shared" si="20"/>
        <v>2957996.25</v>
      </c>
      <c r="G40" s="19">
        <f t="shared" si="20"/>
        <v>3943995</v>
      </c>
      <c r="H40" s="19">
        <f t="shared" si="20"/>
        <v>3615328.75</v>
      </c>
      <c r="I40" s="19">
        <f t="shared" si="20"/>
        <v>2300663.75</v>
      </c>
      <c r="J40" s="19">
        <f t="shared" si="20"/>
        <v>985998.75</v>
      </c>
      <c r="K40" s="19">
        <f t="shared" si="20"/>
        <v>0</v>
      </c>
      <c r="L40" s="19">
        <f t="shared" si="20"/>
        <v>0</v>
      </c>
      <c r="M40" s="19">
        <f t="shared" si="20"/>
        <v>0</v>
      </c>
      <c r="N40" s="19">
        <f t="shared" si="21"/>
        <v>15775980</v>
      </c>
    </row>
    <row r="41" spans="1:14" ht="12.75">
      <c r="A41" t="s">
        <v>4</v>
      </c>
      <c r="B41" s="1">
        <f t="shared" si="19"/>
        <v>11368500</v>
      </c>
      <c r="C41" s="19">
        <f t="shared" si="20"/>
        <v>0</v>
      </c>
      <c r="D41" s="19">
        <f t="shared" si="20"/>
        <v>236843.75</v>
      </c>
      <c r="E41" s="19">
        <f t="shared" si="20"/>
        <v>1184218.75</v>
      </c>
      <c r="F41" s="19">
        <f t="shared" si="20"/>
        <v>2131593.75</v>
      </c>
      <c r="G41" s="19">
        <f t="shared" si="20"/>
        <v>2842125</v>
      </c>
      <c r="H41" s="19">
        <f t="shared" si="20"/>
        <v>2605281.25</v>
      </c>
      <c r="I41" s="19">
        <f t="shared" si="20"/>
        <v>1657906.25</v>
      </c>
      <c r="J41" s="19">
        <f t="shared" si="20"/>
        <v>710531.25</v>
      </c>
      <c r="K41" s="19">
        <f t="shared" si="20"/>
        <v>0</v>
      </c>
      <c r="L41" s="19">
        <f t="shared" si="20"/>
        <v>0</v>
      </c>
      <c r="M41" s="19">
        <f t="shared" si="20"/>
        <v>0</v>
      </c>
      <c r="N41" s="19">
        <f t="shared" si="21"/>
        <v>11368500</v>
      </c>
    </row>
    <row r="42" spans="1:14" ht="12.75">
      <c r="A42" t="s">
        <v>5</v>
      </c>
      <c r="B42" s="1">
        <f t="shared" si="19"/>
        <v>419760</v>
      </c>
      <c r="C42" s="19">
        <f t="shared" si="20"/>
        <v>0</v>
      </c>
      <c r="D42" s="19">
        <f t="shared" si="20"/>
        <v>8745</v>
      </c>
      <c r="E42" s="19">
        <f t="shared" si="20"/>
        <v>43725</v>
      </c>
      <c r="F42" s="19">
        <f t="shared" si="20"/>
        <v>78705</v>
      </c>
      <c r="G42" s="19">
        <f t="shared" si="20"/>
        <v>104940</v>
      </c>
      <c r="H42" s="19">
        <f t="shared" si="20"/>
        <v>96195</v>
      </c>
      <c r="I42" s="19">
        <f t="shared" si="20"/>
        <v>61215</v>
      </c>
      <c r="J42" s="19">
        <f t="shared" si="20"/>
        <v>26235</v>
      </c>
      <c r="K42" s="19">
        <f t="shared" si="20"/>
        <v>0</v>
      </c>
      <c r="L42" s="19">
        <f t="shared" si="20"/>
        <v>0</v>
      </c>
      <c r="M42" s="19">
        <f t="shared" si="20"/>
        <v>0</v>
      </c>
      <c r="N42" s="19">
        <f t="shared" si="21"/>
        <v>419760</v>
      </c>
    </row>
    <row r="43" spans="1:14" ht="12.75">
      <c r="A43" t="s">
        <v>6</v>
      </c>
      <c r="B43" s="1">
        <f t="shared" si="19"/>
        <v>795000</v>
      </c>
      <c r="C43" s="19">
        <f t="shared" si="20"/>
        <v>0</v>
      </c>
      <c r="D43" s="19">
        <f t="shared" si="20"/>
        <v>16562.5</v>
      </c>
      <c r="E43" s="19">
        <f t="shared" si="20"/>
        <v>82812.5</v>
      </c>
      <c r="F43" s="19">
        <f t="shared" si="20"/>
        <v>149062.5</v>
      </c>
      <c r="G43" s="19">
        <f t="shared" si="20"/>
        <v>198750</v>
      </c>
      <c r="H43" s="19">
        <f t="shared" si="20"/>
        <v>182187.5</v>
      </c>
      <c r="I43" s="19">
        <f t="shared" si="20"/>
        <v>115937.5</v>
      </c>
      <c r="J43" s="19">
        <f t="shared" si="20"/>
        <v>49687.5</v>
      </c>
      <c r="K43" s="19">
        <f t="shared" si="20"/>
        <v>0</v>
      </c>
      <c r="L43" s="19">
        <f t="shared" si="20"/>
        <v>0</v>
      </c>
      <c r="M43" s="19">
        <f t="shared" si="20"/>
        <v>0</v>
      </c>
      <c r="N43" s="19">
        <f t="shared" si="21"/>
        <v>795000</v>
      </c>
    </row>
    <row r="44" spans="1:14" ht="12.75">
      <c r="A44" t="s">
        <v>7</v>
      </c>
      <c r="B44" s="1">
        <f t="shared" si="19"/>
        <v>3180000</v>
      </c>
      <c r="C44" s="19">
        <f t="shared" si="20"/>
        <v>0</v>
      </c>
      <c r="D44" s="19">
        <f t="shared" si="20"/>
        <v>66250</v>
      </c>
      <c r="E44" s="19">
        <f t="shared" si="20"/>
        <v>331250</v>
      </c>
      <c r="F44" s="19">
        <f t="shared" si="20"/>
        <v>596250</v>
      </c>
      <c r="G44" s="19">
        <f t="shared" si="20"/>
        <v>795000</v>
      </c>
      <c r="H44" s="19">
        <f t="shared" si="20"/>
        <v>728750</v>
      </c>
      <c r="I44" s="19">
        <f t="shared" si="20"/>
        <v>463750</v>
      </c>
      <c r="J44" s="19">
        <f t="shared" si="20"/>
        <v>198750</v>
      </c>
      <c r="K44" s="19">
        <f t="shared" si="20"/>
        <v>0</v>
      </c>
      <c r="L44" s="19">
        <f t="shared" si="20"/>
        <v>0</v>
      </c>
      <c r="M44" s="19">
        <f t="shared" si="20"/>
        <v>0</v>
      </c>
      <c r="N44" s="19">
        <f t="shared" si="21"/>
        <v>3180000</v>
      </c>
    </row>
    <row r="45" spans="1:14" ht="12.75">
      <c r="A45" t="s">
        <v>8</v>
      </c>
      <c r="B45" s="1">
        <f t="shared" si="19"/>
        <v>5300000</v>
      </c>
      <c r="C45" s="19">
        <f>+C34+C22+C11</f>
        <v>0</v>
      </c>
      <c r="D45" s="19">
        <f aca="true" t="shared" si="22" ref="D45:M45">+D34+D22+D11</f>
        <v>5300000</v>
      </c>
      <c r="E45" s="19">
        <f t="shared" si="22"/>
        <v>0</v>
      </c>
      <c r="F45" s="19">
        <f t="shared" si="22"/>
        <v>0</v>
      </c>
      <c r="G45" s="19">
        <f t="shared" si="22"/>
        <v>0</v>
      </c>
      <c r="H45" s="19">
        <f t="shared" si="22"/>
        <v>0</v>
      </c>
      <c r="I45" s="19">
        <f t="shared" si="22"/>
        <v>0</v>
      </c>
      <c r="J45" s="19">
        <f t="shared" si="22"/>
        <v>0</v>
      </c>
      <c r="K45" s="19">
        <f t="shared" si="22"/>
        <v>0</v>
      </c>
      <c r="L45" s="19">
        <f t="shared" si="22"/>
        <v>0</v>
      </c>
      <c r="M45" s="19">
        <f t="shared" si="22"/>
        <v>0</v>
      </c>
      <c r="N45" s="19">
        <f t="shared" si="21"/>
        <v>5300000</v>
      </c>
    </row>
    <row r="46" spans="1:14" ht="12.75">
      <c r="A46" s="5" t="s">
        <v>38</v>
      </c>
      <c r="B46" s="20">
        <f>SUM(B38:B45)</f>
        <v>60657440</v>
      </c>
      <c r="C46" s="21">
        <f>SUM(C38:C45)</f>
        <v>0</v>
      </c>
      <c r="D46" s="21">
        <f aca="true" t="shared" si="23" ref="D46:K46">SUM(D38:D45)</f>
        <v>6453280</v>
      </c>
      <c r="E46" s="21">
        <f t="shared" si="23"/>
        <v>5766400</v>
      </c>
      <c r="F46" s="21">
        <f t="shared" si="23"/>
        <v>10379520</v>
      </c>
      <c r="G46" s="21">
        <f t="shared" si="23"/>
        <v>13839360</v>
      </c>
      <c r="H46" s="21">
        <f t="shared" si="23"/>
        <v>12686080</v>
      </c>
      <c r="I46" s="21">
        <f t="shared" si="23"/>
        <v>8072960</v>
      </c>
      <c r="J46" s="21">
        <f t="shared" si="23"/>
        <v>3459840</v>
      </c>
      <c r="K46" s="21">
        <f t="shared" si="23"/>
        <v>0</v>
      </c>
      <c r="L46" s="21">
        <f>SUM(L38:L45)</f>
        <v>0</v>
      </c>
      <c r="M46" s="21">
        <f>SUM(M38:M45)</f>
        <v>0</v>
      </c>
      <c r="N46" s="21">
        <f>SUM(N38:N45)</f>
        <v>60657440</v>
      </c>
    </row>
    <row r="48" spans="1:14" ht="12.75">
      <c r="A48" s="5" t="s">
        <v>63</v>
      </c>
      <c r="B48" s="5"/>
      <c r="C48" s="5"/>
      <c r="D48" s="20">
        <f>+D46*0.3</f>
        <v>1935984</v>
      </c>
      <c r="E48" s="20">
        <f aca="true" t="shared" si="24" ref="E48:M48">+E46*0.3</f>
        <v>1729920</v>
      </c>
      <c r="F48" s="20">
        <f t="shared" si="24"/>
        <v>3113856</v>
      </c>
      <c r="G48" s="20">
        <f t="shared" si="24"/>
        <v>4151808</v>
      </c>
      <c r="H48" s="20">
        <f t="shared" si="24"/>
        <v>3805824</v>
      </c>
      <c r="I48" s="20">
        <f t="shared" si="24"/>
        <v>2421888</v>
      </c>
      <c r="J48" s="20">
        <f t="shared" si="24"/>
        <v>1037952</v>
      </c>
      <c r="K48" s="20">
        <f t="shared" si="24"/>
        <v>0</v>
      </c>
      <c r="L48" s="20">
        <f t="shared" si="24"/>
        <v>0</v>
      </c>
      <c r="M48" s="20">
        <f t="shared" si="24"/>
        <v>0</v>
      </c>
      <c r="N48" s="20">
        <f>SUM(D48:M48)</f>
        <v>18197232</v>
      </c>
    </row>
    <row r="49" spans="1:14" ht="13.5" thickBot="1">
      <c r="A49" s="5"/>
      <c r="B49" s="5"/>
      <c r="C49" s="5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 t="s">
        <v>24</v>
      </c>
    </row>
    <row r="50" spans="1:14" ht="13.5" thickBot="1">
      <c r="A50" s="5" t="s">
        <v>64</v>
      </c>
      <c r="B50" s="5"/>
      <c r="C50" s="5"/>
      <c r="D50" s="20">
        <f>+D48+D46</f>
        <v>8389264</v>
      </c>
      <c r="E50" s="20">
        <f aca="true" t="shared" si="25" ref="E50:M50">+E48+E46</f>
        <v>7496320</v>
      </c>
      <c r="F50" s="20">
        <f t="shared" si="25"/>
        <v>13493376</v>
      </c>
      <c r="G50" s="20">
        <f t="shared" si="25"/>
        <v>17991168</v>
      </c>
      <c r="H50" s="20">
        <f t="shared" si="25"/>
        <v>16491904</v>
      </c>
      <c r="I50" s="20">
        <f t="shared" si="25"/>
        <v>10494848</v>
      </c>
      <c r="J50" s="20">
        <f t="shared" si="25"/>
        <v>4497792</v>
      </c>
      <c r="K50" s="20">
        <f t="shared" si="25"/>
        <v>0</v>
      </c>
      <c r="L50" s="20">
        <f t="shared" si="25"/>
        <v>0</v>
      </c>
      <c r="M50" s="20">
        <f t="shared" si="25"/>
        <v>0</v>
      </c>
      <c r="N50" s="22">
        <f>SUM(D50:M50)</f>
        <v>78854672</v>
      </c>
    </row>
  </sheetData>
  <printOptions/>
  <pageMargins left="0" right="0" top="0.25" bottom="0.25" header="0.5" footer="0.5"/>
  <pageSetup horizontalDpi="1200" verticalDpi="12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D24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2" max="2" width="12.8515625" style="0" bestFit="1" customWidth="1"/>
    <col min="3" max="30" width="5.28125" style="0" customWidth="1"/>
  </cols>
  <sheetData>
    <row r="2" ht="12.75">
      <c r="B2" s="5" t="s">
        <v>102</v>
      </c>
    </row>
    <row r="4" spans="3:30" ht="12.75">
      <c r="C4" s="39" t="s">
        <v>30</v>
      </c>
      <c r="D4" s="39"/>
      <c r="E4" s="39"/>
      <c r="F4" s="39"/>
      <c r="G4" s="39" t="s">
        <v>31</v>
      </c>
      <c r="H4" s="39"/>
      <c r="I4" s="39"/>
      <c r="J4" s="39"/>
      <c r="K4" s="39" t="s">
        <v>33</v>
      </c>
      <c r="L4" s="39"/>
      <c r="M4" s="39"/>
      <c r="N4" s="39"/>
      <c r="O4" s="39" t="s">
        <v>32</v>
      </c>
      <c r="P4" s="39"/>
      <c r="Q4" s="39"/>
      <c r="R4" s="39"/>
      <c r="S4" s="39" t="s">
        <v>34</v>
      </c>
      <c r="T4" s="39"/>
      <c r="U4" s="39"/>
      <c r="V4" s="39"/>
      <c r="W4" s="39" t="s">
        <v>35</v>
      </c>
      <c r="X4" s="39"/>
      <c r="Y4" s="39"/>
      <c r="Z4" s="39"/>
      <c r="AA4" s="39" t="s">
        <v>36</v>
      </c>
      <c r="AB4" s="39"/>
      <c r="AC4" s="39"/>
      <c r="AD4" s="39"/>
    </row>
    <row r="5" spans="3:30" ht="12.75">
      <c r="C5" s="23">
        <v>1</v>
      </c>
      <c r="D5" s="23">
        <v>2</v>
      </c>
      <c r="E5" s="23">
        <v>3</v>
      </c>
      <c r="F5" s="23">
        <v>4</v>
      </c>
      <c r="G5" s="23">
        <v>1</v>
      </c>
      <c r="H5" s="23">
        <v>2</v>
      </c>
      <c r="I5" s="23">
        <v>3</v>
      </c>
      <c r="J5" s="23">
        <v>4</v>
      </c>
      <c r="K5" s="23">
        <v>1</v>
      </c>
      <c r="L5" s="23">
        <v>2</v>
      </c>
      <c r="M5" s="23">
        <v>3</v>
      </c>
      <c r="N5" s="23">
        <v>4</v>
      </c>
      <c r="O5" s="23">
        <v>1</v>
      </c>
      <c r="P5" s="23">
        <v>2</v>
      </c>
      <c r="Q5" s="23">
        <v>3</v>
      </c>
      <c r="R5" s="23">
        <v>4</v>
      </c>
      <c r="S5" s="23">
        <v>1</v>
      </c>
      <c r="T5" s="23">
        <v>2</v>
      </c>
      <c r="U5" s="23">
        <v>3</v>
      </c>
      <c r="V5" s="23">
        <v>4</v>
      </c>
      <c r="W5" s="23">
        <v>1</v>
      </c>
      <c r="X5" s="23">
        <v>2</v>
      </c>
      <c r="Y5" s="23">
        <v>3</v>
      </c>
      <c r="Z5" s="23">
        <v>4</v>
      </c>
      <c r="AA5" s="23">
        <v>1</v>
      </c>
      <c r="AB5" s="23">
        <v>2</v>
      </c>
      <c r="AC5" s="23">
        <v>3</v>
      </c>
      <c r="AD5" s="23">
        <v>4</v>
      </c>
    </row>
    <row r="6" spans="2:30" ht="12.75">
      <c r="B6" s="5" t="s">
        <v>94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2:23" ht="12.75">
      <c r="B7" t="s">
        <v>91</v>
      </c>
      <c r="C7" s="31"/>
      <c r="D7" s="31"/>
      <c r="E7" s="31"/>
      <c r="F7" s="31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2:23" ht="12.75">
      <c r="B8" t="s">
        <v>95</v>
      </c>
      <c r="C8" s="8"/>
      <c r="G8" s="40">
        <v>10000</v>
      </c>
      <c r="H8" s="40"/>
      <c r="I8" s="40"/>
      <c r="J8" s="40"/>
      <c r="K8" s="40">
        <v>20000</v>
      </c>
      <c r="L8" s="40"/>
      <c r="M8" s="40"/>
      <c r="N8" s="40"/>
      <c r="O8" s="40">
        <v>20000</v>
      </c>
      <c r="P8" s="40"/>
      <c r="Q8" s="40"/>
      <c r="R8" s="40"/>
      <c r="S8" s="40">
        <v>20000</v>
      </c>
      <c r="T8" s="40"/>
      <c r="U8" s="40"/>
      <c r="V8" s="40"/>
      <c r="W8" s="8">
        <v>5000</v>
      </c>
    </row>
    <row r="11" spans="2:23" ht="12.75">
      <c r="B11" t="s">
        <v>92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</row>
    <row r="12" spans="2:23" ht="12.75">
      <c r="B12" t="s">
        <v>95</v>
      </c>
      <c r="G12" s="40">
        <v>10000</v>
      </c>
      <c r="H12" s="40"/>
      <c r="I12" s="40"/>
      <c r="J12" s="40"/>
      <c r="K12" s="40">
        <v>20000</v>
      </c>
      <c r="L12" s="40"/>
      <c r="M12" s="40"/>
      <c r="N12" s="40"/>
      <c r="O12" s="40">
        <v>20000</v>
      </c>
      <c r="P12" s="40"/>
      <c r="Q12" s="40"/>
      <c r="R12" s="40"/>
      <c r="S12" s="40">
        <v>20000</v>
      </c>
      <c r="T12" s="40"/>
      <c r="U12" s="40"/>
      <c r="V12" s="40"/>
      <c r="W12" s="8">
        <v>5000</v>
      </c>
    </row>
    <row r="15" ht="12.75">
      <c r="B15" s="5" t="s">
        <v>54</v>
      </c>
    </row>
    <row r="16" spans="2:6" ht="12.75">
      <c r="B16" t="s">
        <v>53</v>
      </c>
      <c r="C16" s="24"/>
      <c r="D16" s="24"/>
      <c r="E16" s="24"/>
      <c r="F16" s="24"/>
    </row>
    <row r="18" spans="2:24" ht="12.75">
      <c r="B18" t="s">
        <v>54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2:24" ht="12.75">
      <c r="B19" t="s">
        <v>95</v>
      </c>
      <c r="G19" s="40">
        <v>20000</v>
      </c>
      <c r="H19" s="40"/>
      <c r="I19" s="40"/>
      <c r="J19" s="40"/>
      <c r="K19" s="40">
        <v>40000</v>
      </c>
      <c r="L19" s="40"/>
      <c r="M19" s="40"/>
      <c r="N19" s="40"/>
      <c r="O19" s="40">
        <v>40000</v>
      </c>
      <c r="P19" s="40"/>
      <c r="Q19" s="40"/>
      <c r="R19" s="40"/>
      <c r="S19" s="40">
        <v>40000</v>
      </c>
      <c r="T19" s="40"/>
      <c r="U19" s="40"/>
      <c r="V19" s="40"/>
      <c r="W19" s="40">
        <v>10000</v>
      </c>
      <c r="X19" s="40"/>
    </row>
    <row r="21" spans="2:24" ht="12.75">
      <c r="B21" t="s">
        <v>93</v>
      </c>
      <c r="G21" s="39">
        <v>8</v>
      </c>
      <c r="H21" s="39"/>
      <c r="I21" s="39"/>
      <c r="J21" s="39"/>
      <c r="K21" s="39">
        <v>16</v>
      </c>
      <c r="L21" s="39"/>
      <c r="M21" s="39"/>
      <c r="N21" s="39"/>
      <c r="O21" s="39">
        <v>16</v>
      </c>
      <c r="P21" s="39"/>
      <c r="Q21" s="39"/>
      <c r="R21" s="39"/>
      <c r="S21" s="39">
        <v>16</v>
      </c>
      <c r="T21" s="39"/>
      <c r="U21" s="39"/>
      <c r="V21" s="39"/>
      <c r="W21" s="39">
        <v>4</v>
      </c>
      <c r="X21" s="39"/>
    </row>
    <row r="23" spans="2:24" ht="12.75">
      <c r="B23" t="s">
        <v>96</v>
      </c>
      <c r="G23" s="40">
        <f>+G21*125000</f>
        <v>1000000</v>
      </c>
      <c r="H23" s="40"/>
      <c r="I23" s="40"/>
      <c r="J23" s="40"/>
      <c r="K23" s="40">
        <f>+K21*125000</f>
        <v>2000000</v>
      </c>
      <c r="L23" s="40"/>
      <c r="M23" s="40"/>
      <c r="N23" s="40"/>
      <c r="O23" s="40">
        <f>+O21*125000</f>
        <v>2000000</v>
      </c>
      <c r="P23" s="40"/>
      <c r="Q23" s="40"/>
      <c r="R23" s="40"/>
      <c r="S23" s="40">
        <f>+S21*125000</f>
        <v>2000000</v>
      </c>
      <c r="T23" s="40"/>
      <c r="U23" s="40"/>
      <c r="V23" s="40"/>
      <c r="W23" s="40">
        <f>+W21*125000</f>
        <v>500000</v>
      </c>
      <c r="X23" s="40"/>
    </row>
    <row r="24" spans="2:25" ht="12.75">
      <c r="B24" s="5" t="s">
        <v>97</v>
      </c>
      <c r="W24" s="41">
        <f>+W23+S23+O23+K23+G23</f>
        <v>7500000</v>
      </c>
      <c r="X24" s="41"/>
      <c r="Y24" s="41"/>
    </row>
  </sheetData>
  <mergeCells count="31">
    <mergeCell ref="W23:X23"/>
    <mergeCell ref="W24:Y24"/>
    <mergeCell ref="G23:J23"/>
    <mergeCell ref="K23:N23"/>
    <mergeCell ref="O23:R23"/>
    <mergeCell ref="S23:V23"/>
    <mergeCell ref="W19:X19"/>
    <mergeCell ref="G21:J21"/>
    <mergeCell ref="K21:N21"/>
    <mergeCell ref="O21:R21"/>
    <mergeCell ref="S21:V21"/>
    <mergeCell ref="W21:X21"/>
    <mergeCell ref="G19:J19"/>
    <mergeCell ref="K19:N19"/>
    <mergeCell ref="O19:R19"/>
    <mergeCell ref="S19:V19"/>
    <mergeCell ref="G12:J12"/>
    <mergeCell ref="K12:N12"/>
    <mergeCell ref="O12:R12"/>
    <mergeCell ref="S12:V12"/>
    <mergeCell ref="S4:V4"/>
    <mergeCell ref="W4:Z4"/>
    <mergeCell ref="AA4:AD4"/>
    <mergeCell ref="G8:J8"/>
    <mergeCell ref="K8:N8"/>
    <mergeCell ref="O8:R8"/>
    <mergeCell ref="S8:V8"/>
    <mergeCell ref="C4:F4"/>
    <mergeCell ref="G4:J4"/>
    <mergeCell ref="K4:N4"/>
    <mergeCell ref="O4:R4"/>
  </mergeCells>
  <printOptions/>
  <pageMargins left="0" right="0" top="1" bottom="1" header="0.5" footer="0.5"/>
  <pageSetup horizontalDpi="1200" verticalDpi="1200" orientation="landscape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16.421875" style="0" bestFit="1" customWidth="1"/>
    <col min="13" max="13" width="11.140625" style="0" bestFit="1" customWidth="1"/>
    <col min="14" max="14" width="12.00390625" style="0" bestFit="1" customWidth="1"/>
  </cols>
  <sheetData>
    <row r="1" ht="12.75">
      <c r="A1" s="5" t="s">
        <v>101</v>
      </c>
    </row>
    <row r="3" spans="2:13" ht="12.75">
      <c r="B3" s="42" t="s">
        <v>77</v>
      </c>
      <c r="C3" s="43"/>
      <c r="D3" s="43"/>
      <c r="E3" s="43"/>
      <c r="F3" s="43"/>
      <c r="G3" s="43"/>
      <c r="H3" s="43"/>
      <c r="I3" s="43"/>
      <c r="J3" s="43"/>
      <c r="K3" s="43"/>
      <c r="L3" s="44"/>
      <c r="M3" s="23" t="s">
        <v>78</v>
      </c>
    </row>
    <row r="4" spans="2:13" ht="12.75">
      <c r="B4" s="23" t="s">
        <v>65</v>
      </c>
      <c r="C4" s="23" t="s">
        <v>66</v>
      </c>
      <c r="D4" s="23" t="s">
        <v>67</v>
      </c>
      <c r="E4" s="23" t="s">
        <v>68</v>
      </c>
      <c r="F4" s="23" t="s">
        <v>69</v>
      </c>
      <c r="G4" s="23" t="s">
        <v>70</v>
      </c>
      <c r="H4" s="23" t="s">
        <v>71</v>
      </c>
      <c r="I4" s="23" t="s">
        <v>72</v>
      </c>
      <c r="J4" s="23" t="s">
        <v>73</v>
      </c>
      <c r="K4" s="23" t="s">
        <v>74</v>
      </c>
      <c r="L4" s="23" t="s">
        <v>75</v>
      </c>
      <c r="M4" s="23" t="s">
        <v>76</v>
      </c>
    </row>
    <row r="6" spans="1:14" ht="12.75">
      <c r="A6" t="s">
        <v>83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3" t="s">
        <v>80</v>
      </c>
    </row>
    <row r="7" spans="1:15" ht="12.75">
      <c r="A7" t="s">
        <v>79</v>
      </c>
      <c r="B7" s="8">
        <v>4166</v>
      </c>
      <c r="C7" s="8">
        <v>4166</v>
      </c>
      <c r="D7" s="8">
        <v>4166</v>
      </c>
      <c r="E7" s="8">
        <v>4166</v>
      </c>
      <c r="F7" s="8">
        <v>4167</v>
      </c>
      <c r="G7" s="8">
        <v>4167</v>
      </c>
      <c r="H7" s="8">
        <v>4167</v>
      </c>
      <c r="I7" s="8">
        <v>4167</v>
      </c>
      <c r="J7" s="8">
        <v>4167</v>
      </c>
      <c r="K7" s="8">
        <v>4167</v>
      </c>
      <c r="L7" s="8">
        <v>4167</v>
      </c>
      <c r="M7" s="8">
        <v>4167</v>
      </c>
      <c r="N7" s="8">
        <f>SUM(B7:M7)</f>
        <v>50000</v>
      </c>
      <c r="O7" t="s">
        <v>24</v>
      </c>
    </row>
    <row r="8" spans="1:14" ht="12.75">
      <c r="A8" t="s">
        <v>81</v>
      </c>
      <c r="B8" s="8">
        <f>+B7*174.9</f>
        <v>728633.4</v>
      </c>
      <c r="C8" s="8">
        <f aca="true" t="shared" si="0" ref="C8:M8">+C7*174.9</f>
        <v>728633.4</v>
      </c>
      <c r="D8" s="8">
        <f t="shared" si="0"/>
        <v>728633.4</v>
      </c>
      <c r="E8" s="8">
        <f t="shared" si="0"/>
        <v>728633.4</v>
      </c>
      <c r="F8" s="8">
        <f t="shared" si="0"/>
        <v>728808.3</v>
      </c>
      <c r="G8" s="8">
        <f t="shared" si="0"/>
        <v>728808.3</v>
      </c>
      <c r="H8" s="8">
        <f t="shared" si="0"/>
        <v>728808.3</v>
      </c>
      <c r="I8" s="8">
        <f t="shared" si="0"/>
        <v>728808.3</v>
      </c>
      <c r="J8" s="8">
        <f t="shared" si="0"/>
        <v>728808.3</v>
      </c>
      <c r="K8" s="8">
        <f t="shared" si="0"/>
        <v>728808.3</v>
      </c>
      <c r="L8" s="8">
        <f t="shared" si="0"/>
        <v>728808.3</v>
      </c>
      <c r="M8" s="8">
        <f t="shared" si="0"/>
        <v>728808.3</v>
      </c>
      <c r="N8" s="8">
        <f>SUM(B8:M8)</f>
        <v>8745000</v>
      </c>
    </row>
    <row r="9" spans="1:14" ht="12.75">
      <c r="A9" t="s">
        <v>82</v>
      </c>
      <c r="B9" s="40">
        <f>SUM(B8:L8)</f>
        <v>8016191.699999999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8">
        <f>+M8</f>
        <v>728808.3</v>
      </c>
      <c r="N9" s="8">
        <f>+M9+B9</f>
        <v>8745000</v>
      </c>
    </row>
    <row r="12" spans="2:13" ht="12.75">
      <c r="B12" s="42" t="s">
        <v>78</v>
      </c>
      <c r="C12" s="43"/>
      <c r="D12" s="43"/>
      <c r="E12" s="43"/>
      <c r="F12" s="43"/>
      <c r="G12" s="43"/>
      <c r="H12" s="43"/>
      <c r="I12" s="43"/>
      <c r="J12" s="43"/>
      <c r="K12" s="43"/>
      <c r="L12" s="44"/>
      <c r="M12" s="23" t="s">
        <v>85</v>
      </c>
    </row>
    <row r="13" spans="2:13" ht="12.75">
      <c r="B13" s="23" t="s">
        <v>65</v>
      </c>
      <c r="C13" s="23" t="s">
        <v>66</v>
      </c>
      <c r="D13" s="23" t="s">
        <v>67</v>
      </c>
      <c r="E13" s="23" t="s">
        <v>68</v>
      </c>
      <c r="F13" s="23" t="s">
        <v>69</v>
      </c>
      <c r="G13" s="23" t="s">
        <v>70</v>
      </c>
      <c r="H13" s="23" t="s">
        <v>71</v>
      </c>
      <c r="I13" s="23" t="s">
        <v>72</v>
      </c>
      <c r="J13" s="23" t="s">
        <v>73</v>
      </c>
      <c r="K13" s="23" t="s">
        <v>74</v>
      </c>
      <c r="L13" s="23" t="s">
        <v>75</v>
      </c>
      <c r="M13" s="23" t="s">
        <v>76</v>
      </c>
    </row>
    <row r="15" spans="1:14" ht="12.75">
      <c r="A15" t="s">
        <v>84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3" t="s">
        <v>80</v>
      </c>
    </row>
    <row r="16" spans="1:14" ht="12.75">
      <c r="A16" t="s">
        <v>79</v>
      </c>
      <c r="B16" s="8">
        <v>4166</v>
      </c>
      <c r="C16" s="8">
        <v>4166</v>
      </c>
      <c r="D16" s="8">
        <v>4166</v>
      </c>
      <c r="E16" s="8">
        <v>4166</v>
      </c>
      <c r="F16" s="8">
        <v>4167</v>
      </c>
      <c r="G16" s="8">
        <v>4167</v>
      </c>
      <c r="H16" s="8">
        <v>4167</v>
      </c>
      <c r="I16" s="8">
        <v>4167</v>
      </c>
      <c r="J16" s="8">
        <v>4167</v>
      </c>
      <c r="K16" s="8">
        <v>4167</v>
      </c>
      <c r="L16" s="8">
        <v>4167</v>
      </c>
      <c r="M16" s="8">
        <v>4167</v>
      </c>
      <c r="N16" s="8">
        <f>SUM(B16:M16)</f>
        <v>50000</v>
      </c>
    </row>
    <row r="17" spans="1:14" ht="12.75">
      <c r="A17" t="s">
        <v>81</v>
      </c>
      <c r="B17" s="8">
        <f>+B16*174.9</f>
        <v>728633.4</v>
      </c>
      <c r="C17" s="8">
        <f aca="true" t="shared" si="1" ref="C17:M17">+C16*174.9</f>
        <v>728633.4</v>
      </c>
      <c r="D17" s="8">
        <f t="shared" si="1"/>
        <v>728633.4</v>
      </c>
      <c r="E17" s="8">
        <f t="shared" si="1"/>
        <v>728633.4</v>
      </c>
      <c r="F17" s="8">
        <f t="shared" si="1"/>
        <v>728808.3</v>
      </c>
      <c r="G17" s="8">
        <f t="shared" si="1"/>
        <v>728808.3</v>
      </c>
      <c r="H17" s="8">
        <f t="shared" si="1"/>
        <v>728808.3</v>
      </c>
      <c r="I17" s="8">
        <f t="shared" si="1"/>
        <v>728808.3</v>
      </c>
      <c r="J17" s="8">
        <f t="shared" si="1"/>
        <v>728808.3</v>
      </c>
      <c r="K17" s="8">
        <f t="shared" si="1"/>
        <v>728808.3</v>
      </c>
      <c r="L17" s="8">
        <f t="shared" si="1"/>
        <v>728808.3</v>
      </c>
      <c r="M17" s="8">
        <f t="shared" si="1"/>
        <v>728808.3</v>
      </c>
      <c r="N17" s="8">
        <f>SUM(B17:M17)</f>
        <v>8745000</v>
      </c>
    </row>
    <row r="18" spans="1:14" ht="12.75">
      <c r="A18" t="s">
        <v>82</v>
      </c>
      <c r="B18" s="40">
        <f>SUM(B17:L17)</f>
        <v>8016191.699999999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8">
        <f>+M17</f>
        <v>728808.3</v>
      </c>
      <c r="N18" s="8">
        <f>+M18+B18</f>
        <v>8745000</v>
      </c>
    </row>
    <row r="21" spans="2:13" ht="12.75">
      <c r="B21" s="42" t="s">
        <v>85</v>
      </c>
      <c r="C21" s="43"/>
      <c r="D21" s="43"/>
      <c r="E21" s="43"/>
      <c r="F21" s="43"/>
      <c r="G21" s="43"/>
      <c r="H21" s="43"/>
      <c r="I21" s="43"/>
      <c r="J21" s="43"/>
      <c r="K21" s="43"/>
      <c r="L21" s="44"/>
      <c r="M21" s="23" t="s">
        <v>86</v>
      </c>
    </row>
    <row r="22" spans="2:13" ht="12.75">
      <c r="B22" s="23" t="s">
        <v>65</v>
      </c>
      <c r="C22" s="23" t="s">
        <v>66</v>
      </c>
      <c r="D22" s="23" t="s">
        <v>67</v>
      </c>
      <c r="E22" s="23" t="s">
        <v>68</v>
      </c>
      <c r="F22" s="23" t="s">
        <v>69</v>
      </c>
      <c r="G22" s="23" t="s">
        <v>70</v>
      </c>
      <c r="H22" s="23" t="s">
        <v>71</v>
      </c>
      <c r="I22" s="23" t="s">
        <v>72</v>
      </c>
      <c r="J22" s="23" t="s">
        <v>73</v>
      </c>
      <c r="K22" s="23" t="s">
        <v>74</v>
      </c>
      <c r="L22" s="23" t="s">
        <v>75</v>
      </c>
      <c r="M22" s="23" t="s">
        <v>76</v>
      </c>
    </row>
    <row r="24" spans="1:14" ht="12.75">
      <c r="A24" t="s">
        <v>87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3" t="s">
        <v>80</v>
      </c>
    </row>
    <row r="25" spans="1:14" ht="12.75">
      <c r="A25" t="s">
        <v>79</v>
      </c>
      <c r="B25" s="8">
        <v>4166</v>
      </c>
      <c r="C25" s="8">
        <v>4166</v>
      </c>
      <c r="D25" s="8">
        <v>4166</v>
      </c>
      <c r="E25" s="8">
        <v>4166</v>
      </c>
      <c r="F25" s="8">
        <v>4167</v>
      </c>
      <c r="G25" s="8">
        <v>4167</v>
      </c>
      <c r="H25" s="8">
        <v>4167</v>
      </c>
      <c r="I25" s="8">
        <v>4167</v>
      </c>
      <c r="J25" s="8">
        <v>4167</v>
      </c>
      <c r="K25" s="8">
        <v>4167</v>
      </c>
      <c r="L25" s="8">
        <v>4167</v>
      </c>
      <c r="M25" s="8">
        <v>4167</v>
      </c>
      <c r="N25" s="8">
        <f>SUM(B25:M25)</f>
        <v>50000</v>
      </c>
    </row>
    <row r="26" spans="1:14" ht="12.75">
      <c r="A26" t="s">
        <v>81</v>
      </c>
      <c r="B26" s="8">
        <f>+B25*174.9</f>
        <v>728633.4</v>
      </c>
      <c r="C26" s="8">
        <f aca="true" t="shared" si="2" ref="C26:M26">+C25*174.9</f>
        <v>728633.4</v>
      </c>
      <c r="D26" s="8">
        <f t="shared" si="2"/>
        <v>728633.4</v>
      </c>
      <c r="E26" s="8">
        <f t="shared" si="2"/>
        <v>728633.4</v>
      </c>
      <c r="F26" s="8">
        <f t="shared" si="2"/>
        <v>728808.3</v>
      </c>
      <c r="G26" s="8">
        <f t="shared" si="2"/>
        <v>728808.3</v>
      </c>
      <c r="H26" s="8">
        <f t="shared" si="2"/>
        <v>728808.3</v>
      </c>
      <c r="I26" s="8">
        <f t="shared" si="2"/>
        <v>728808.3</v>
      </c>
      <c r="J26" s="8">
        <f t="shared" si="2"/>
        <v>728808.3</v>
      </c>
      <c r="K26" s="8">
        <f t="shared" si="2"/>
        <v>728808.3</v>
      </c>
      <c r="L26" s="8">
        <f t="shared" si="2"/>
        <v>728808.3</v>
      </c>
      <c r="M26" s="8">
        <f t="shared" si="2"/>
        <v>728808.3</v>
      </c>
      <c r="N26" s="8">
        <f>SUM(B26:M26)</f>
        <v>8745000</v>
      </c>
    </row>
    <row r="27" spans="1:14" ht="12.75">
      <c r="A27" t="s">
        <v>82</v>
      </c>
      <c r="B27" s="40">
        <f>SUM(B26:L26)</f>
        <v>8016191.699999999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8">
        <f>+M26</f>
        <v>728808.3</v>
      </c>
      <c r="N27" s="8">
        <f>+M27+B27</f>
        <v>8745000</v>
      </c>
    </row>
    <row r="29" spans="1:14" ht="12.75">
      <c r="A29" s="5" t="s">
        <v>88</v>
      </c>
      <c r="N29" s="9">
        <f>+N27+N18+N9</f>
        <v>26235000</v>
      </c>
    </row>
  </sheetData>
  <mergeCells count="6">
    <mergeCell ref="B21:L21"/>
    <mergeCell ref="B27:L27"/>
    <mergeCell ref="B3:L3"/>
    <mergeCell ref="B9:L9"/>
    <mergeCell ref="B12:L12"/>
    <mergeCell ref="B18:L18"/>
  </mergeCells>
  <printOptions/>
  <pageMargins left="0" right="0" top="0.5" bottom="0.25" header="0.5" footer="0.5"/>
  <pageSetup horizontalDpi="1200" verticalDpi="12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Brookhaven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Butehorn</dc:creator>
  <cp:keywords/>
  <dc:description/>
  <cp:lastModifiedBy>Charles Butehorn</cp:lastModifiedBy>
  <cp:lastPrinted>2007-01-12T14:49:32Z</cp:lastPrinted>
  <dcterms:created xsi:type="dcterms:W3CDTF">2006-12-22T13:51:39Z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