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210" windowWidth="18990" windowHeight="12255" activeTab="0"/>
  </bookViews>
  <sheets>
    <sheet name="running times" sheetId="1" r:id="rId1"/>
    <sheet name="Raja calc" sheetId="2" r:id="rId2"/>
    <sheet name="check" sheetId="3" r:id="rId3"/>
    <sheet name="MINOS" sheetId="4" r:id="rId4"/>
  </sheets>
  <definedNames/>
  <calcPr fullCalcOnLoad="1"/>
</workbook>
</file>

<file path=xl/sharedStrings.xml><?xml version="1.0" encoding="utf-8"?>
<sst xmlns="http://schemas.openxmlformats.org/spreadsheetml/2006/main" count="388" uniqueCount="192">
  <si>
    <t>0 degree production rates for E907</t>
  </si>
  <si>
    <t>GeV/c beam momentum</t>
  </si>
  <si>
    <t>p GeV/c</t>
  </si>
  <si>
    <t>x</t>
  </si>
  <si>
    <t>pi-</t>
  </si>
  <si>
    <t>pi+</t>
  </si>
  <si>
    <t>K-</t>
  </si>
  <si>
    <t>K+</t>
  </si>
  <si>
    <t>p-bar</t>
  </si>
  <si>
    <t>p</t>
  </si>
  <si>
    <t>secondaries/interaction/GeV/c/str</t>
  </si>
  <si>
    <t>A</t>
  </si>
  <si>
    <t>B</t>
  </si>
  <si>
    <t>D</t>
  </si>
  <si>
    <t>efficiency</t>
  </si>
  <si>
    <t>dx'</t>
  </si>
  <si>
    <t>dy'</t>
  </si>
  <si>
    <t>dp/p</t>
  </si>
  <si>
    <t>prescales</t>
  </si>
  <si>
    <t>Hz max rate</t>
  </si>
  <si>
    <t>hours</t>
  </si>
  <si>
    <t>seconds</t>
  </si>
  <si>
    <t>total</t>
  </si>
  <si>
    <t>primary beam rate</t>
  </si>
  <si>
    <t>Hz primary beam rate</t>
  </si>
  <si>
    <t>Rates</t>
  </si>
  <si>
    <t>per species rate</t>
  </si>
  <si>
    <t>events</t>
  </si>
  <si>
    <t>M^2</t>
  </si>
  <si>
    <t xml:space="preserve"> target length</t>
  </si>
  <si>
    <t>p_T (GeV/c)</t>
  </si>
  <si>
    <t>reproduce Malensek's table II predictions of Atherton</t>
  </si>
  <si>
    <t>Be</t>
  </si>
  <si>
    <t>Cu</t>
  </si>
  <si>
    <t>absoprtion length, mm</t>
  </si>
  <si>
    <t>rho</t>
  </si>
  <si>
    <t>target length</t>
  </si>
  <si>
    <t>f(L) Cu</t>
  </si>
  <si>
    <t>f(500) Be</t>
  </si>
  <si>
    <t>fCU/fBE</t>
  </si>
  <si>
    <t>Cu/Be rate factors</t>
  </si>
  <si>
    <t>beamline</t>
  </si>
  <si>
    <t>acceptance</t>
  </si>
  <si>
    <t>positives</t>
  </si>
  <si>
    <t>negatives</t>
  </si>
  <si>
    <t>postives</t>
  </si>
  <si>
    <t>max prescale</t>
  </si>
  <si>
    <t>Secondary Rates</t>
  </si>
  <si>
    <t>negative rate</t>
  </si>
  <si>
    <t xml:space="preserve">total </t>
  </si>
  <si>
    <t>positives rate</t>
  </si>
  <si>
    <t>Maximum rate</t>
  </si>
  <si>
    <t>fraction of</t>
  </si>
  <si>
    <t>maxium</t>
  </si>
  <si>
    <t>maximum</t>
  </si>
  <si>
    <t>Effective target thicknesses</t>
  </si>
  <si>
    <t>primary rate</t>
  </si>
  <si>
    <t>at max 2ndry rate</t>
  </si>
  <si>
    <t>at max 2ndary rate</t>
  </si>
  <si>
    <t>beam rates</t>
  </si>
  <si>
    <t>max MC primary beam rate</t>
  </si>
  <si>
    <t>Secondary Beam Rates</t>
  </si>
  <si>
    <t>Secondary Interaction Rates</t>
  </si>
  <si>
    <t>negatives rate</t>
  </si>
  <si>
    <t>number of events</t>
  </si>
  <si>
    <t>Raja Table 1:</t>
  </si>
  <si>
    <t>Raja Table 2:</t>
  </si>
  <si>
    <t>Ed Table 1:</t>
  </si>
  <si>
    <t>Ed's Table 2</t>
  </si>
  <si>
    <t>C</t>
  </si>
  <si>
    <t>data points</t>
  </si>
  <si>
    <t>GeV/c</t>
  </si>
  <si>
    <t>MINOS target calculations</t>
  </si>
  <si>
    <t>pt</t>
  </si>
  <si>
    <t>dp=</t>
  </si>
  <si>
    <t>dpt=</t>
  </si>
  <si>
    <t>f(L) C</t>
  </si>
  <si>
    <t>fC/fBE</t>
  </si>
  <si>
    <t>trigger rate</t>
  </si>
  <si>
    <t>beam rate</t>
  </si>
  <si>
    <t>min binvalue=</t>
  </si>
  <si>
    <t>number of spills to reach 10,000 events</t>
  </si>
  <si>
    <t>number of hours to get 10,000 events in min bin</t>
  </si>
  <si>
    <t>number of pi+ in sample</t>
  </si>
  <si>
    <t>total number in phase space region</t>
  </si>
  <si>
    <t>number per</t>
  </si>
  <si>
    <t>energy bin</t>
  </si>
  <si>
    <t>pi p (GeV/c)</t>
  </si>
  <si>
    <t>nu E (GeV)</t>
  </si>
  <si>
    <t>K</t>
  </si>
  <si>
    <t>mass</t>
  </si>
  <si>
    <r>
      <t>c</t>
    </r>
    <r>
      <rPr>
        <sz val="9"/>
        <rFont val="Symbol"/>
        <family val="1"/>
      </rPr>
      <t>t (</t>
    </r>
    <r>
      <rPr>
        <sz val="9"/>
        <rFont val="Geneva"/>
        <family val="0"/>
      </rPr>
      <t>m</t>
    </r>
    <r>
      <rPr>
        <sz val="9"/>
        <rFont val="Symbol"/>
        <family val="1"/>
      </rPr>
      <t>)</t>
    </r>
  </si>
  <si>
    <t>Beamline length(m)</t>
  </si>
  <si>
    <t>Decay Factor</t>
  </si>
  <si>
    <t>Selected momenta for MIPP</t>
  </si>
  <si>
    <t>Positives</t>
  </si>
  <si>
    <t>Negatives</t>
  </si>
  <si>
    <t>Primary p/spill</t>
  </si>
  <si>
    <t>p Hz</t>
  </si>
  <si>
    <t>K Hz</t>
  </si>
  <si>
    <r>
      <t>p</t>
    </r>
    <r>
      <rPr>
        <sz val="9"/>
        <rFont val="Geneva"/>
        <family val="0"/>
      </rPr>
      <t xml:space="preserve"> Hz</t>
    </r>
  </si>
  <si>
    <t>Total Hz</t>
  </si>
  <si>
    <t>p events</t>
  </si>
  <si>
    <t>K events</t>
  </si>
  <si>
    <r>
      <t>p</t>
    </r>
    <r>
      <rPr>
        <sz val="9"/>
        <rFont val="Geneva"/>
        <family val="0"/>
      </rPr>
      <t xml:space="preserve"> events</t>
    </r>
  </si>
  <si>
    <t>total events</t>
  </si>
  <si>
    <t>pbar Hz</t>
  </si>
  <si>
    <t>pbar events</t>
  </si>
  <si>
    <t>K prescale</t>
  </si>
  <si>
    <r>
      <t>p</t>
    </r>
    <r>
      <rPr>
        <sz val="9"/>
        <rFont val="Geneva"/>
        <family val="0"/>
      </rPr>
      <t xml:space="preserve"> prescale</t>
    </r>
  </si>
  <si>
    <r>
      <t>p</t>
    </r>
    <r>
      <rPr>
        <sz val="9"/>
        <rFont val="Geneva"/>
        <family val="0"/>
      </rPr>
      <t xml:space="preserve"> Prescale</t>
    </r>
  </si>
  <si>
    <t>pbar  events</t>
  </si>
  <si>
    <t>pbar prescale</t>
  </si>
  <si>
    <t>Selection factor</t>
  </si>
  <si>
    <t>Flux</t>
  </si>
  <si>
    <t>Number of 1 sec spills</t>
  </si>
  <si>
    <t xml:space="preserve">Average </t>
  </si>
  <si>
    <t>Total number</t>
  </si>
  <si>
    <t xml:space="preserve"> of primary protons</t>
  </si>
  <si>
    <t>Total number of events</t>
  </si>
  <si>
    <t>Average</t>
  </si>
  <si>
    <t>Target</t>
  </si>
  <si>
    <t>Physics  Request</t>
  </si>
  <si>
    <t>Physics</t>
  </si>
  <si>
    <t>Data Points</t>
  </si>
  <si>
    <t>Numi 1</t>
  </si>
  <si>
    <t>MINOS</t>
  </si>
  <si>
    <t>NUMI 2</t>
  </si>
  <si>
    <t>H2</t>
  </si>
  <si>
    <t>Scaling</t>
  </si>
  <si>
    <t>N2</t>
  </si>
  <si>
    <r>
      <t xml:space="preserve">Atmospheric </t>
    </r>
    <r>
      <rPr>
        <sz val="9"/>
        <rFont val="Symbol"/>
        <family val="1"/>
      </rPr>
      <t>n</t>
    </r>
  </si>
  <si>
    <t>Pb</t>
  </si>
  <si>
    <t>pA</t>
  </si>
  <si>
    <t>Survey</t>
  </si>
  <si>
    <t>1 data point = 3 million events.</t>
  </si>
  <si>
    <t xml:space="preserve">Primary proton </t>
  </si>
  <si>
    <t xml:space="preserve"> Average Intensity/spill</t>
  </si>
  <si>
    <t xml:space="preserve">Total number </t>
  </si>
  <si>
    <t>of Primary Protons</t>
  </si>
  <si>
    <t>Average +/-</t>
  </si>
  <si>
    <t>Total</t>
  </si>
  <si>
    <t>Total number of spills</t>
  </si>
  <si>
    <t>Number of spills/minute</t>
  </si>
  <si>
    <t>Total time for expt</t>
  </si>
  <si>
    <t>days No Pi factor</t>
  </si>
  <si>
    <t>target length(mm)</t>
  </si>
  <si>
    <t>Kostin should see Target for 1E7 protons</t>
  </si>
  <si>
    <t xml:space="preserve">I have assumed that each non MINOS data point is spread </t>
  </si>
  <si>
    <t xml:space="preserve">over an average of 5 positive + 5 negative energies </t>
  </si>
  <si>
    <t>for simplicity and conservativeness</t>
  </si>
  <si>
    <t>Momenta</t>
  </si>
  <si>
    <t>Total number of beam particles on Calorimeter</t>
  </si>
  <si>
    <t>Kostin's Table</t>
  </si>
  <si>
    <t>Momentum</t>
  </si>
  <si>
    <t>Spill Intensity</t>
  </si>
  <si>
    <t>Average Intensity</t>
  </si>
  <si>
    <t>Number of days</t>
  </si>
  <si>
    <t xml:space="preserve"> </t>
  </si>
  <si>
    <t>Total protons</t>
  </si>
  <si>
    <t>Number of spills</t>
  </si>
  <si>
    <t>Unrenormalized</t>
  </si>
  <si>
    <t>Does not include Minos running</t>
  </si>
  <si>
    <t>for 20 data points</t>
  </si>
  <si>
    <t xml:space="preserve">Number of spills </t>
  </si>
  <si>
    <t>No Pi factor</t>
  </si>
  <si>
    <t>Number of 1 sec spills/minute</t>
  </si>
  <si>
    <t>Number of events/sec</t>
  </si>
  <si>
    <t>Number of events/day</t>
  </si>
  <si>
    <t>Number of events/snowmass day</t>
  </si>
  <si>
    <t>Number of events/snowmass hour</t>
  </si>
  <si>
    <t>Number of events/data point</t>
  </si>
  <si>
    <t>Number of snow mass hours/data point</t>
  </si>
  <si>
    <t>Number of snowmass days/data point</t>
  </si>
  <si>
    <t>total time</t>
  </si>
  <si>
    <t>Atmospheric n</t>
  </si>
  <si>
    <t>Snow mass days</t>
  </si>
  <si>
    <t>D2</t>
  </si>
  <si>
    <t>of events</t>
  </si>
  <si>
    <t>20% of data</t>
  </si>
  <si>
    <t>total snowmass</t>
  </si>
  <si>
    <t>days</t>
  </si>
  <si>
    <t>20% data</t>
  </si>
  <si>
    <t xml:space="preserve">total number </t>
  </si>
  <si>
    <t>QCD</t>
  </si>
  <si>
    <t>p-rad</t>
  </si>
  <si>
    <t>Numi</t>
  </si>
  <si>
    <t>20% time</t>
  </si>
  <si>
    <t>20%events</t>
  </si>
  <si>
    <t>Atmosph. Nus.</t>
  </si>
  <si>
    <t>MIPP Running time calculations</t>
  </si>
  <si>
    <t>R.Raja 30-Sep-04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</si>
</sst>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0"/>
    <numFmt numFmtId="167" formatCode="0.0000E+00"/>
    <numFmt numFmtId="168" formatCode="0.0"/>
    <numFmt numFmtId="169" formatCode="0.00000"/>
    <numFmt numFmtId="170" formatCode="0.000E+0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"/>
      <name val="Symbol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4" xfId="0" applyBorder="1" applyAlignment="1">
      <alignment/>
    </xf>
    <xf numFmtId="11" fontId="0" fillId="0" borderId="0" xfId="0" applyNumberFormat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1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7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9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10" fillId="0" borderId="0" xfId="0" applyFon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Malensek Negatives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v>Pi minus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'Raja calc'!$B$18:$B$29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'Raja calc'!$D$18:$D$29</c:f>
              <c:numCache>
                <c:ptCount val="12"/>
                <c:pt idx="0">
                  <c:v>4.077465047349839</c:v>
                </c:pt>
                <c:pt idx="1">
                  <c:v>3.641321140631448</c:v>
                </c:pt>
                <c:pt idx="2">
                  <c:v>2.3704347727970925</c:v>
                </c:pt>
                <c:pt idx="3">
                  <c:v>1.9100745303181859</c:v>
                </c:pt>
                <c:pt idx="4">
                  <c:v>1.247182366395502</c:v>
                </c:pt>
                <c:pt idx="5">
                  <c:v>0.7891408873449808</c:v>
                </c:pt>
                <c:pt idx="6">
                  <c:v>0.46160466549745466</c:v>
                </c:pt>
                <c:pt idx="7">
                  <c:v>0.23898589490428299</c:v>
                </c:pt>
                <c:pt idx="8">
                  <c:v>0.10357088190953254</c:v>
                </c:pt>
                <c:pt idx="9">
                  <c:v>0.03407141899641726</c:v>
                </c:pt>
                <c:pt idx="10">
                  <c:v>0.006838806239035439</c:v>
                </c:pt>
                <c:pt idx="11">
                  <c:v>0.00041629871474090606</c:v>
                </c:pt>
              </c:numCache>
            </c:numRef>
          </c:yVal>
          <c:smooth val="1"/>
        </c:ser>
        <c:ser>
          <c:idx val="3"/>
          <c:order val="1"/>
          <c:tx>
            <c:v>Kminus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'Raja calc'!$B$18:$B$29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'Raja calc'!$F$18:$F$29</c:f>
              <c:numCache>
                <c:ptCount val="12"/>
                <c:pt idx="0">
                  <c:v>0.5810072417230189</c:v>
                </c:pt>
                <c:pt idx="1">
                  <c:v>0.3617795623439212</c:v>
                </c:pt>
                <c:pt idx="2">
                  <c:v>0.20961664720950626</c:v>
                </c:pt>
                <c:pt idx="3">
                  <c:v>0.16208634939564526</c:v>
                </c:pt>
                <c:pt idx="4">
                  <c:v>0.092571397615975</c:v>
                </c:pt>
                <c:pt idx="5">
                  <c:v>0.047198152445781384</c:v>
                </c:pt>
                <c:pt idx="6">
                  <c:v>0.020715272739390497</c:v>
                </c:pt>
                <c:pt idx="7">
                  <c:v>0.007503651542999558</c:v>
                </c:pt>
                <c:pt idx="8">
                  <c:v>0.0020859135949381252</c:v>
                </c:pt>
                <c:pt idx="9">
                  <c:v>0.0003863457960566589</c:v>
                </c:pt>
                <c:pt idx="10">
                  <c:v>3.452911134742061E-05</c:v>
                </c:pt>
                <c:pt idx="11">
                  <c:v>5.28565701407019E-07</c:v>
                </c:pt>
              </c:numCache>
            </c:numRef>
          </c:yVal>
          <c:smooth val="1"/>
        </c:ser>
        <c:ser>
          <c:idx val="5"/>
          <c:order val="2"/>
          <c:tx>
            <c:v>pbar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'Raja calc'!$B$18:$B$29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'Raja calc'!$H$18:$H$29</c:f>
              <c:numCache>
                <c:ptCount val="12"/>
                <c:pt idx="0">
                  <c:v>0.19258466350909556</c:v>
                </c:pt>
                <c:pt idx="1">
                  <c:v>0.1367911860379555</c:v>
                </c:pt>
                <c:pt idx="2">
                  <c:v>0.06991543190299118</c:v>
                </c:pt>
                <c:pt idx="3">
                  <c:v>0.04948415332849317</c:v>
                </c:pt>
                <c:pt idx="4">
                  <c:v>0.0235224873846985</c:v>
                </c:pt>
                <c:pt idx="5">
                  <c:v>0.009825120788621747</c:v>
                </c:pt>
                <c:pt idx="6">
                  <c:v>0.00340930633399414</c:v>
                </c:pt>
                <c:pt idx="7">
                  <c:v>0.0009241518277860035</c:v>
                </c:pt>
                <c:pt idx="8">
                  <c:v>0.0001774410754505497</c:v>
                </c:pt>
                <c:pt idx="9">
                  <c:v>2.003702492223092E-05</c:v>
                </c:pt>
                <c:pt idx="10">
                  <c:v>8.72141833620529E-07</c:v>
                </c:pt>
                <c:pt idx="11">
                  <c:v>3.773458960562785E-09</c:v>
                </c:pt>
              </c:numCache>
            </c:numRef>
          </c:yVal>
          <c:smooth val="1"/>
        </c:ser>
        <c:axId val="57206696"/>
        <c:axId val="45098217"/>
      </c:scatterChart>
      <c:valAx>
        <c:axId val="57206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Momentum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098217"/>
        <c:crosses val="autoZero"/>
        <c:crossBetween val="midCat"/>
        <c:dispUnits/>
      </c:valAx>
      <c:valAx>
        <c:axId val="45098217"/>
        <c:scaling>
          <c:logBase val="10"/>
          <c:orientation val="minMax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Number/Gev/c/Steradian/Interaction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06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Malensek Positives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"/>
          <c:w val="0.833"/>
          <c:h val="0.7855"/>
        </c:manualLayout>
      </c:layout>
      <c:scatterChart>
        <c:scatterStyle val="smoothMarker"/>
        <c:varyColors val="0"/>
        <c:ser>
          <c:idx val="0"/>
          <c:order val="0"/>
          <c:tx>
            <c:v>Proton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'Raja calc'!$B$18:$B$29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'Raja calc'!$I$18:$I$29</c:f>
              <c:numCache>
                <c:ptCount val="12"/>
                <c:pt idx="0">
                  <c:v>0.2837399891484098</c:v>
                </c:pt>
                <c:pt idx="1">
                  <c:v>0.998839299258034</c:v>
                </c:pt>
                <c:pt idx="2">
                  <c:v>1.9467690192363805</c:v>
                </c:pt>
                <c:pt idx="3">
                  <c:v>2.51791789792716</c:v>
                </c:pt>
                <c:pt idx="4">
                  <c:v>3.8575072904962795</c:v>
                </c:pt>
                <c:pt idx="5">
                  <c:v>5.423875557741623</c:v>
                </c:pt>
                <c:pt idx="6">
                  <c:v>7.096547703319053</c:v>
                </c:pt>
                <c:pt idx="7">
                  <c:v>8.627911319538022</c:v>
                </c:pt>
                <c:pt idx="8">
                  <c:v>9.603179181105704</c:v>
                </c:pt>
                <c:pt idx="9">
                  <c:v>9.437061810312429</c:v>
                </c:pt>
                <c:pt idx="10">
                  <c:v>7.49780709039012</c:v>
                </c:pt>
                <c:pt idx="11">
                  <c:v>3.6106022827212745</c:v>
                </c:pt>
              </c:numCache>
            </c:numRef>
          </c:yVal>
          <c:smooth val="1"/>
        </c:ser>
        <c:ser>
          <c:idx val="2"/>
          <c:order val="1"/>
          <c:tx>
            <c:v>piplus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'Raja calc'!$B$18:$B$29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'Raja calc'!$E$18:$E$29</c:f>
              <c:numCache>
                <c:ptCount val="12"/>
                <c:pt idx="0">
                  <c:v>6.312298848418109</c:v>
                </c:pt>
                <c:pt idx="1">
                  <c:v>4.954674098314625</c:v>
                </c:pt>
                <c:pt idx="2">
                  <c:v>4.472326442418924</c:v>
                </c:pt>
                <c:pt idx="3">
                  <c:v>4.178654734468425</c:v>
                </c:pt>
                <c:pt idx="4">
                  <c:v>3.372409232720958</c:v>
                </c:pt>
                <c:pt idx="5">
                  <c:v>2.452726861698336</c:v>
                </c:pt>
                <c:pt idx="6">
                  <c:v>1.6039363463075205</c:v>
                </c:pt>
                <c:pt idx="7">
                  <c:v>0.9268993799177606</c:v>
                </c:pt>
                <c:pt idx="8">
                  <c:v>0.4550368245738327</c:v>
                </c:pt>
                <c:pt idx="9">
                  <c:v>0.17493070130274924</c:v>
                </c:pt>
                <c:pt idx="10">
                  <c:v>0.04359578222863388</c:v>
                </c:pt>
                <c:pt idx="11">
                  <c:v>0.003829279994544113</c:v>
                </c:pt>
              </c:numCache>
            </c:numRef>
          </c:yVal>
          <c:smooth val="1"/>
        </c:ser>
        <c:ser>
          <c:idx val="4"/>
          <c:order val="2"/>
          <c:tx>
            <c:v>Kplus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'Raja calc'!$B$18:$B$29</c:f>
              <c:numCache>
                <c:ptCount val="12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</c:numCache>
            </c:numRef>
          </c:xVal>
          <c:yVal>
            <c:numRef>
              <c:f>'Raja calc'!$G$18:$G$29</c:f>
              <c:numCache>
                <c:ptCount val="12"/>
                <c:pt idx="0">
                  <c:v>0.821798976879117</c:v>
                </c:pt>
                <c:pt idx="1">
                  <c:v>0.6526668660117337</c:v>
                </c:pt>
                <c:pt idx="2">
                  <c:v>0.5358552169483038</c:v>
                </c:pt>
                <c:pt idx="3">
                  <c:v>0.4972177442007228</c:v>
                </c:pt>
                <c:pt idx="4">
                  <c:v>0.41494010849423496</c:v>
                </c:pt>
                <c:pt idx="5">
                  <c:v>0.3216519512311185</c:v>
                </c:pt>
                <c:pt idx="6">
                  <c:v>0.22851897969731957</c:v>
                </c:pt>
                <c:pt idx="7">
                  <c:v>0.1464760084502622</c:v>
                </c:pt>
                <c:pt idx="8">
                  <c:v>0.08205194539126773</c:v>
                </c:pt>
                <c:pt idx="9">
                  <c:v>0.03761231213729826</c:v>
                </c:pt>
                <c:pt idx="10">
                  <c:v>0.012104769370182372</c:v>
                </c:pt>
                <c:pt idx="11">
                  <c:v>0.0016671956881006565</c:v>
                </c:pt>
              </c:numCache>
            </c:numRef>
          </c:yVal>
          <c:smooth val="1"/>
        </c:ser>
        <c:axId val="3230770"/>
        <c:axId val="29076931"/>
      </c:scatterChart>
      <c:valAx>
        <c:axId val="3230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Momentum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76931"/>
        <c:crosses val="autoZero"/>
        <c:crossBetween val="midCat"/>
        <c:dispUnits/>
      </c:valAx>
      <c:valAx>
        <c:axId val="29076931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Number/Gev/c/Steradian/Interaction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0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"/>
          <c:y val="0.43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55</xdr:row>
      <xdr:rowOff>142875</xdr:rowOff>
    </xdr:from>
    <xdr:to>
      <xdr:col>18</xdr:col>
      <xdr:colOff>847725</xdr:colOff>
      <xdr:row>82</xdr:row>
      <xdr:rowOff>0</xdr:rowOff>
    </xdr:to>
    <xdr:graphicFrame>
      <xdr:nvGraphicFramePr>
        <xdr:cNvPr id="1" name="Chart 5"/>
        <xdr:cNvGraphicFramePr/>
      </xdr:nvGraphicFramePr>
      <xdr:xfrm>
        <a:off x="11468100" y="8524875"/>
        <a:ext cx="92297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25</xdr:row>
      <xdr:rowOff>28575</xdr:rowOff>
    </xdr:from>
    <xdr:to>
      <xdr:col>18</xdr:col>
      <xdr:colOff>676275</xdr:colOff>
      <xdr:row>49</xdr:row>
      <xdr:rowOff>76200</xdr:rowOff>
    </xdr:to>
    <xdr:graphicFrame>
      <xdr:nvGraphicFramePr>
        <xdr:cNvPr id="2" name="Chart 6"/>
        <xdr:cNvGraphicFramePr/>
      </xdr:nvGraphicFramePr>
      <xdr:xfrm>
        <a:off x="11296650" y="3838575"/>
        <a:ext cx="922972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N65"/>
  <sheetViews>
    <sheetView tabSelected="1" view="pageBreakPreview" zoomScale="60" workbookViewId="0" topLeftCell="A20">
      <selection activeCell="C20" sqref="C20:L65"/>
    </sheetView>
  </sheetViews>
  <sheetFormatPr defaultColWidth="9.00390625" defaultRowHeight="12"/>
  <cols>
    <col min="1" max="6" width="11.375" style="0" customWidth="1"/>
    <col min="7" max="7" width="16.00390625" style="0" customWidth="1"/>
    <col min="8" max="8" width="14.25390625" style="0" customWidth="1"/>
    <col min="9" max="9" width="11.375" style="0" customWidth="1"/>
    <col min="10" max="10" width="14.375" style="0" customWidth="1"/>
    <col min="11" max="16384" width="11.375" style="0" customWidth="1"/>
  </cols>
  <sheetData>
    <row r="4" spans="3:9" ht="12">
      <c r="C4" s="2"/>
      <c r="D4" s="2"/>
      <c r="E4" s="2"/>
      <c r="F4" s="2"/>
      <c r="G4" s="2"/>
      <c r="H4" s="2"/>
      <c r="I4" s="31"/>
    </row>
    <row r="5" ht="12">
      <c r="G5" s="7"/>
    </row>
    <row r="6" ht="12">
      <c r="G6" s="7"/>
    </row>
    <row r="7" spans="3:9" ht="12">
      <c r="C7" s="32"/>
      <c r="D7" s="33"/>
      <c r="E7" s="33"/>
      <c r="F7" s="33"/>
      <c r="G7" s="34"/>
      <c r="H7" s="35"/>
      <c r="I7" s="31"/>
    </row>
    <row r="8" spans="3:10" ht="12">
      <c r="C8" s="31"/>
      <c r="D8" s="31"/>
      <c r="E8" s="31"/>
      <c r="G8" s="36"/>
      <c r="H8" s="31"/>
      <c r="I8" s="31"/>
      <c r="J8" s="7"/>
    </row>
    <row r="9" spans="7:10" ht="12">
      <c r="G9" s="7"/>
      <c r="J9" s="7"/>
    </row>
    <row r="10" spans="7:10" ht="12">
      <c r="G10" s="7"/>
      <c r="J10" s="7"/>
    </row>
    <row r="11" spans="7:10" ht="12">
      <c r="G11" s="7"/>
      <c r="J11" s="7"/>
    </row>
    <row r="12" spans="7:10" ht="12">
      <c r="G12" s="7"/>
      <c r="J12" s="7"/>
    </row>
    <row r="13" spans="7:10" ht="12">
      <c r="G13" s="7"/>
      <c r="J13" s="7"/>
    </row>
    <row r="14" spans="7:10" ht="12">
      <c r="G14" s="7"/>
      <c r="J14" s="7"/>
    </row>
    <row r="15" spans="7:10" ht="12">
      <c r="G15" s="7"/>
      <c r="J15" s="7"/>
    </row>
    <row r="16" spans="7:10" ht="12">
      <c r="G16" s="7"/>
      <c r="J16" s="7"/>
    </row>
    <row r="17" spans="7:10" ht="12">
      <c r="G17" s="7"/>
      <c r="J17" s="7"/>
    </row>
    <row r="18" spans="7:10" ht="12">
      <c r="G18" s="7"/>
      <c r="J18" s="7"/>
    </row>
    <row r="19" spans="7:10" ht="12">
      <c r="G19" s="7"/>
      <c r="J19" s="7"/>
    </row>
    <row r="20" spans="5:10" ht="12">
      <c r="E20" t="s">
        <v>190</v>
      </c>
      <c r="G20" s="7"/>
      <c r="J20" s="7"/>
    </row>
    <row r="21" spans="10:11" ht="12">
      <c r="J21" s="7"/>
      <c r="K21" s="15"/>
    </row>
    <row r="22" ht="12">
      <c r="E22" t="s">
        <v>191</v>
      </c>
    </row>
    <row r="27" spans="10:11" ht="12">
      <c r="J27" t="s">
        <v>179</v>
      </c>
      <c r="K27" t="s">
        <v>182</v>
      </c>
    </row>
    <row r="28" spans="3:11" ht="12">
      <c r="C28" t="s">
        <v>121</v>
      </c>
      <c r="D28" t="s">
        <v>123</v>
      </c>
      <c r="E28" t="s">
        <v>124</v>
      </c>
      <c r="F28" t="s">
        <v>136</v>
      </c>
      <c r="G28" t="s">
        <v>138</v>
      </c>
      <c r="H28" t="s">
        <v>174</v>
      </c>
      <c r="I28" t="s">
        <v>138</v>
      </c>
      <c r="J28" s="41" t="s">
        <v>180</v>
      </c>
      <c r="K28" t="s">
        <v>183</v>
      </c>
    </row>
    <row r="29" spans="6:11" ht="12">
      <c r="F29" t="s">
        <v>137</v>
      </c>
      <c r="G29" t="s">
        <v>139</v>
      </c>
      <c r="H29" t="s">
        <v>176</v>
      </c>
      <c r="I29" t="s">
        <v>178</v>
      </c>
      <c r="J29" t="s">
        <v>181</v>
      </c>
      <c r="K29" t="s">
        <v>178</v>
      </c>
    </row>
    <row r="31" spans="3:11" ht="12">
      <c r="C31" t="s">
        <v>125</v>
      </c>
      <c r="D31" t="s">
        <v>126</v>
      </c>
      <c r="E31">
        <f>3.3</f>
        <v>3.3</v>
      </c>
      <c r="F31">
        <v>125000</v>
      </c>
      <c r="G31" s="7">
        <v>20625000000</v>
      </c>
      <c r="H31" s="9">
        <f>E31*$F$65</f>
        <v>17.187499999999996</v>
      </c>
      <c r="I31" s="9">
        <f>E31*3000000</f>
        <v>9900000</v>
      </c>
      <c r="J31" s="9">
        <f>H31*0.2</f>
        <v>3.4374999999999996</v>
      </c>
      <c r="K31">
        <f>I31*0.2</f>
        <v>1980000</v>
      </c>
    </row>
    <row r="32" spans="3:11" ht="12">
      <c r="C32" t="s">
        <v>128</v>
      </c>
      <c r="D32" t="s">
        <v>129</v>
      </c>
      <c r="E32">
        <v>6</v>
      </c>
      <c r="F32" s="7">
        <v>9759183899.17518</v>
      </c>
      <c r="G32" s="7">
        <v>2927755169752554</v>
      </c>
      <c r="H32" s="9">
        <f aca="true" t="shared" si="0" ref="H32:H41">E32*$F$65</f>
        <v>31.25</v>
      </c>
      <c r="I32" s="9">
        <f aca="true" t="shared" si="1" ref="I32:I41">E32*3000000</f>
        <v>18000000</v>
      </c>
      <c r="J32" s="9">
        <f aca="true" t="shared" si="2" ref="J32:K41">H32*0.2</f>
        <v>6.25</v>
      </c>
      <c r="K32">
        <f t="shared" si="2"/>
        <v>3600000</v>
      </c>
    </row>
    <row r="33" spans="3:11" ht="12">
      <c r="C33" t="s">
        <v>177</v>
      </c>
      <c r="D33" t="s">
        <v>134</v>
      </c>
      <c r="E33">
        <v>2</v>
      </c>
      <c r="F33" s="7">
        <v>9759183899.17518</v>
      </c>
      <c r="G33" s="7">
        <v>2927755169752554</v>
      </c>
      <c r="H33" s="9">
        <f t="shared" si="0"/>
        <v>10.416666666666666</v>
      </c>
      <c r="I33" s="9">
        <f t="shared" si="1"/>
        <v>6000000</v>
      </c>
      <c r="J33" s="9">
        <f t="shared" si="2"/>
        <v>2.0833333333333335</v>
      </c>
      <c r="K33">
        <f t="shared" si="2"/>
        <v>1200000</v>
      </c>
    </row>
    <row r="34" spans="3:11" ht="12">
      <c r="C34" t="s">
        <v>130</v>
      </c>
      <c r="D34" t="s">
        <v>175</v>
      </c>
      <c r="E34">
        <v>4</v>
      </c>
      <c r="F34" s="7">
        <v>9759183899.17518</v>
      </c>
      <c r="G34" s="7">
        <v>1951836779835036</v>
      </c>
      <c r="H34" s="9">
        <f t="shared" si="0"/>
        <v>20.833333333333332</v>
      </c>
      <c r="I34" s="9">
        <f t="shared" si="1"/>
        <v>12000000</v>
      </c>
      <c r="J34" s="9">
        <f t="shared" si="2"/>
        <v>4.166666666666667</v>
      </c>
      <c r="K34">
        <f t="shared" si="2"/>
        <v>2400000</v>
      </c>
    </row>
    <row r="35" spans="3:11" ht="12">
      <c r="C35" t="s">
        <v>32</v>
      </c>
      <c r="D35" t="s">
        <v>133</v>
      </c>
      <c r="E35">
        <v>2</v>
      </c>
      <c r="F35" s="7">
        <v>9759183899.17518</v>
      </c>
      <c r="G35" s="7">
        <v>975918389917518</v>
      </c>
      <c r="H35" s="9">
        <f t="shared" si="0"/>
        <v>10.416666666666666</v>
      </c>
      <c r="I35" s="9">
        <f t="shared" si="1"/>
        <v>6000000</v>
      </c>
      <c r="J35" s="9">
        <f t="shared" si="2"/>
        <v>2.0833333333333335</v>
      </c>
      <c r="K35">
        <f t="shared" si="2"/>
        <v>1200000</v>
      </c>
    </row>
    <row r="36" spans="3:11" ht="12">
      <c r="C36" t="s">
        <v>32</v>
      </c>
      <c r="D36" t="s">
        <v>134</v>
      </c>
      <c r="E36">
        <v>1</v>
      </c>
      <c r="F36" s="7">
        <v>9759183899.17518</v>
      </c>
      <c r="G36" s="7">
        <v>487959194958759</v>
      </c>
      <c r="H36" s="9">
        <f t="shared" si="0"/>
        <v>5.208333333333333</v>
      </c>
      <c r="I36" s="9">
        <f t="shared" si="1"/>
        <v>3000000</v>
      </c>
      <c r="J36" s="9">
        <f t="shared" si="2"/>
        <v>1.0416666666666667</v>
      </c>
      <c r="K36">
        <f t="shared" si="2"/>
        <v>600000</v>
      </c>
    </row>
    <row r="37" spans="3:11" ht="12">
      <c r="C37" t="s">
        <v>69</v>
      </c>
      <c r="D37" t="s">
        <v>134</v>
      </c>
      <c r="E37">
        <v>1</v>
      </c>
      <c r="F37" s="7">
        <v>9759183899.17518</v>
      </c>
      <c r="G37" s="7">
        <v>487959194958759</v>
      </c>
      <c r="H37" s="9">
        <f t="shared" si="0"/>
        <v>5.208333333333333</v>
      </c>
      <c r="I37" s="9">
        <f t="shared" si="1"/>
        <v>3000000</v>
      </c>
      <c r="J37" s="9">
        <f t="shared" si="2"/>
        <v>1.0416666666666667</v>
      </c>
      <c r="K37">
        <f t="shared" si="2"/>
        <v>600000</v>
      </c>
    </row>
    <row r="38" spans="3:11" ht="12">
      <c r="C38" t="s">
        <v>33</v>
      </c>
      <c r="D38" t="s">
        <v>133</v>
      </c>
      <c r="E38">
        <v>2</v>
      </c>
      <c r="F38" s="7">
        <v>9759183899.17518</v>
      </c>
      <c r="G38" s="7">
        <v>975918389917518</v>
      </c>
      <c r="H38" s="9">
        <f t="shared" si="0"/>
        <v>10.416666666666666</v>
      </c>
      <c r="I38" s="9">
        <f t="shared" si="1"/>
        <v>6000000</v>
      </c>
      <c r="J38" s="9">
        <f t="shared" si="2"/>
        <v>2.0833333333333335</v>
      </c>
      <c r="K38">
        <f t="shared" si="2"/>
        <v>1200000</v>
      </c>
    </row>
    <row r="39" spans="3:11" ht="12">
      <c r="C39" t="s">
        <v>33</v>
      </c>
      <c r="D39" t="s">
        <v>134</v>
      </c>
      <c r="E39">
        <v>1</v>
      </c>
      <c r="F39" s="7">
        <v>9759183899.17518</v>
      </c>
      <c r="G39" s="7">
        <v>487959194958759</v>
      </c>
      <c r="H39" s="9">
        <f t="shared" si="0"/>
        <v>5.208333333333333</v>
      </c>
      <c r="I39" s="9">
        <f t="shared" si="1"/>
        <v>3000000</v>
      </c>
      <c r="J39" s="9">
        <f t="shared" si="2"/>
        <v>1.0416666666666667</v>
      </c>
      <c r="K39">
        <f t="shared" si="2"/>
        <v>600000</v>
      </c>
    </row>
    <row r="40" spans="3:11" ht="12">
      <c r="C40" t="s">
        <v>132</v>
      </c>
      <c r="D40" t="s">
        <v>133</v>
      </c>
      <c r="E40">
        <v>2</v>
      </c>
      <c r="F40" s="7">
        <v>9759183899.17518</v>
      </c>
      <c r="G40" s="7">
        <v>975918389917518</v>
      </c>
      <c r="H40" s="9">
        <f t="shared" si="0"/>
        <v>10.416666666666666</v>
      </c>
      <c r="I40" s="9">
        <f t="shared" si="1"/>
        <v>6000000</v>
      </c>
      <c r="J40" s="9">
        <f t="shared" si="2"/>
        <v>2.0833333333333335</v>
      </c>
      <c r="K40">
        <f t="shared" si="2"/>
        <v>1200000</v>
      </c>
    </row>
    <row r="41" spans="3:14" ht="12">
      <c r="C41" t="s">
        <v>132</v>
      </c>
      <c r="D41" t="s">
        <v>134</v>
      </c>
      <c r="E41">
        <v>1</v>
      </c>
      <c r="F41" s="7">
        <v>9759183899.17518</v>
      </c>
      <c r="G41" s="7">
        <v>487959194958759</v>
      </c>
      <c r="H41" s="9">
        <f t="shared" si="0"/>
        <v>5.208333333333333</v>
      </c>
      <c r="I41" s="9">
        <f t="shared" si="1"/>
        <v>3000000</v>
      </c>
      <c r="J41" s="9">
        <f t="shared" si="2"/>
        <v>1.0416666666666667</v>
      </c>
      <c r="K41">
        <f t="shared" si="2"/>
        <v>600000</v>
      </c>
      <c r="N41" s="7"/>
    </row>
    <row r="42" ht="12">
      <c r="G42" s="7"/>
    </row>
    <row r="43" spans="3:14" ht="12">
      <c r="C43" t="s">
        <v>141</v>
      </c>
      <c r="E43">
        <v>26.6</v>
      </c>
      <c r="G43">
        <v>9759225149175180</v>
      </c>
      <c r="H43" s="9">
        <f>SUM(H31:H41)</f>
        <v>131.77083333333334</v>
      </c>
      <c r="I43" s="9"/>
      <c r="J43" s="9">
        <f>SUM(J31:J41)</f>
        <v>26.354166666666668</v>
      </c>
      <c r="N43" s="1"/>
    </row>
    <row r="44" ht="12">
      <c r="N44" s="1"/>
    </row>
    <row r="46" spans="8:12" ht="12">
      <c r="H46" t="s">
        <v>70</v>
      </c>
      <c r="I46" t="s">
        <v>174</v>
      </c>
      <c r="J46" t="s">
        <v>105</v>
      </c>
      <c r="K46" t="s">
        <v>187</v>
      </c>
      <c r="L46" t="s">
        <v>188</v>
      </c>
    </row>
    <row r="48" spans="7:12" ht="12">
      <c r="G48" t="s">
        <v>184</v>
      </c>
      <c r="H48">
        <f>E32+E33</f>
        <v>8</v>
      </c>
      <c r="I48" s="9">
        <f>H48*$F$65</f>
        <v>41.666666666666664</v>
      </c>
      <c r="J48" s="7">
        <f>H48*3000000</f>
        <v>24000000</v>
      </c>
      <c r="K48" s="9">
        <f>I48*0.2</f>
        <v>8.333333333333334</v>
      </c>
      <c r="L48" s="7">
        <f>J48*0.2</f>
        <v>4800000</v>
      </c>
    </row>
    <row r="49" spans="9:12" ht="12">
      <c r="I49" s="9" t="s">
        <v>158</v>
      </c>
      <c r="J49" s="7" t="s">
        <v>158</v>
      </c>
      <c r="K49" s="9"/>
      <c r="L49" s="7" t="s">
        <v>158</v>
      </c>
    </row>
    <row r="50" spans="7:12" ht="12">
      <c r="G50" t="s">
        <v>133</v>
      </c>
      <c r="H50">
        <f>E35+E38+E40</f>
        <v>6</v>
      </c>
      <c r="I50" s="9">
        <f aca="true" t="shared" si="3" ref="I50:I56">H50*$F$65</f>
        <v>31.25</v>
      </c>
      <c r="J50" s="7">
        <f aca="true" t="shared" si="4" ref="J50:J56">H50*3000000</f>
        <v>18000000</v>
      </c>
      <c r="K50" s="9">
        <f aca="true" t="shared" si="5" ref="K50:K56">I50*0.2</f>
        <v>6.25</v>
      </c>
      <c r="L50" s="7">
        <f aca="true" t="shared" si="6" ref="L50:L56">J50*0.2</f>
        <v>3600000</v>
      </c>
    </row>
    <row r="51" spans="9:12" ht="12">
      <c r="I51" s="9" t="s">
        <v>158</v>
      </c>
      <c r="J51" s="7" t="s">
        <v>158</v>
      </c>
      <c r="K51" s="9" t="s">
        <v>158</v>
      </c>
      <c r="L51" s="7" t="s">
        <v>158</v>
      </c>
    </row>
    <row r="52" spans="7:12" ht="12">
      <c r="G52" t="s">
        <v>185</v>
      </c>
      <c r="H52">
        <f>E36+E37+E39+E41</f>
        <v>4</v>
      </c>
      <c r="I52" s="9">
        <f t="shared" si="3"/>
        <v>20.833333333333332</v>
      </c>
      <c r="J52" s="7">
        <f t="shared" si="4"/>
        <v>12000000</v>
      </c>
      <c r="K52" s="9">
        <f t="shared" si="5"/>
        <v>4.166666666666667</v>
      </c>
      <c r="L52" s="7">
        <f t="shared" si="6"/>
        <v>2400000</v>
      </c>
    </row>
    <row r="53" spans="9:12" ht="12">
      <c r="I53" s="9" t="s">
        <v>158</v>
      </c>
      <c r="J53" s="7" t="s">
        <v>158</v>
      </c>
      <c r="K53" s="9" t="s">
        <v>158</v>
      </c>
      <c r="L53" s="7" t="s">
        <v>158</v>
      </c>
    </row>
    <row r="54" spans="7:12" ht="12">
      <c r="G54" t="s">
        <v>186</v>
      </c>
      <c r="H54">
        <f>E31</f>
        <v>3.3</v>
      </c>
      <c r="I54" s="9">
        <f t="shared" si="3"/>
        <v>17.187499999999996</v>
      </c>
      <c r="J54" s="7">
        <f t="shared" si="4"/>
        <v>9900000</v>
      </c>
      <c r="K54" s="9">
        <f t="shared" si="5"/>
        <v>3.4374999999999996</v>
      </c>
      <c r="L54" s="7">
        <f t="shared" si="6"/>
        <v>1980000</v>
      </c>
    </row>
    <row r="55" spans="3:12" ht="12">
      <c r="C55" t="s">
        <v>166</v>
      </c>
      <c r="F55">
        <f>20</f>
        <v>20</v>
      </c>
      <c r="I55" s="9" t="s">
        <v>158</v>
      </c>
      <c r="J55" s="7" t="s">
        <v>158</v>
      </c>
      <c r="K55" s="9" t="s">
        <v>158</v>
      </c>
      <c r="L55" s="7" t="s">
        <v>158</v>
      </c>
    </row>
    <row r="56" spans="3:12" ht="12">
      <c r="C56" t="s">
        <v>167</v>
      </c>
      <c r="F56">
        <v>60</v>
      </c>
      <c r="G56" t="s">
        <v>189</v>
      </c>
      <c r="H56">
        <f>E34</f>
        <v>4</v>
      </c>
      <c r="I56" s="9">
        <f t="shared" si="3"/>
        <v>20.833333333333332</v>
      </c>
      <c r="J56" s="7">
        <f t="shared" si="4"/>
        <v>12000000</v>
      </c>
      <c r="K56" s="9">
        <f t="shared" si="5"/>
        <v>4.166666666666667</v>
      </c>
      <c r="L56" s="7">
        <f t="shared" si="6"/>
        <v>2400000</v>
      </c>
    </row>
    <row r="57" spans="3:6" ht="12">
      <c r="C57" t="s">
        <v>168</v>
      </c>
      <c r="F57">
        <f>F55*F56*60*24</f>
        <v>1728000</v>
      </c>
    </row>
    <row r="58" spans="3:6" ht="12">
      <c r="C58" t="s">
        <v>169</v>
      </c>
      <c r="F58">
        <f>F57/3</f>
        <v>576000</v>
      </c>
    </row>
    <row r="60" spans="3:6" ht="12">
      <c r="C60" t="s">
        <v>170</v>
      </c>
      <c r="F60">
        <f>F58/24</f>
        <v>24000</v>
      </c>
    </row>
    <row r="62" spans="3:6" ht="12">
      <c r="C62" t="s">
        <v>171</v>
      </c>
      <c r="F62" s="7">
        <v>3000000</v>
      </c>
    </row>
    <row r="64" spans="3:6" ht="12">
      <c r="C64" t="s">
        <v>172</v>
      </c>
      <c r="F64" s="1">
        <f>F62/F60</f>
        <v>125</v>
      </c>
    </row>
    <row r="65" spans="3:6" ht="12">
      <c r="C65" t="s">
        <v>173</v>
      </c>
      <c r="F65" s="1">
        <f>F64/24</f>
        <v>5.208333333333333</v>
      </c>
    </row>
  </sheetData>
  <printOptions/>
  <pageMargins left="0.75" right="0.75" top="1" bottom="1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58"/>
  <sheetViews>
    <sheetView workbookViewId="0" topLeftCell="H219">
      <selection activeCell="K236" sqref="K236:O251"/>
    </sheetView>
  </sheetViews>
  <sheetFormatPr defaultColWidth="9.00390625" defaultRowHeight="12"/>
  <cols>
    <col min="1" max="2" width="11.375" style="0" customWidth="1"/>
    <col min="3" max="3" width="13.875" style="0" customWidth="1"/>
    <col min="4" max="7" width="11.375" style="0" customWidth="1"/>
    <col min="8" max="8" width="11.125" style="0" bestFit="1" customWidth="1"/>
    <col min="9" max="9" width="11.375" style="0" customWidth="1"/>
    <col min="10" max="11" width="21.625" style="0" customWidth="1"/>
    <col min="12" max="12" width="16.25390625" style="0" customWidth="1"/>
    <col min="13" max="13" width="12.625" style="0" customWidth="1"/>
    <col min="14" max="14" width="17.125" style="0" customWidth="1"/>
    <col min="15" max="15" width="17.75390625" style="0" customWidth="1"/>
    <col min="16" max="16" width="19.125" style="0" customWidth="1"/>
    <col min="17" max="17" width="18.375" style="0" customWidth="1"/>
    <col min="18" max="18" width="11.375" style="0" customWidth="1"/>
    <col min="19" max="19" width="20.25390625" style="0" customWidth="1"/>
    <col min="20" max="20" width="17.875" style="0" customWidth="1"/>
    <col min="21" max="21" width="15.00390625" style="0" customWidth="1"/>
    <col min="22" max="22" width="15.625" style="0" customWidth="1"/>
    <col min="23" max="16384" width="11.375" style="0" customWidth="1"/>
  </cols>
  <sheetData>
    <row r="2" ht="12">
      <c r="B2" t="s">
        <v>0</v>
      </c>
    </row>
    <row r="3" ht="12">
      <c r="L3" t="s">
        <v>40</v>
      </c>
    </row>
    <row r="4" spans="2:16" ht="12">
      <c r="B4">
        <v>120</v>
      </c>
      <c r="C4" t="s">
        <v>1</v>
      </c>
      <c r="M4" s="1">
        <v>0.58</v>
      </c>
      <c r="N4" s="1">
        <v>0.58</v>
      </c>
      <c r="O4" s="1">
        <v>0.58</v>
      </c>
      <c r="P4" s="1">
        <v>0.58</v>
      </c>
    </row>
    <row r="5" spans="2:16" ht="12">
      <c r="B5" t="s">
        <v>11</v>
      </c>
      <c r="C5" t="s">
        <v>35</v>
      </c>
      <c r="D5" t="s">
        <v>34</v>
      </c>
      <c r="M5" s="1">
        <v>-0.545</v>
      </c>
      <c r="N5" s="1">
        <v>-0.495</v>
      </c>
      <c r="O5" s="1">
        <v>-0.62</v>
      </c>
      <c r="P5" s="1">
        <v>-0.77</v>
      </c>
    </row>
    <row r="6" spans="1:16" ht="12">
      <c r="A6" t="s">
        <v>32</v>
      </c>
      <c r="B6">
        <v>9.01</v>
      </c>
      <c r="C6">
        <v>1.848</v>
      </c>
      <c r="D6">
        <v>585</v>
      </c>
      <c r="E6">
        <v>585</v>
      </c>
      <c r="F6">
        <v>657</v>
      </c>
      <c r="G6">
        <v>657</v>
      </c>
      <c r="H6">
        <v>435</v>
      </c>
      <c r="I6">
        <v>492</v>
      </c>
      <c r="K6" s="2" t="s">
        <v>2</v>
      </c>
      <c r="L6" s="3" t="s">
        <v>3</v>
      </c>
      <c r="M6" s="2" t="s">
        <v>4</v>
      </c>
      <c r="N6" s="2" t="s">
        <v>5</v>
      </c>
      <c r="O6" s="2" t="s">
        <v>6</v>
      </c>
      <c r="P6" s="2" t="s">
        <v>7</v>
      </c>
    </row>
    <row r="7" spans="1:16" ht="12">
      <c r="A7" t="s">
        <v>33</v>
      </c>
      <c r="B7">
        <v>63.5</v>
      </c>
      <c r="C7" s="18">
        <v>8.96</v>
      </c>
      <c r="D7" s="15">
        <f aca="true" t="shared" si="0" ref="D7:I7">D6*($C6/$C7)*($B7/$B6)^0.3</f>
        <v>216.75269380467864</v>
      </c>
      <c r="E7" s="15">
        <f t="shared" si="0"/>
        <v>216.75269380467864</v>
      </c>
      <c r="F7" s="15">
        <f t="shared" si="0"/>
        <v>243.42994842679295</v>
      </c>
      <c r="G7" s="15">
        <f t="shared" si="0"/>
        <v>243.42994842679295</v>
      </c>
      <c r="H7" s="15">
        <f t="shared" si="0"/>
        <v>161.1750800086072</v>
      </c>
      <c r="I7" s="15">
        <f t="shared" si="0"/>
        <v>182.29457325111434</v>
      </c>
      <c r="K7">
        <v>5</v>
      </c>
      <c r="L7" s="4">
        <f aca="true" t="shared" si="1" ref="L7:L18">K7/$B$4</f>
        <v>0.041666666666666664</v>
      </c>
      <c r="M7" s="9">
        <f>M$4+M$5*LOG10($L7)</f>
        <v>1.3322151267328253</v>
      </c>
      <c r="N7" s="9">
        <f>N$4+N$5*LOG10($L7)</f>
        <v>1.263204564647245</v>
      </c>
      <c r="O7" s="9">
        <f>O$4+O$5*LOG10($L7)</f>
        <v>1.4357309698611957</v>
      </c>
      <c r="P7" s="9">
        <f>P$4+P$5*LOG10($L7)</f>
        <v>1.6427626561179367</v>
      </c>
    </row>
    <row r="8" spans="1:16" ht="12">
      <c r="A8">
        <f>7.874*25.4</f>
        <v>199.9996</v>
      </c>
      <c r="B8" t="s">
        <v>146</v>
      </c>
      <c r="K8">
        <v>15</v>
      </c>
      <c r="L8" s="4">
        <f>K8/$B$4</f>
        <v>0.125</v>
      </c>
      <c r="M8" s="9">
        <f>M$4+M$5*LOG10($L8)</f>
        <v>1.0721840429106093</v>
      </c>
      <c r="N8" s="9">
        <f aca="true" t="shared" si="2" ref="M8:P18">N$4+N$5*LOG10($L8)</f>
        <v>1.027029543561012</v>
      </c>
      <c r="O8" s="9">
        <f t="shared" si="2"/>
        <v>1.139915791935005</v>
      </c>
      <c r="P8" s="9">
        <f t="shared" si="2"/>
        <v>1.2753792899837966</v>
      </c>
    </row>
    <row r="9" spans="3:16" ht="12">
      <c r="C9" t="s">
        <v>37</v>
      </c>
      <c r="D9" s="5">
        <f>(EXP(-$A$8/D$7)-EXP(-$A$8/$I$7))/(1-$I$7/D$7)</f>
        <v>0.4001333973183683</v>
      </c>
      <c r="E9" s="5">
        <f>(EXP(-$A$8/E$7)-EXP(-$A$8/$I$7))/(1-$I$7/E$7)</f>
        <v>0.4001333973183683</v>
      </c>
      <c r="F9" s="5">
        <f>(EXP(-$A$8/F$7)-EXP(-$A$8/$I$7))/(1-$I$7/F$7)</f>
        <v>0.4216819872369936</v>
      </c>
      <c r="G9" s="5">
        <f>(EXP(-$A$8/G$7)-EXP(-$A$8/$I$7))/(1-$I$7/G$7)</f>
        <v>0.4216819872369936</v>
      </c>
      <c r="H9" s="5">
        <f>(EXP(-$A$8/H$7)-EXP(-$A$8/$I$7))/(1-$I$7/H$7)</f>
        <v>0.3411437917720088</v>
      </c>
      <c r="I9" s="5">
        <f>($A$8/I$7)*EXP(-$A$8/$I$7)</f>
        <v>0.36625271122038205</v>
      </c>
      <c r="K9">
        <v>25</v>
      </c>
      <c r="L9" s="4">
        <f t="shared" si="1"/>
        <v>0.20833333333333334</v>
      </c>
      <c r="M9" s="9">
        <f t="shared" si="2"/>
        <v>0.951276474369695</v>
      </c>
      <c r="N9" s="9">
        <f t="shared" si="2"/>
        <v>0.9172144125009156</v>
      </c>
      <c r="O9" s="9">
        <f t="shared" si="2"/>
        <v>1.002369567172864</v>
      </c>
      <c r="P9" s="9">
        <f t="shared" si="2"/>
        <v>1.104555752779202</v>
      </c>
    </row>
    <row r="10" spans="3:16" ht="12">
      <c r="C10" t="s">
        <v>38</v>
      </c>
      <c r="D10" s="5">
        <f>(EXP(-500/D$6)-EXP(-500/$I$6))/(1-$I$6/D$6)</f>
        <v>0.39921154906830636</v>
      </c>
      <c r="E10" s="5">
        <f>(EXP(-500/E$6)-EXP(-500/$I$6))/(1-$I$6/E$6)</f>
        <v>0.39921154906830636</v>
      </c>
      <c r="F10" s="5">
        <f>(EXP(-500/F$6)-EXP(-500/$I$6))/(1-$I$6/F$6)</f>
        <v>0.4190330376618521</v>
      </c>
      <c r="G10" s="5">
        <f>(EXP(-500/G$6)-EXP(-500/$I$6))/(1-$I$6/G$6)</f>
        <v>0.4190330376618521</v>
      </c>
      <c r="H10" s="5">
        <f>(EXP(-500/H$6)-EXP(-500/$I$6))/(1-$I$6/H$6)</f>
        <v>0.34439205380523247</v>
      </c>
      <c r="I10" s="5">
        <f>(500/I$6)*EXP(-500/$I$6)</f>
        <v>0.36783133279689706</v>
      </c>
      <c r="K10">
        <v>30</v>
      </c>
      <c r="L10" s="4">
        <f t="shared" si="1"/>
        <v>0.25</v>
      </c>
      <c r="M10" s="9">
        <f t="shared" si="2"/>
        <v>0.9081226952737396</v>
      </c>
      <c r="N10" s="9">
        <f t="shared" si="2"/>
        <v>0.8780196957073414</v>
      </c>
      <c r="O10" s="9">
        <f t="shared" si="2"/>
        <v>0.9532771946233367</v>
      </c>
      <c r="P10" s="9">
        <f t="shared" si="2"/>
        <v>1.043586193322531</v>
      </c>
    </row>
    <row r="11" spans="3:16" ht="12">
      <c r="C11" s="2" t="s">
        <v>39</v>
      </c>
      <c r="D11" s="19">
        <f aca="true" t="shared" si="3" ref="D11:I11">D9/D10</f>
        <v>1.0023091722977788</v>
      </c>
      <c r="E11" s="19">
        <f t="shared" si="3"/>
        <v>1.0023091722977788</v>
      </c>
      <c r="F11" s="19">
        <f t="shared" si="3"/>
        <v>1.0063215769093585</v>
      </c>
      <c r="G11" s="19">
        <f t="shared" si="3"/>
        <v>1.0063215769093585</v>
      </c>
      <c r="H11" s="19">
        <f t="shared" si="3"/>
        <v>0.9905681272336769</v>
      </c>
      <c r="I11" s="19">
        <f t="shared" si="3"/>
        <v>0.995708300419892</v>
      </c>
      <c r="K11">
        <v>40</v>
      </c>
      <c r="L11" s="4">
        <f t="shared" si="1"/>
        <v>0.3333333333333333</v>
      </c>
      <c r="M11" s="9">
        <f t="shared" si="2"/>
        <v>0.840031083822216</v>
      </c>
      <c r="N11" s="9">
        <f t="shared" si="2"/>
        <v>0.8161750210862329</v>
      </c>
      <c r="O11" s="9">
        <f t="shared" si="2"/>
        <v>0.8758151779261907</v>
      </c>
      <c r="P11" s="9">
        <f t="shared" si="2"/>
        <v>0.94738336613414</v>
      </c>
    </row>
    <row r="12" spans="3:16" ht="12">
      <c r="C12" t="s">
        <v>11</v>
      </c>
      <c r="D12" s="1">
        <v>4.122</v>
      </c>
      <c r="E12" s="1">
        <v>3.598</v>
      </c>
      <c r="F12" s="1">
        <v>6.107</v>
      </c>
      <c r="G12" s="1">
        <v>2.924</v>
      </c>
      <c r="H12" s="1">
        <v>7.99</v>
      </c>
      <c r="I12" s="1">
        <v>1.708</v>
      </c>
      <c r="K12">
        <v>50</v>
      </c>
      <c r="L12" s="4">
        <f t="shared" si="1"/>
        <v>0.4166666666666667</v>
      </c>
      <c r="M12" s="9">
        <f t="shared" si="2"/>
        <v>0.7872151267328252</v>
      </c>
      <c r="N12" s="9">
        <f t="shared" si="2"/>
        <v>0.768204564647245</v>
      </c>
      <c r="O12" s="9">
        <f t="shared" si="2"/>
        <v>0.8157309698611956</v>
      </c>
      <c r="P12" s="9">
        <f t="shared" si="2"/>
        <v>0.8727626561179367</v>
      </c>
    </row>
    <row r="13" spans="3:16" ht="12">
      <c r="C13" t="s">
        <v>12</v>
      </c>
      <c r="D13" s="1">
        <v>70.6</v>
      </c>
      <c r="E13" s="1">
        <v>177.2</v>
      </c>
      <c r="F13" s="1">
        <v>12.33</v>
      </c>
      <c r="G13" s="1">
        <v>14.15</v>
      </c>
      <c r="H13" s="1">
        <v>5.81</v>
      </c>
      <c r="I13" s="1">
        <v>3.51</v>
      </c>
      <c r="K13">
        <v>60</v>
      </c>
      <c r="L13" s="4">
        <f t="shared" si="1"/>
        <v>0.5</v>
      </c>
      <c r="M13" s="9">
        <f t="shared" si="2"/>
        <v>0.7440613476368697</v>
      </c>
      <c r="N13" s="9">
        <f t="shared" si="2"/>
        <v>0.7290098478536706</v>
      </c>
      <c r="O13" s="9">
        <f t="shared" si="2"/>
        <v>0.7666385973116683</v>
      </c>
      <c r="P13" s="9">
        <f t="shared" si="2"/>
        <v>0.8117930966612654</v>
      </c>
    </row>
    <row r="14" spans="3:16" ht="12">
      <c r="C14" t="s">
        <v>13</v>
      </c>
      <c r="D14" s="1">
        <v>11.29</v>
      </c>
      <c r="E14" s="1">
        <v>27</v>
      </c>
      <c r="F14" s="1">
        <v>17.78</v>
      </c>
      <c r="G14" s="1">
        <v>19.89</v>
      </c>
      <c r="H14" s="1">
        <v>14.25</v>
      </c>
      <c r="I14" s="1">
        <v>-4.314</v>
      </c>
      <c r="K14">
        <v>70</v>
      </c>
      <c r="L14" s="4">
        <f t="shared" si="1"/>
        <v>0.5833333333333334</v>
      </c>
      <c r="M14" s="9">
        <f t="shared" si="2"/>
        <v>0.7075753472881855</v>
      </c>
      <c r="N14" s="9">
        <f t="shared" si="2"/>
        <v>0.6958711869865171</v>
      </c>
      <c r="O14" s="9">
        <f t="shared" si="2"/>
        <v>0.7251315877406881</v>
      </c>
      <c r="P14" s="9">
        <f t="shared" si="2"/>
        <v>0.7602440686456933</v>
      </c>
    </row>
    <row r="15" spans="11:16" ht="12">
      <c r="K15">
        <v>80</v>
      </c>
      <c r="L15" s="4">
        <f t="shared" si="1"/>
        <v>0.6666666666666666</v>
      </c>
      <c r="M15" s="9">
        <f t="shared" si="2"/>
        <v>0.6759697361853463</v>
      </c>
      <c r="N15" s="9">
        <f t="shared" si="2"/>
        <v>0.6671651732325622</v>
      </c>
      <c r="O15" s="9">
        <f t="shared" si="2"/>
        <v>0.6891765806145224</v>
      </c>
      <c r="P15" s="9">
        <f t="shared" si="2"/>
        <v>0.7155902694728745</v>
      </c>
    </row>
    <row r="16" spans="3:16" ht="12">
      <c r="C16" t="s">
        <v>10</v>
      </c>
      <c r="K16">
        <v>90</v>
      </c>
      <c r="L16" s="4">
        <f t="shared" si="1"/>
        <v>0.75</v>
      </c>
      <c r="M16" s="9">
        <f t="shared" si="2"/>
        <v>0.6480916114515234</v>
      </c>
      <c r="N16" s="9">
        <f t="shared" si="2"/>
        <v>0.6418446746211084</v>
      </c>
      <c r="O16" s="9">
        <f t="shared" si="2"/>
        <v>0.6574620166971459</v>
      </c>
      <c r="P16" s="9">
        <f t="shared" si="2"/>
        <v>0.6762028271883909</v>
      </c>
    </row>
    <row r="17" spans="2:16" ht="12">
      <c r="B17" s="2" t="s">
        <v>2</v>
      </c>
      <c r="C17" s="3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K17">
        <v>100</v>
      </c>
      <c r="L17" s="4">
        <f t="shared" si="1"/>
        <v>0.8333333333333334</v>
      </c>
      <c r="M17" s="9">
        <f t="shared" si="2"/>
        <v>0.6231537790959555</v>
      </c>
      <c r="N17" s="9">
        <f t="shared" si="2"/>
        <v>0.6191947167935743</v>
      </c>
      <c r="O17" s="9">
        <f t="shared" si="2"/>
        <v>0.6290923725495273</v>
      </c>
      <c r="P17" s="9">
        <f t="shared" si="2"/>
        <v>0.6409695594566711</v>
      </c>
    </row>
    <row r="18" spans="2:16" ht="12">
      <c r="B18">
        <v>5</v>
      </c>
      <c r="C18" s="4">
        <f aca="true" t="shared" si="4" ref="C18:C29">B18/$B$4</f>
        <v>0.041666666666666664</v>
      </c>
      <c r="D18" s="5">
        <f>(D$13/400)*$B18*((1-$C18)^D$12)*(1+5*EXP(-D$14*$C18))*D$11*M7</f>
        <v>4.077465047349839</v>
      </c>
      <c r="E18" s="5">
        <f>(E$13/400)*$B18*((1-$C18)^E$12)*(1+5*EXP(-E$14*$C18))*E$11*N7</f>
        <v>6.312298848418109</v>
      </c>
      <c r="F18" s="5">
        <f>(F$13/400)*$B18*((1-$C18)^F$12)*(1+5*EXP(-F$14*$C18))*F$11*O7</f>
        <v>0.5810072417230189</v>
      </c>
      <c r="G18" s="5">
        <f>(G$13/400)*$B18*((1-$C18)^G$12)*(1+5*EXP(-G$14*$C18))*G$11*P7</f>
        <v>0.821798976879117</v>
      </c>
      <c r="H18" s="5">
        <f aca="true" t="shared" si="5" ref="H18:I29">(H$13/400)*$B18*((1-$C18)^H$12)*(1+5*EXP(-H$14*$C18))*H$11</f>
        <v>0.19258466350909556</v>
      </c>
      <c r="I18" s="5">
        <f t="shared" si="5"/>
        <v>0.2837399891484098</v>
      </c>
      <c r="K18">
        <v>110</v>
      </c>
      <c r="L18" s="4">
        <f t="shared" si="1"/>
        <v>0.9166666666666666</v>
      </c>
      <c r="M18" s="9">
        <f t="shared" si="2"/>
        <v>0.6005947656847228</v>
      </c>
      <c r="N18" s="9">
        <f t="shared" si="2"/>
        <v>0.5987053376402529</v>
      </c>
      <c r="O18" s="9">
        <f t="shared" si="2"/>
        <v>0.6034289077514279</v>
      </c>
      <c r="P18" s="9">
        <f t="shared" si="2"/>
        <v>0.6090971918848378</v>
      </c>
    </row>
    <row r="19" spans="2:9" ht="12">
      <c r="B19">
        <v>15</v>
      </c>
      <c r="C19" s="4">
        <f t="shared" si="4"/>
        <v>0.125</v>
      </c>
      <c r="D19" s="5">
        <f aca="true" t="shared" si="6" ref="D19:D29">(D$13/400)*$B19*((1-$C19)^D$12)*(1+5*EXP(-D$14*$C19))*D$11*M8</f>
        <v>3.641321140631448</v>
      </c>
      <c r="E19" s="5">
        <f aca="true" t="shared" si="7" ref="E19:E29">(E$13/400)*$B19*((1-$C19)^E$12)*(1+5*EXP(-E$14*$C19))*E$11*N8</f>
        <v>4.954674098314625</v>
      </c>
      <c r="F19" s="5">
        <f aca="true" t="shared" si="8" ref="F19:F29">(F$13/400)*$B19*((1-$C19)^F$12)*(1+5*EXP(-F$14*$C19))*F$11*O8</f>
        <v>0.3617795623439212</v>
      </c>
      <c r="G19" s="5">
        <f aca="true" t="shared" si="9" ref="G19:G29">(G$13/400)*$B19*((1-$C19)^G$12)*(1+5*EXP(-G$14*$C19))*G$11*P8</f>
        <v>0.6526668660117337</v>
      </c>
      <c r="H19" s="5">
        <f t="shared" si="5"/>
        <v>0.1367911860379555</v>
      </c>
      <c r="I19" s="5">
        <f t="shared" si="5"/>
        <v>0.998839299258034</v>
      </c>
    </row>
    <row r="20" spans="2:9" ht="12">
      <c r="B20">
        <v>25</v>
      </c>
      <c r="C20" s="4">
        <f t="shared" si="4"/>
        <v>0.20833333333333334</v>
      </c>
      <c r="D20" s="5">
        <f t="shared" si="6"/>
        <v>2.3704347727970925</v>
      </c>
      <c r="E20" s="5">
        <f t="shared" si="7"/>
        <v>4.472326442418924</v>
      </c>
      <c r="F20" s="5">
        <f t="shared" si="8"/>
        <v>0.20961664720950626</v>
      </c>
      <c r="G20" s="5">
        <f t="shared" si="9"/>
        <v>0.5358552169483038</v>
      </c>
      <c r="H20" s="5">
        <f t="shared" si="5"/>
        <v>0.06991543190299118</v>
      </c>
      <c r="I20" s="5">
        <f t="shared" si="5"/>
        <v>1.9467690192363805</v>
      </c>
    </row>
    <row r="21" spans="2:14" ht="12">
      <c r="B21">
        <v>30</v>
      </c>
      <c r="C21" s="4">
        <f t="shared" si="4"/>
        <v>0.25</v>
      </c>
      <c r="D21" s="5">
        <f t="shared" si="6"/>
        <v>1.9100745303181859</v>
      </c>
      <c r="E21" s="5">
        <f t="shared" si="7"/>
        <v>4.178654734468425</v>
      </c>
      <c r="F21" s="5">
        <f t="shared" si="8"/>
        <v>0.16208634939564526</v>
      </c>
      <c r="G21" s="5">
        <f t="shared" si="9"/>
        <v>0.4972177442007228</v>
      </c>
      <c r="H21" s="5">
        <f t="shared" si="5"/>
        <v>0.04948415332849317</v>
      </c>
      <c r="I21" s="5">
        <f t="shared" si="5"/>
        <v>2.51791789792716</v>
      </c>
      <c r="M21" s="40" t="s">
        <v>9</v>
      </c>
      <c r="N21" t="s">
        <v>89</v>
      </c>
    </row>
    <row r="22" spans="2:14" ht="12">
      <c r="B22">
        <v>40</v>
      </c>
      <c r="C22" s="4">
        <f t="shared" si="4"/>
        <v>0.3333333333333333</v>
      </c>
      <c r="D22" s="5">
        <f t="shared" si="6"/>
        <v>1.247182366395502</v>
      </c>
      <c r="E22" s="5">
        <f t="shared" si="7"/>
        <v>3.372409232720958</v>
      </c>
      <c r="F22" s="5">
        <f t="shared" si="8"/>
        <v>0.092571397615975</v>
      </c>
      <c r="G22" s="5">
        <f t="shared" si="9"/>
        <v>0.41494010849423496</v>
      </c>
      <c r="H22" s="5">
        <f t="shared" si="5"/>
        <v>0.0235224873846985</v>
      </c>
      <c r="I22" s="5">
        <f t="shared" si="5"/>
        <v>3.8575072904962795</v>
      </c>
      <c r="K22" t="s">
        <v>91</v>
      </c>
      <c r="M22">
        <v>7.8045</v>
      </c>
      <c r="N22">
        <v>3.713</v>
      </c>
    </row>
    <row r="23" spans="2:14" ht="12">
      <c r="B23">
        <v>50</v>
      </c>
      <c r="C23" s="4">
        <f t="shared" si="4"/>
        <v>0.4166666666666667</v>
      </c>
      <c r="D23" s="5">
        <f t="shared" si="6"/>
        <v>0.7891408873449808</v>
      </c>
      <c r="E23" s="5">
        <f t="shared" si="7"/>
        <v>2.452726861698336</v>
      </c>
      <c r="F23" s="5">
        <f t="shared" si="8"/>
        <v>0.047198152445781384</v>
      </c>
      <c r="G23" s="5">
        <f t="shared" si="9"/>
        <v>0.3216519512311185</v>
      </c>
      <c r="H23" s="5">
        <f t="shared" si="5"/>
        <v>0.009825120788621747</v>
      </c>
      <c r="I23" s="5">
        <f t="shared" si="5"/>
        <v>5.423875557741623</v>
      </c>
      <c r="K23" t="s">
        <v>90</v>
      </c>
      <c r="M23">
        <v>0.13957</v>
      </c>
      <c r="N23">
        <v>0.493677</v>
      </c>
    </row>
    <row r="24" spans="2:14" ht="12">
      <c r="B24">
        <v>60</v>
      </c>
      <c r="C24" s="4">
        <f t="shared" si="4"/>
        <v>0.5</v>
      </c>
      <c r="D24" s="5">
        <f t="shared" si="6"/>
        <v>0.46160466549745466</v>
      </c>
      <c r="E24" s="5">
        <f t="shared" si="7"/>
        <v>1.6039363463075205</v>
      </c>
      <c r="F24" s="5">
        <f t="shared" si="8"/>
        <v>0.020715272739390497</v>
      </c>
      <c r="G24" s="5">
        <f t="shared" si="9"/>
        <v>0.22851897969731957</v>
      </c>
      <c r="H24" s="5">
        <f t="shared" si="5"/>
        <v>0.00340930633399414</v>
      </c>
      <c r="I24" s="5">
        <f t="shared" si="5"/>
        <v>7.096547703319053</v>
      </c>
      <c r="K24" t="s">
        <v>92</v>
      </c>
      <c r="M24">
        <v>98</v>
      </c>
      <c r="N24">
        <v>98</v>
      </c>
    </row>
    <row r="25" spans="2:14" ht="12">
      <c r="B25">
        <v>70</v>
      </c>
      <c r="C25" s="4">
        <f t="shared" si="4"/>
        <v>0.5833333333333334</v>
      </c>
      <c r="D25" s="5">
        <f t="shared" si="6"/>
        <v>0.23898589490428299</v>
      </c>
      <c r="E25" s="5">
        <f t="shared" si="7"/>
        <v>0.9268993799177606</v>
      </c>
      <c r="F25" s="5">
        <f t="shared" si="8"/>
        <v>0.007503651542999558</v>
      </c>
      <c r="G25" s="5">
        <f t="shared" si="9"/>
        <v>0.1464760084502622</v>
      </c>
      <c r="H25" s="5">
        <f t="shared" si="5"/>
        <v>0.0009241518277860035</v>
      </c>
      <c r="I25" s="5">
        <f t="shared" si="5"/>
        <v>8.627911319538022</v>
      </c>
      <c r="K25" t="s">
        <v>93</v>
      </c>
      <c r="M25">
        <f>-M23*M24/M22</f>
        <v>-1.7525607021590108</v>
      </c>
      <c r="N25">
        <f>-N23*N24/N22</f>
        <v>-13.02998814974414</v>
      </c>
    </row>
    <row r="26" spans="2:9" ht="12">
      <c r="B26">
        <v>80</v>
      </c>
      <c r="C26" s="4">
        <f t="shared" si="4"/>
        <v>0.6666666666666666</v>
      </c>
      <c r="D26" s="5">
        <f t="shared" si="6"/>
        <v>0.10357088190953254</v>
      </c>
      <c r="E26" s="5">
        <f t="shared" si="7"/>
        <v>0.4550368245738327</v>
      </c>
      <c r="F26" s="5">
        <f t="shared" si="8"/>
        <v>0.0020859135949381252</v>
      </c>
      <c r="G26" s="5">
        <f t="shared" si="9"/>
        <v>0.08205194539126773</v>
      </c>
      <c r="H26" s="5">
        <f t="shared" si="5"/>
        <v>0.0001774410754505497</v>
      </c>
      <c r="I26" s="5">
        <f t="shared" si="5"/>
        <v>9.603179181105704</v>
      </c>
    </row>
    <row r="27" spans="2:9" ht="12">
      <c r="B27">
        <v>90</v>
      </c>
      <c r="C27" s="4">
        <f t="shared" si="4"/>
        <v>0.75</v>
      </c>
      <c r="D27" s="5">
        <f t="shared" si="6"/>
        <v>0.03407141899641726</v>
      </c>
      <c r="E27" s="5">
        <f t="shared" si="7"/>
        <v>0.17493070130274924</v>
      </c>
      <c r="F27" s="5">
        <f t="shared" si="8"/>
        <v>0.0003863457960566589</v>
      </c>
      <c r="G27" s="5">
        <f t="shared" si="9"/>
        <v>0.03761231213729826</v>
      </c>
      <c r="H27" s="5">
        <f t="shared" si="5"/>
        <v>2.003702492223092E-05</v>
      </c>
      <c r="I27" s="5">
        <f t="shared" si="5"/>
        <v>9.437061810312429</v>
      </c>
    </row>
    <row r="28" spans="2:9" ht="12">
      <c r="B28">
        <v>100</v>
      </c>
      <c r="C28" s="4">
        <f t="shared" si="4"/>
        <v>0.8333333333333334</v>
      </c>
      <c r="D28" s="5">
        <f t="shared" si="6"/>
        <v>0.006838806239035439</v>
      </c>
      <c r="E28" s="5">
        <f t="shared" si="7"/>
        <v>0.04359578222863388</v>
      </c>
      <c r="F28" s="5">
        <f t="shared" si="8"/>
        <v>3.452911134742061E-05</v>
      </c>
      <c r="G28" s="5">
        <f t="shared" si="9"/>
        <v>0.012104769370182372</v>
      </c>
      <c r="H28" s="5">
        <f t="shared" si="5"/>
        <v>8.72141833620529E-07</v>
      </c>
      <c r="I28" s="5">
        <f t="shared" si="5"/>
        <v>7.49780709039012</v>
      </c>
    </row>
    <row r="29" spans="2:9" ht="12">
      <c r="B29">
        <v>110</v>
      </c>
      <c r="C29" s="4">
        <f t="shared" si="4"/>
        <v>0.9166666666666666</v>
      </c>
      <c r="D29" s="5">
        <f t="shared" si="6"/>
        <v>0.00041629871474090606</v>
      </c>
      <c r="E29" s="5">
        <f t="shared" si="7"/>
        <v>0.003829279994544113</v>
      </c>
      <c r="F29" s="5">
        <f t="shared" si="8"/>
        <v>5.28565701407019E-07</v>
      </c>
      <c r="G29" s="5">
        <f t="shared" si="9"/>
        <v>0.0016671956881006565</v>
      </c>
      <c r="H29" s="5">
        <f t="shared" si="5"/>
        <v>3.773458960562785E-09</v>
      </c>
      <c r="I29" s="5">
        <f t="shared" si="5"/>
        <v>3.6106022827212745</v>
      </c>
    </row>
    <row r="32" spans="1:2" ht="12">
      <c r="A32">
        <v>0.0015</v>
      </c>
      <c r="B32" t="s">
        <v>15</v>
      </c>
    </row>
    <row r="33" spans="1:2" ht="12">
      <c r="A33">
        <v>0.0018</v>
      </c>
      <c r="B33" t="s">
        <v>16</v>
      </c>
    </row>
    <row r="34" spans="1:10" ht="12">
      <c r="A34">
        <v>0.05</v>
      </c>
      <c r="B34" t="s">
        <v>17</v>
      </c>
      <c r="C34" s="7">
        <v>2000000000</v>
      </c>
      <c r="D34" t="s">
        <v>24</v>
      </c>
      <c r="G34">
        <f>1/0.000008</f>
        <v>125000</v>
      </c>
      <c r="H34" t="s">
        <v>51</v>
      </c>
      <c r="J34" s="7">
        <f>A32*A33*A34</f>
        <v>1.35E-07</v>
      </c>
    </row>
    <row r="37" spans="1:8" ht="12">
      <c r="A37" t="s">
        <v>41</v>
      </c>
      <c r="B37" s="10"/>
      <c r="D37" t="s">
        <v>47</v>
      </c>
      <c r="E37" s="10"/>
      <c r="F37" s="24" t="s">
        <v>49</v>
      </c>
      <c r="G37" t="s">
        <v>52</v>
      </c>
      <c r="H37" t="s">
        <v>56</v>
      </c>
    </row>
    <row r="38" spans="1:8" ht="12">
      <c r="A38" t="s">
        <v>42</v>
      </c>
      <c r="B38" s="3" t="s">
        <v>2</v>
      </c>
      <c r="C38" s="6" t="s">
        <v>9</v>
      </c>
      <c r="D38" s="2" t="s">
        <v>7</v>
      </c>
      <c r="E38" s="3" t="s">
        <v>5</v>
      </c>
      <c r="F38" s="8" t="s">
        <v>50</v>
      </c>
      <c r="G38" s="2" t="s">
        <v>53</v>
      </c>
      <c r="H38" t="s">
        <v>57</v>
      </c>
    </row>
    <row r="39" spans="1:8" ht="12">
      <c r="A39" s="20">
        <f>4*$A$32*$A$33*$A$34*$B39</f>
        <v>2.7E-06</v>
      </c>
      <c r="B39" s="11">
        <v>5</v>
      </c>
      <c r="C39" s="21">
        <f>I18*$A39*$C$34</f>
        <v>1532.1959414014132</v>
      </c>
      <c r="D39" s="21">
        <f aca="true" t="shared" si="10" ref="D39:D50">G18*$A39*$C$34*EXP(N$25/B39)</f>
        <v>327.63400111297796</v>
      </c>
      <c r="E39" s="22">
        <f>E18*$A39*$C$34*EXP(M$25/B39)</f>
        <v>24007.991200997316</v>
      </c>
      <c r="F39" s="25">
        <f>C39+D39+E39</f>
        <v>25867.82114351171</v>
      </c>
      <c r="G39" s="9">
        <f>F39/$G$34</f>
        <v>0.20694256914809367</v>
      </c>
      <c r="H39" s="7">
        <f>$C$34/G39</f>
        <v>9664517108.457981</v>
      </c>
    </row>
    <row r="40" spans="1:8" ht="12">
      <c r="A40" s="20">
        <f aca="true" t="shared" si="11" ref="A40:A50">4*$A$32*$A$33*$A$34*$B40</f>
        <v>8.1E-06</v>
      </c>
      <c r="B40" s="10">
        <v>15</v>
      </c>
      <c r="C40" s="21">
        <f aca="true" t="shared" si="12" ref="C40:C50">I19*$A40*$C$34</f>
        <v>16181.196647980152</v>
      </c>
      <c r="D40" s="21">
        <f t="shared" si="10"/>
        <v>4435.5735300311135</v>
      </c>
      <c r="E40" s="22">
        <f>E19*$A40*$C$34*EXP(M$25/B40)</f>
        <v>71414.80890164332</v>
      </c>
      <c r="F40" s="25">
        <f aca="true" t="shared" si="13" ref="F40:F50">C40+D40+E40</f>
        <v>92031.57907965459</v>
      </c>
      <c r="G40" s="9">
        <f aca="true" t="shared" si="14" ref="G40:G50">F40/$G$34</f>
        <v>0.7362526326372367</v>
      </c>
      <c r="H40" s="7">
        <f aca="true" t="shared" si="15" ref="H40:H50">$C$34/G40</f>
        <v>2716458877.4861894</v>
      </c>
    </row>
    <row r="41" spans="1:8" ht="12">
      <c r="A41" s="20">
        <f t="shared" si="11"/>
        <v>1.3500000000000001E-05</v>
      </c>
      <c r="B41" s="10">
        <v>25</v>
      </c>
      <c r="C41" s="21">
        <f t="shared" si="12"/>
        <v>52562.76351938228</v>
      </c>
      <c r="D41" s="21">
        <f t="shared" si="10"/>
        <v>8591.265674985756</v>
      </c>
      <c r="E41" s="22">
        <f aca="true" t="shared" si="16" ref="E41:E50">E20*$A41*$C$34*EXP(M$25/B41)</f>
        <v>112577.64575546398</v>
      </c>
      <c r="F41" s="25">
        <f t="shared" si="13"/>
        <v>173731.67494983203</v>
      </c>
      <c r="G41" s="9">
        <f t="shared" si="14"/>
        <v>1.3898533995986562</v>
      </c>
      <c r="H41" s="7">
        <f t="shared" si="15"/>
        <v>1439000689.2651658</v>
      </c>
    </row>
    <row r="42" spans="1:8" ht="12">
      <c r="A42" s="20">
        <f t="shared" si="11"/>
        <v>1.62E-05</v>
      </c>
      <c r="B42" s="10">
        <v>30</v>
      </c>
      <c r="C42" s="21">
        <f t="shared" si="12"/>
        <v>81580.53989284</v>
      </c>
      <c r="D42" s="21">
        <f t="shared" si="10"/>
        <v>10434.297875613125</v>
      </c>
      <c r="E42" s="22">
        <f t="shared" si="16"/>
        <v>127705.7888444356</v>
      </c>
      <c r="F42" s="25">
        <f t="shared" si="13"/>
        <v>219720.6266128887</v>
      </c>
      <c r="G42" s="9">
        <f t="shared" si="14"/>
        <v>1.7577650129031097</v>
      </c>
      <c r="H42" s="7">
        <f t="shared" si="15"/>
        <v>1137808515.5403206</v>
      </c>
    </row>
    <row r="43" spans="1:8" ht="12">
      <c r="A43" s="20">
        <f t="shared" si="11"/>
        <v>2.16E-05</v>
      </c>
      <c r="B43" s="10">
        <v>40</v>
      </c>
      <c r="C43" s="21">
        <f t="shared" si="12"/>
        <v>166644.3149494393</v>
      </c>
      <c r="D43" s="21">
        <f t="shared" si="10"/>
        <v>12941.894766746791</v>
      </c>
      <c r="E43" s="22">
        <f t="shared" si="16"/>
        <v>139442.71510130505</v>
      </c>
      <c r="F43" s="25">
        <f t="shared" si="13"/>
        <v>319028.9248174911</v>
      </c>
      <c r="G43" s="9">
        <f t="shared" si="14"/>
        <v>2.5522313985399285</v>
      </c>
      <c r="H43" s="7">
        <f t="shared" si="15"/>
        <v>783628005.3384473</v>
      </c>
    </row>
    <row r="44" spans="1:8" ht="12">
      <c r="A44" s="20">
        <f t="shared" si="11"/>
        <v>2.7000000000000002E-05</v>
      </c>
      <c r="B44" s="10">
        <v>50</v>
      </c>
      <c r="C44" s="21">
        <f t="shared" si="12"/>
        <v>292889.28011804767</v>
      </c>
      <c r="D44" s="21">
        <f t="shared" si="10"/>
        <v>13384.523392345045</v>
      </c>
      <c r="E44" s="22">
        <f t="shared" si="16"/>
        <v>127885.23279429118</v>
      </c>
      <c r="F44" s="25">
        <f t="shared" si="13"/>
        <v>434159.0363046839</v>
      </c>
      <c r="G44" s="9">
        <f t="shared" si="14"/>
        <v>3.473272290437471</v>
      </c>
      <c r="H44" s="7">
        <f t="shared" si="15"/>
        <v>575825858.9475843</v>
      </c>
    </row>
    <row r="45" spans="1:8" ht="12">
      <c r="A45" s="20">
        <f t="shared" si="11"/>
        <v>3.24E-05</v>
      </c>
      <c r="B45" s="10">
        <v>60</v>
      </c>
      <c r="C45" s="21">
        <f t="shared" si="12"/>
        <v>459856.29117507464</v>
      </c>
      <c r="D45" s="21">
        <f t="shared" si="10"/>
        <v>11917.44298841721</v>
      </c>
      <c r="E45" s="22">
        <f t="shared" si="16"/>
        <v>100943.10917350807</v>
      </c>
      <c r="F45" s="25">
        <f t="shared" si="13"/>
        <v>572716.8433369999</v>
      </c>
      <c r="G45" s="9">
        <f t="shared" si="14"/>
        <v>4.581734746695999</v>
      </c>
      <c r="H45" s="7">
        <f t="shared" si="15"/>
        <v>436515885.48251265</v>
      </c>
    </row>
    <row r="46" spans="1:8" ht="12">
      <c r="A46" s="20">
        <f t="shared" si="11"/>
        <v>3.7800000000000004E-05</v>
      </c>
      <c r="B46" s="10">
        <v>70</v>
      </c>
      <c r="C46" s="21">
        <f t="shared" si="12"/>
        <v>652270.0957570745</v>
      </c>
      <c r="D46" s="21">
        <f t="shared" si="10"/>
        <v>9192.794462168351</v>
      </c>
      <c r="E46" s="22">
        <f t="shared" si="16"/>
        <v>68340.96988497126</v>
      </c>
      <c r="F46" s="25">
        <f t="shared" si="13"/>
        <v>729803.8601042142</v>
      </c>
      <c r="G46" s="9">
        <f t="shared" si="14"/>
        <v>5.838430880833713</v>
      </c>
      <c r="H46" s="7">
        <f t="shared" si="15"/>
        <v>342557793.4930361</v>
      </c>
    </row>
    <row r="47" spans="1:8" ht="12">
      <c r="A47" s="20">
        <f t="shared" si="11"/>
        <v>4.32E-05</v>
      </c>
      <c r="B47" s="10">
        <v>80</v>
      </c>
      <c r="C47" s="21">
        <f t="shared" si="12"/>
        <v>829714.6812475328</v>
      </c>
      <c r="D47" s="21">
        <f t="shared" si="10"/>
        <v>6023.750500364222</v>
      </c>
      <c r="E47" s="22">
        <f t="shared" si="16"/>
        <v>38463.26911184249</v>
      </c>
      <c r="F47" s="25">
        <f t="shared" si="13"/>
        <v>874201.7008597396</v>
      </c>
      <c r="G47" s="9">
        <f t="shared" si="14"/>
        <v>6.993613606877917</v>
      </c>
      <c r="H47" s="7">
        <f t="shared" si="15"/>
        <v>285975192.85782194</v>
      </c>
    </row>
    <row r="48" spans="1:10" ht="12">
      <c r="A48" s="20">
        <f t="shared" si="11"/>
        <v>4.86E-05</v>
      </c>
      <c r="B48" s="10">
        <v>90</v>
      </c>
      <c r="C48" s="21">
        <f t="shared" si="12"/>
        <v>917282.4079623681</v>
      </c>
      <c r="D48" s="21">
        <f t="shared" si="10"/>
        <v>3163.152742769678</v>
      </c>
      <c r="E48" s="22">
        <f t="shared" si="16"/>
        <v>16675.36430160307</v>
      </c>
      <c r="F48" s="25">
        <f t="shared" si="13"/>
        <v>937120.9250067408</v>
      </c>
      <c r="G48" s="9">
        <f t="shared" si="14"/>
        <v>7.496967400053927</v>
      </c>
      <c r="H48" s="7">
        <f t="shared" si="15"/>
        <v>266774536.05915555</v>
      </c>
      <c r="J48" t="s">
        <v>147</v>
      </c>
    </row>
    <row r="49" spans="1:8" ht="12">
      <c r="A49" s="20">
        <f t="shared" si="11"/>
        <v>5.4000000000000005E-05</v>
      </c>
      <c r="B49" s="10">
        <v>100</v>
      </c>
      <c r="C49" s="21">
        <f t="shared" si="12"/>
        <v>809763.1657621331</v>
      </c>
      <c r="D49" s="21">
        <f t="shared" si="10"/>
        <v>1147.6032124645294</v>
      </c>
      <c r="E49" s="22">
        <f t="shared" si="16"/>
        <v>4626.546756634198</v>
      </c>
      <c r="F49" s="25">
        <f t="shared" si="13"/>
        <v>815537.3157312318</v>
      </c>
      <c r="G49" s="9">
        <f t="shared" si="14"/>
        <v>6.524298525849854</v>
      </c>
      <c r="H49" s="7">
        <f t="shared" si="15"/>
        <v>306546365.4178026</v>
      </c>
    </row>
    <row r="50" spans="1:10" ht="12">
      <c r="A50" s="20">
        <f t="shared" si="11"/>
        <v>5.94E-05</v>
      </c>
      <c r="B50" s="10">
        <v>110</v>
      </c>
      <c r="C50" s="21">
        <f t="shared" si="12"/>
        <v>428939.55118728743</v>
      </c>
      <c r="D50" s="21">
        <f t="shared" si="10"/>
        <v>175.93770006412868</v>
      </c>
      <c r="E50" s="22">
        <f t="shared" si="16"/>
        <v>447.7279669918461</v>
      </c>
      <c r="F50" s="25">
        <f t="shared" si="13"/>
        <v>429563.2168543434</v>
      </c>
      <c r="G50" s="9">
        <f t="shared" si="14"/>
        <v>3.436505734834747</v>
      </c>
      <c r="H50" s="7">
        <f t="shared" si="15"/>
        <v>581986516.049325</v>
      </c>
      <c r="J50" s="7">
        <f>F48*10000000/C34</f>
        <v>4685.604625033704</v>
      </c>
    </row>
    <row r="51" ht="12">
      <c r="E51" s="22"/>
    </row>
    <row r="52" ht="12">
      <c r="E52" s="22"/>
    </row>
    <row r="53" spans="1:8" ht="12">
      <c r="A53" t="s">
        <v>41</v>
      </c>
      <c r="B53" s="10"/>
      <c r="D53" t="s">
        <v>47</v>
      </c>
      <c r="E53" s="10"/>
      <c r="F53" s="24" t="s">
        <v>22</v>
      </c>
      <c r="G53" t="s">
        <v>52</v>
      </c>
      <c r="H53" t="s">
        <v>56</v>
      </c>
    </row>
    <row r="54" spans="1:8" ht="12">
      <c r="A54" t="s">
        <v>42</v>
      </c>
      <c r="B54" s="3" t="s">
        <v>2</v>
      </c>
      <c r="C54" s="6" t="s">
        <v>8</v>
      </c>
      <c r="D54" s="2" t="s">
        <v>6</v>
      </c>
      <c r="E54" s="3" t="s">
        <v>4</v>
      </c>
      <c r="F54" s="8" t="s">
        <v>48</v>
      </c>
      <c r="G54" s="2" t="s">
        <v>54</v>
      </c>
      <c r="H54" t="s">
        <v>58</v>
      </c>
    </row>
    <row r="55" spans="1:8" ht="12">
      <c r="A55" s="20">
        <f>4*$A$32*$A$33*$A$34*$B55</f>
        <v>2.7E-06</v>
      </c>
      <c r="B55" s="11">
        <v>5</v>
      </c>
      <c r="C55" s="15">
        <f>H18*$A55*$C$34</f>
        <v>1039.957182949116</v>
      </c>
      <c r="D55" s="15">
        <f aca="true" t="shared" si="17" ref="D55:D66">F18*$A55*$C$34*EXP(N$25/B55)</f>
        <v>231.63539093737347</v>
      </c>
      <c r="E55" s="22">
        <f aca="true" t="shared" si="18" ref="E55:E66">D18*$A55*$C$34*EXP(M$25/B55)</f>
        <v>15508.09733979581</v>
      </c>
      <c r="F55" s="25">
        <f>C55+D55+E55</f>
        <v>16779.689913682298</v>
      </c>
      <c r="G55" s="9">
        <f>F55/$G$34</f>
        <v>0.13423751930945838</v>
      </c>
      <c r="H55" s="7">
        <f>$C$34/G55</f>
        <v>14898964241.05835</v>
      </c>
    </row>
    <row r="56" spans="1:8" ht="12">
      <c r="A56" s="20">
        <f aca="true" t="shared" si="19" ref="A56:A66">4*$A$32*$A$33*$A$34*$B56</f>
        <v>8.1E-06</v>
      </c>
      <c r="B56" s="10">
        <v>15</v>
      </c>
      <c r="C56" s="15">
        <f aca="true" t="shared" si="20" ref="C56:C66">H19*$A56*$C$34</f>
        <v>2216.017213814879</v>
      </c>
      <c r="D56" s="15">
        <f t="shared" si="17"/>
        <v>2458.6813487940854</v>
      </c>
      <c r="E56" s="22">
        <f t="shared" si="18"/>
        <v>52484.6333477645</v>
      </c>
      <c r="F56" s="25">
        <f>C56+D56+E56</f>
        <v>57159.33191037347</v>
      </c>
      <c r="G56" s="9">
        <f aca="true" t="shared" si="21" ref="G56:G66">F56/$G$34</f>
        <v>0.4572746552829878</v>
      </c>
      <c r="H56" s="7">
        <f aca="true" t="shared" si="22" ref="H56:H66">$C$34/G56</f>
        <v>4373739014.16488</v>
      </c>
    </row>
    <row r="57" spans="1:8" ht="12">
      <c r="A57" s="20">
        <f t="shared" si="19"/>
        <v>1.3500000000000001E-05</v>
      </c>
      <c r="B57" s="10">
        <v>25</v>
      </c>
      <c r="C57" s="15">
        <f t="shared" si="20"/>
        <v>1887.716661380762</v>
      </c>
      <c r="D57" s="15">
        <f t="shared" si="17"/>
        <v>3360.7441882018056</v>
      </c>
      <c r="E57" s="22">
        <f t="shared" si="18"/>
        <v>59668.7137162668</v>
      </c>
      <c r="F57" s="25">
        <f aca="true" t="shared" si="23" ref="F57:F66">C57+D57+E57</f>
        <v>64917.17456584937</v>
      </c>
      <c r="G57" s="9">
        <f t="shared" si="21"/>
        <v>0.5193373965267949</v>
      </c>
      <c r="H57" s="7">
        <f t="shared" si="22"/>
        <v>3851061012.3120823</v>
      </c>
    </row>
    <row r="58" spans="1:8" ht="12">
      <c r="A58" s="20">
        <f t="shared" si="19"/>
        <v>1.62E-05</v>
      </c>
      <c r="B58" s="10">
        <v>30</v>
      </c>
      <c r="C58" s="15">
        <f t="shared" si="20"/>
        <v>1603.2865678431788</v>
      </c>
      <c r="D58" s="15">
        <f t="shared" si="17"/>
        <v>3401.4418650395573</v>
      </c>
      <c r="E58" s="22">
        <f t="shared" si="18"/>
        <v>58374.666045956365</v>
      </c>
      <c r="F58" s="25">
        <f t="shared" si="23"/>
        <v>63379.3944788391</v>
      </c>
      <c r="G58" s="9">
        <f t="shared" si="21"/>
        <v>0.5070351558307128</v>
      </c>
      <c r="H58" s="7">
        <f t="shared" si="22"/>
        <v>3944499660.4293714</v>
      </c>
    </row>
    <row r="59" spans="1:8" ht="12">
      <c r="A59" s="20">
        <f t="shared" si="19"/>
        <v>2.16E-05</v>
      </c>
      <c r="B59" s="10">
        <v>40</v>
      </c>
      <c r="C59" s="15">
        <f t="shared" si="20"/>
        <v>1016.1714550189753</v>
      </c>
      <c r="D59" s="15">
        <f t="shared" si="17"/>
        <v>2887.2824338533874</v>
      </c>
      <c r="E59" s="22">
        <f t="shared" si="18"/>
        <v>51568.62153895344</v>
      </c>
      <c r="F59" s="25">
        <f t="shared" si="23"/>
        <v>55472.0754278258</v>
      </c>
      <c r="G59" s="9">
        <f t="shared" si="21"/>
        <v>0.44377660342260644</v>
      </c>
      <c r="H59" s="7">
        <f t="shared" si="22"/>
        <v>4506772066.339444</v>
      </c>
    </row>
    <row r="60" spans="1:8" ht="12">
      <c r="A60" s="20">
        <f t="shared" si="19"/>
        <v>2.7000000000000002E-05</v>
      </c>
      <c r="B60" s="10">
        <v>50</v>
      </c>
      <c r="C60" s="15">
        <f t="shared" si="20"/>
        <v>530.5565225855744</v>
      </c>
      <c r="D60" s="15">
        <f t="shared" si="17"/>
        <v>1964.001067203573</v>
      </c>
      <c r="E60" s="22">
        <f t="shared" si="18"/>
        <v>41145.823312640256</v>
      </c>
      <c r="F60" s="25">
        <f t="shared" si="23"/>
        <v>43640.3809024294</v>
      </c>
      <c r="G60" s="9">
        <f t="shared" si="21"/>
        <v>0.3491230472194352</v>
      </c>
      <c r="H60" s="7">
        <f t="shared" si="22"/>
        <v>5728639274.687972</v>
      </c>
    </row>
    <row r="61" spans="1:8" ht="12">
      <c r="A61" s="20">
        <f t="shared" si="19"/>
        <v>3.24E-05</v>
      </c>
      <c r="B61" s="10">
        <v>60</v>
      </c>
      <c r="C61" s="15">
        <f t="shared" si="20"/>
        <v>220.92305044282028</v>
      </c>
      <c r="D61" s="15">
        <f t="shared" si="17"/>
        <v>1080.3176269568087</v>
      </c>
      <c r="E61" s="22">
        <f t="shared" si="18"/>
        <v>29050.909814208106</v>
      </c>
      <c r="F61" s="25">
        <f t="shared" si="23"/>
        <v>30352.150491607736</v>
      </c>
      <c r="G61" s="9">
        <f t="shared" si="21"/>
        <v>0.24281720393286188</v>
      </c>
      <c r="H61" s="7">
        <f t="shared" si="22"/>
        <v>8236648670.7136</v>
      </c>
    </row>
    <row r="62" spans="1:8" ht="12">
      <c r="A62" s="20">
        <f t="shared" si="19"/>
        <v>3.7800000000000004E-05</v>
      </c>
      <c r="B62" s="10">
        <v>70</v>
      </c>
      <c r="C62" s="15">
        <f t="shared" si="20"/>
        <v>69.86587818062186</v>
      </c>
      <c r="D62" s="15">
        <f t="shared" si="17"/>
        <v>470.92713052697786</v>
      </c>
      <c r="E62" s="22">
        <f t="shared" si="18"/>
        <v>17620.604998177496</v>
      </c>
      <c r="F62" s="25">
        <f t="shared" si="23"/>
        <v>18161.398006885094</v>
      </c>
      <c r="G62" s="9">
        <f t="shared" si="21"/>
        <v>0.14529118405508076</v>
      </c>
      <c r="H62" s="7">
        <f t="shared" si="22"/>
        <v>13765460120.703455</v>
      </c>
    </row>
    <row r="63" spans="1:8" ht="12">
      <c r="A63" s="20">
        <f t="shared" si="19"/>
        <v>4.32E-05</v>
      </c>
      <c r="B63" s="10">
        <v>80</v>
      </c>
      <c r="C63" s="15">
        <f t="shared" si="20"/>
        <v>15.330908918927493</v>
      </c>
      <c r="D63" s="15">
        <f t="shared" si="17"/>
        <v>153.13498054565665</v>
      </c>
      <c r="E63" s="22">
        <f t="shared" si="18"/>
        <v>8754.620478832985</v>
      </c>
      <c r="F63" s="25">
        <f t="shared" si="23"/>
        <v>8923.086368297569</v>
      </c>
      <c r="G63" s="9">
        <f t="shared" si="21"/>
        <v>0.07138469094638054</v>
      </c>
      <c r="H63" s="7">
        <f t="shared" si="22"/>
        <v>28017211722.64047</v>
      </c>
    </row>
    <row r="64" spans="1:8" ht="12">
      <c r="A64" s="20">
        <f t="shared" si="19"/>
        <v>4.86E-05</v>
      </c>
      <c r="B64" s="10">
        <v>90</v>
      </c>
      <c r="C64" s="15">
        <f t="shared" si="20"/>
        <v>1.9475988224408456</v>
      </c>
      <c r="D64" s="15">
        <f t="shared" si="17"/>
        <v>32.49124276096519</v>
      </c>
      <c r="E64" s="22">
        <f t="shared" si="18"/>
        <v>3247.8765580121067</v>
      </c>
      <c r="F64" s="25">
        <f t="shared" si="23"/>
        <v>3282.3153995955126</v>
      </c>
      <c r="G64" s="9">
        <f t="shared" si="21"/>
        <v>0.0262585231967641</v>
      </c>
      <c r="H64" s="7">
        <f>$C$34/G64</f>
        <v>76165745690.01141</v>
      </c>
    </row>
    <row r="65" spans="1:8" ht="12">
      <c r="A65" s="20">
        <f t="shared" si="19"/>
        <v>5.4000000000000005E-05</v>
      </c>
      <c r="B65" s="10">
        <v>100</v>
      </c>
      <c r="C65" s="15">
        <f t="shared" si="20"/>
        <v>0.09419131803101714</v>
      </c>
      <c r="D65" s="15">
        <f t="shared" si="17"/>
        <v>3.273562502021327</v>
      </c>
      <c r="E65" s="22">
        <f t="shared" si="18"/>
        <v>725.7595851480745</v>
      </c>
      <c r="F65" s="25">
        <f t="shared" si="23"/>
        <v>729.1273389681269</v>
      </c>
      <c r="G65" s="9">
        <f t="shared" si="21"/>
        <v>0.005833018711745015</v>
      </c>
      <c r="H65" s="7">
        <f t="shared" si="22"/>
        <v>342875635898.9421</v>
      </c>
    </row>
    <row r="66" spans="1:8" ht="12">
      <c r="A66" s="20">
        <f t="shared" si="19"/>
        <v>5.94E-05</v>
      </c>
      <c r="B66" s="10">
        <v>110</v>
      </c>
      <c r="C66" s="15">
        <f t="shared" si="20"/>
        <v>0.0004482869245148589</v>
      </c>
      <c r="D66" s="15">
        <f t="shared" si="17"/>
        <v>0.05577907530715697</v>
      </c>
      <c r="E66" s="22">
        <f t="shared" si="18"/>
        <v>48.674575240731244</v>
      </c>
      <c r="F66" s="25">
        <f t="shared" si="23"/>
        <v>48.73080260296292</v>
      </c>
      <c r="G66" s="9">
        <f t="shared" si="21"/>
        <v>0.00038984642082370337</v>
      </c>
      <c r="H66" s="7">
        <f t="shared" si="22"/>
        <v>5130225373813.145</v>
      </c>
    </row>
    <row r="68" spans="6:10" ht="12">
      <c r="F68">
        <v>60</v>
      </c>
      <c r="G68" t="s">
        <v>19</v>
      </c>
      <c r="I68">
        <v>13.88888888</v>
      </c>
      <c r="J68" t="s">
        <v>20</v>
      </c>
    </row>
    <row r="69" spans="6:10" ht="12">
      <c r="F69" s="9">
        <f>F68/3</f>
        <v>20</v>
      </c>
      <c r="G69" t="s">
        <v>26</v>
      </c>
      <c r="I69">
        <f>I68*3600</f>
        <v>49999.999968</v>
      </c>
      <c r="J69" t="s">
        <v>21</v>
      </c>
    </row>
    <row r="71" ht="12">
      <c r="D71" t="s">
        <v>55</v>
      </c>
    </row>
    <row r="72" spans="3:5" ht="12">
      <c r="C72" s="19">
        <v>0.01</v>
      </c>
      <c r="D72" s="19">
        <f>$C$72*0.43</f>
        <v>0.0043</v>
      </c>
      <c r="E72" s="19">
        <f>$C$72*0.58</f>
        <v>0.0058</v>
      </c>
    </row>
    <row r="73" spans="2:10" ht="12">
      <c r="B73" s="10"/>
      <c r="D73" t="s">
        <v>25</v>
      </c>
      <c r="E73" s="10"/>
      <c r="G73" t="s">
        <v>18</v>
      </c>
      <c r="H73" s="10"/>
      <c r="J73" t="s">
        <v>27</v>
      </c>
    </row>
    <row r="74" spans="2:11" ht="12">
      <c r="B74" s="3" t="s">
        <v>2</v>
      </c>
      <c r="C74" s="6" t="s">
        <v>9</v>
      </c>
      <c r="D74" s="2" t="s">
        <v>7</v>
      </c>
      <c r="E74" s="3" t="s">
        <v>5</v>
      </c>
      <c r="F74" s="6" t="s">
        <v>9</v>
      </c>
      <c r="G74" s="2" t="s">
        <v>7</v>
      </c>
      <c r="H74" s="3" t="s">
        <v>5</v>
      </c>
      <c r="I74" s="6" t="s">
        <v>9</v>
      </c>
      <c r="J74" s="2" t="s">
        <v>7</v>
      </c>
      <c r="K74" s="3" t="s">
        <v>5</v>
      </c>
    </row>
    <row r="75" spans="2:11" ht="12">
      <c r="B75" s="11">
        <v>5</v>
      </c>
      <c r="C75" s="13">
        <f>C39*C$72</f>
        <v>15.321959414014131</v>
      </c>
      <c r="D75" s="13">
        <f>D39*D$72</f>
        <v>1.4088262047858051</v>
      </c>
      <c r="E75" s="13">
        <f>E39*E$72</f>
        <v>139.24634896578442</v>
      </c>
      <c r="F75" s="9">
        <f>$F$69/C75</f>
        <v>1.30531607998564</v>
      </c>
      <c r="G75" s="9">
        <f aca="true" t="shared" si="24" ref="G75:G86">$F$69/D75</f>
        <v>14.196215212394318</v>
      </c>
      <c r="H75" s="14">
        <f aca="true" t="shared" si="25" ref="H75:H86">$F$69/E75</f>
        <v>0.1436303367990955</v>
      </c>
      <c r="I75" s="15">
        <f aca="true" t="shared" si="26" ref="I75:I86">C75*MIN(F75,1)*$I$69</f>
        <v>766097.9702104038</v>
      </c>
      <c r="J75" s="15">
        <f aca="true" t="shared" si="27" ref="J75:J86">D75*MIN(G75,1)*$I$69</f>
        <v>70441.3101942078</v>
      </c>
      <c r="K75" s="15">
        <f aca="true" t="shared" si="28" ref="K75:K86">E75*MIN(H75,1)*$I$69</f>
        <v>999999.9993599999</v>
      </c>
    </row>
    <row r="76" spans="2:11" ht="12">
      <c r="B76" s="10">
        <v>15</v>
      </c>
      <c r="C76" s="13">
        <f aca="true" t="shared" si="29" ref="C76:E86">C40*C$72</f>
        <v>161.81196647980153</v>
      </c>
      <c r="D76" s="13">
        <f t="shared" si="29"/>
        <v>19.07296617913379</v>
      </c>
      <c r="E76" s="13">
        <f t="shared" si="29"/>
        <v>414.20589162953127</v>
      </c>
      <c r="F76" s="9">
        <f aca="true" t="shared" si="30" ref="F76:F86">$F$69/C76</f>
        <v>0.12360025302885455</v>
      </c>
      <c r="G76" s="9">
        <f t="shared" si="24"/>
        <v>1.0486045962730435</v>
      </c>
      <c r="H76" s="14">
        <f t="shared" si="25"/>
        <v>0.04828516543141821</v>
      </c>
      <c r="I76" s="15">
        <f t="shared" si="26"/>
        <v>999999.9993599999</v>
      </c>
      <c r="J76" s="15">
        <f t="shared" si="27"/>
        <v>953648.3083463545</v>
      </c>
      <c r="K76" s="15">
        <f t="shared" si="28"/>
        <v>999999.9993599999</v>
      </c>
    </row>
    <row r="77" spans="2:11" ht="12">
      <c r="B77" s="10">
        <v>25</v>
      </c>
      <c r="C77" s="13">
        <f t="shared" si="29"/>
        <v>525.6276351938228</v>
      </c>
      <c r="D77" s="13">
        <f t="shared" si="29"/>
        <v>36.94244240243875</v>
      </c>
      <c r="E77" s="13">
        <f t="shared" si="29"/>
        <v>652.950345381691</v>
      </c>
      <c r="F77" s="9">
        <f t="shared" si="30"/>
        <v>0.03804974978651016</v>
      </c>
      <c r="G77" s="9">
        <f t="shared" si="24"/>
        <v>0.5413827213189267</v>
      </c>
      <c r="H77" s="14">
        <f t="shared" si="25"/>
        <v>0.030630200506760935</v>
      </c>
      <c r="I77" s="15">
        <f t="shared" si="26"/>
        <v>999999.9993599999</v>
      </c>
      <c r="J77" s="15">
        <f t="shared" si="27"/>
        <v>999999.9993599999</v>
      </c>
      <c r="K77" s="15">
        <f t="shared" si="28"/>
        <v>999999.9993599999</v>
      </c>
    </row>
    <row r="78" spans="2:11" ht="12">
      <c r="B78" s="10">
        <v>30</v>
      </c>
      <c r="C78" s="13">
        <f t="shared" si="29"/>
        <v>815.8053989284</v>
      </c>
      <c r="D78" s="13">
        <f t="shared" si="29"/>
        <v>44.867480865136436</v>
      </c>
      <c r="E78" s="13">
        <f t="shared" si="29"/>
        <v>740.6935752977265</v>
      </c>
      <c r="F78" s="9">
        <f t="shared" si="30"/>
        <v>0.0245156504556981</v>
      </c>
      <c r="G78" s="9">
        <f t="shared" si="24"/>
        <v>0.445757141126697</v>
      </c>
      <c r="H78" s="14">
        <f t="shared" si="25"/>
        <v>0.027001719289870812</v>
      </c>
      <c r="I78" s="15">
        <f t="shared" si="26"/>
        <v>999999.9993599999</v>
      </c>
      <c r="J78" s="15">
        <f t="shared" si="27"/>
        <v>999999.9993599999</v>
      </c>
      <c r="K78" s="15">
        <f t="shared" si="28"/>
        <v>999999.9993599999</v>
      </c>
    </row>
    <row r="79" spans="2:11" ht="12">
      <c r="B79" s="10">
        <v>40</v>
      </c>
      <c r="C79" s="13">
        <f t="shared" si="29"/>
        <v>1666.4431494943929</v>
      </c>
      <c r="D79" s="13">
        <f t="shared" si="29"/>
        <v>55.650147497011204</v>
      </c>
      <c r="E79" s="13">
        <f t="shared" si="29"/>
        <v>808.7677475875693</v>
      </c>
      <c r="F79" s="9">
        <f t="shared" si="30"/>
        <v>0.012001609539496201</v>
      </c>
      <c r="G79" s="9">
        <f t="shared" si="24"/>
        <v>0.3593880860976</v>
      </c>
      <c r="H79" s="14">
        <f t="shared" si="25"/>
        <v>0.024728978201290726</v>
      </c>
      <c r="I79" s="15">
        <f t="shared" si="26"/>
        <v>999999.9993599999</v>
      </c>
      <c r="J79" s="15">
        <f t="shared" si="27"/>
        <v>999999.9993599999</v>
      </c>
      <c r="K79" s="15">
        <f t="shared" si="28"/>
        <v>999999.9993599999</v>
      </c>
    </row>
    <row r="80" spans="2:11" ht="12">
      <c r="B80" s="10">
        <v>50</v>
      </c>
      <c r="C80" s="13">
        <f t="shared" si="29"/>
        <v>2928.892801180477</v>
      </c>
      <c r="D80" s="13">
        <f t="shared" si="29"/>
        <v>57.553450587083695</v>
      </c>
      <c r="E80" s="13">
        <f t="shared" si="29"/>
        <v>741.7343502068887</v>
      </c>
      <c r="F80" s="9">
        <f t="shared" si="30"/>
        <v>0.006828518951577569</v>
      </c>
      <c r="G80" s="9">
        <f t="shared" si="24"/>
        <v>0.3475030566540602</v>
      </c>
      <c r="H80" s="14">
        <f t="shared" si="25"/>
        <v>0.026963831450466717</v>
      </c>
      <c r="I80" s="15">
        <f t="shared" si="26"/>
        <v>999999.9993599999</v>
      </c>
      <c r="J80" s="15">
        <f t="shared" si="27"/>
        <v>999999.9993599999</v>
      </c>
      <c r="K80" s="15">
        <f t="shared" si="28"/>
        <v>999999.9993599999</v>
      </c>
    </row>
    <row r="81" spans="2:11" ht="12">
      <c r="B81" s="10">
        <v>60</v>
      </c>
      <c r="C81" s="13">
        <f t="shared" si="29"/>
        <v>4598.562911750747</v>
      </c>
      <c r="D81" s="13">
        <f t="shared" si="29"/>
        <v>51.245004850194</v>
      </c>
      <c r="E81" s="13">
        <f t="shared" si="29"/>
        <v>585.4700332063468</v>
      </c>
      <c r="F81" s="9">
        <f t="shared" si="30"/>
        <v>0.004349184817912098</v>
      </c>
      <c r="G81" s="9">
        <f t="shared" si="24"/>
        <v>0.3902819417905526</v>
      </c>
      <c r="H81" s="14">
        <f t="shared" si="25"/>
        <v>0.03416058699105283</v>
      </c>
      <c r="I81" s="15">
        <f t="shared" si="26"/>
        <v>999999.9993599999</v>
      </c>
      <c r="J81" s="15">
        <f t="shared" si="27"/>
        <v>999999.9993599999</v>
      </c>
      <c r="K81" s="15">
        <f t="shared" si="28"/>
        <v>999999.9993599999</v>
      </c>
    </row>
    <row r="82" spans="2:11" ht="12">
      <c r="B82" s="10">
        <v>70</v>
      </c>
      <c r="C82" s="13">
        <f t="shared" si="29"/>
        <v>6522.700957570745</v>
      </c>
      <c r="D82" s="13">
        <f t="shared" si="29"/>
        <v>39.52901618732391</v>
      </c>
      <c r="E82" s="13">
        <f t="shared" si="29"/>
        <v>396.37762533283325</v>
      </c>
      <c r="F82" s="9">
        <f t="shared" si="30"/>
        <v>0.003066214460864785</v>
      </c>
      <c r="G82" s="9">
        <f t="shared" si="24"/>
        <v>0.5059574441524695</v>
      </c>
      <c r="H82" s="14">
        <f t="shared" si="25"/>
        <v>0.0504569348060609</v>
      </c>
      <c r="I82" s="15">
        <f t="shared" si="26"/>
        <v>999999.9993599999</v>
      </c>
      <c r="J82" s="15">
        <f t="shared" si="27"/>
        <v>999999.9993599999</v>
      </c>
      <c r="K82" s="15">
        <f t="shared" si="28"/>
        <v>999999.9993599999</v>
      </c>
    </row>
    <row r="83" spans="2:11" ht="12">
      <c r="B83" s="10">
        <v>80</v>
      </c>
      <c r="C83" s="13">
        <f t="shared" si="29"/>
        <v>8297.146812475328</v>
      </c>
      <c r="D83" s="13">
        <f t="shared" si="29"/>
        <v>25.902127151566155</v>
      </c>
      <c r="E83" s="13">
        <f t="shared" si="29"/>
        <v>223.08696084868643</v>
      </c>
      <c r="F83" s="9">
        <f t="shared" si="30"/>
        <v>0.002410467170464988</v>
      </c>
      <c r="G83" s="9">
        <f t="shared" si="24"/>
        <v>0.7721373570197578</v>
      </c>
      <c r="H83" s="14">
        <f t="shared" si="25"/>
        <v>0.08965113838977543</v>
      </c>
      <c r="I83" s="15">
        <f t="shared" si="26"/>
        <v>999999.9993599999</v>
      </c>
      <c r="J83" s="15">
        <f t="shared" si="27"/>
        <v>999999.9993599999</v>
      </c>
      <c r="K83" s="15">
        <f t="shared" si="28"/>
        <v>999999.9993599999</v>
      </c>
    </row>
    <row r="84" spans="2:11" ht="12">
      <c r="B84" s="10">
        <v>90</v>
      </c>
      <c r="C84" s="13">
        <f t="shared" si="29"/>
        <v>9172.82407962368</v>
      </c>
      <c r="D84" s="13">
        <f t="shared" si="29"/>
        <v>13.601556793909614</v>
      </c>
      <c r="E84" s="13">
        <f t="shared" si="29"/>
        <v>96.7171129492978</v>
      </c>
      <c r="F84" s="9">
        <f t="shared" si="30"/>
        <v>0.002180353599544941</v>
      </c>
      <c r="G84" s="9">
        <f t="shared" si="24"/>
        <v>1.4704199161198537</v>
      </c>
      <c r="H84" s="14">
        <f t="shared" si="25"/>
        <v>0.20678863739951212</v>
      </c>
      <c r="I84" s="15">
        <f t="shared" si="26"/>
        <v>999999.9993599999</v>
      </c>
      <c r="J84" s="15">
        <f t="shared" si="27"/>
        <v>680077.8392602309</v>
      </c>
      <c r="K84" s="15">
        <f t="shared" si="28"/>
        <v>999999.9993599999</v>
      </c>
    </row>
    <row r="85" spans="2:11" ht="12">
      <c r="B85" s="10">
        <v>100</v>
      </c>
      <c r="C85" s="13">
        <f t="shared" si="29"/>
        <v>8097.631657621331</v>
      </c>
      <c r="D85" s="13">
        <f t="shared" si="29"/>
        <v>4.934693813597477</v>
      </c>
      <c r="E85" s="13">
        <f t="shared" si="29"/>
        <v>26.833971188478344</v>
      </c>
      <c r="F85" s="9">
        <f t="shared" si="30"/>
        <v>0.002469857959169629</v>
      </c>
      <c r="G85" s="9">
        <f t="shared" si="24"/>
        <v>4.052936363526809</v>
      </c>
      <c r="H85" s="14">
        <f t="shared" si="25"/>
        <v>0.7453238978130589</v>
      </c>
      <c r="I85" s="15">
        <f t="shared" si="26"/>
        <v>999999.9993599999</v>
      </c>
      <c r="J85" s="15">
        <f t="shared" si="27"/>
        <v>246734.6905219636</v>
      </c>
      <c r="K85" s="15">
        <f t="shared" si="28"/>
        <v>999999.9993599999</v>
      </c>
    </row>
    <row r="86" spans="1:12" ht="12">
      <c r="A86" s="2"/>
      <c r="B86" s="3">
        <v>110</v>
      </c>
      <c r="C86" s="26">
        <f t="shared" si="29"/>
        <v>4289.3955118728745</v>
      </c>
      <c r="D86" s="26">
        <f t="shared" si="29"/>
        <v>0.7565321102757533</v>
      </c>
      <c r="E86" s="26">
        <f t="shared" si="29"/>
        <v>2.596822208552707</v>
      </c>
      <c r="F86" s="9">
        <f t="shared" si="30"/>
        <v>0.00466266166051622</v>
      </c>
      <c r="G86" s="26">
        <f t="shared" si="24"/>
        <v>26.436419192716183</v>
      </c>
      <c r="H86" s="27">
        <f t="shared" si="25"/>
        <v>7.701720947290668</v>
      </c>
      <c r="I86" s="28">
        <f t="shared" si="26"/>
        <v>999999.9993599999</v>
      </c>
      <c r="J86" s="28">
        <f t="shared" si="27"/>
        <v>37826.60548957864</v>
      </c>
      <c r="K86" s="28">
        <f t="shared" si="28"/>
        <v>129841.11034453704</v>
      </c>
      <c r="L86" s="2"/>
    </row>
    <row r="87" ht="12">
      <c r="D87" t="s">
        <v>55</v>
      </c>
    </row>
    <row r="88" spans="3:5" ht="12">
      <c r="C88" s="19">
        <f>$C$72*1.13</f>
        <v>0.0113</v>
      </c>
      <c r="D88" s="19">
        <f>$C$72*0.5</f>
        <v>0.005</v>
      </c>
      <c r="E88" s="19">
        <f>$C$72*0.78</f>
        <v>0.0078000000000000005</v>
      </c>
    </row>
    <row r="89" spans="2:10" ht="12">
      <c r="B89" s="10"/>
      <c r="D89" t="s">
        <v>25</v>
      </c>
      <c r="E89" s="10"/>
      <c r="G89" t="s">
        <v>18</v>
      </c>
      <c r="H89" s="10"/>
      <c r="J89" t="s">
        <v>27</v>
      </c>
    </row>
    <row r="90" spans="2:11" ht="12">
      <c r="B90" s="3" t="s">
        <v>2</v>
      </c>
      <c r="C90" s="6" t="s">
        <v>8</v>
      </c>
      <c r="D90" s="2" t="s">
        <v>6</v>
      </c>
      <c r="E90" s="3" t="s">
        <v>4</v>
      </c>
      <c r="F90" s="6" t="s">
        <v>8</v>
      </c>
      <c r="G90" s="2" t="s">
        <v>6</v>
      </c>
      <c r="H90" s="3" t="s">
        <v>4</v>
      </c>
      <c r="I90" s="6" t="s">
        <v>8</v>
      </c>
      <c r="J90" s="2" t="s">
        <v>6</v>
      </c>
      <c r="K90" s="3" t="s">
        <v>4</v>
      </c>
    </row>
    <row r="91" spans="2:11" ht="12">
      <c r="B91" s="11">
        <v>5</v>
      </c>
      <c r="C91" s="13">
        <f>C55*C$72</f>
        <v>10.39957182949116</v>
      </c>
      <c r="D91" s="13">
        <f>D55*D$72</f>
        <v>0.9960321810307059</v>
      </c>
      <c r="E91" s="13">
        <f>E55*E$72</f>
        <v>89.9469645708157</v>
      </c>
      <c r="F91" s="9">
        <f aca="true" t="shared" si="31" ref="F91:F102">$F$69/C91</f>
        <v>1.9231560998774868</v>
      </c>
      <c r="G91" s="9">
        <f aca="true" t="shared" si="32" ref="G91:G102">$F$69/D91</f>
        <v>20.079672505464394</v>
      </c>
      <c r="H91" s="14">
        <f aca="true" t="shared" si="33" ref="H91:H102">$F$69/E91</f>
        <v>0.22235325111225848</v>
      </c>
      <c r="I91" s="15">
        <f aca="true" t="shared" si="34" ref="I91:I102">C91*MIN(F91,1)*$I$69</f>
        <v>519978.59114177164</v>
      </c>
      <c r="J91" s="15">
        <f aca="true" t="shared" si="35" ref="J91:J102">D91*MIN(G91,1)*$I$69</f>
        <v>49801.60901966226</v>
      </c>
      <c r="K91" s="15">
        <f aca="true" t="shared" si="36" ref="K91:K102">E91*MIN(H91,1)*$I$69</f>
        <v>999999.9993599999</v>
      </c>
    </row>
    <row r="92" spans="2:11" ht="12">
      <c r="B92" s="10">
        <v>15</v>
      </c>
      <c r="C92" s="13">
        <f aca="true" t="shared" si="37" ref="C92:E102">C56*C$72</f>
        <v>22.16017213814879</v>
      </c>
      <c r="D92" s="13">
        <f t="shared" si="37"/>
        <v>10.572329799814566</v>
      </c>
      <c r="E92" s="13">
        <f t="shared" si="37"/>
        <v>304.4108734170341</v>
      </c>
      <c r="F92" s="9">
        <f t="shared" si="31"/>
        <v>0.9025200650661892</v>
      </c>
      <c r="G92" s="9">
        <f t="shared" si="32"/>
        <v>1.8917306193333838</v>
      </c>
      <c r="H92" s="14">
        <f t="shared" si="33"/>
        <v>0.06570067545714958</v>
      </c>
      <c r="I92" s="15">
        <f t="shared" si="34"/>
        <v>999999.9993599999</v>
      </c>
      <c r="J92" s="15">
        <f t="shared" si="35"/>
        <v>528616.4896524138</v>
      </c>
      <c r="K92" s="15">
        <f t="shared" si="36"/>
        <v>999999.9993599999</v>
      </c>
    </row>
    <row r="93" spans="2:11" ht="12">
      <c r="B93" s="10">
        <v>25</v>
      </c>
      <c r="C93" s="13">
        <f t="shared" si="37"/>
        <v>18.87716661380762</v>
      </c>
      <c r="D93" s="13">
        <f t="shared" si="37"/>
        <v>14.451200009267763</v>
      </c>
      <c r="E93" s="13">
        <f t="shared" si="37"/>
        <v>346.0785395543474</v>
      </c>
      <c r="F93" s="9">
        <f t="shared" si="31"/>
        <v>1.059481033841757</v>
      </c>
      <c r="G93" s="9">
        <f t="shared" si="32"/>
        <v>1.383968112487109</v>
      </c>
      <c r="H93" s="14">
        <f t="shared" si="33"/>
        <v>0.057790350207078484</v>
      </c>
      <c r="I93" s="15">
        <f t="shared" si="34"/>
        <v>943858.3300863117</v>
      </c>
      <c r="J93" s="15">
        <f t="shared" si="35"/>
        <v>722560.0000009497</v>
      </c>
      <c r="K93" s="15">
        <f t="shared" si="36"/>
        <v>999999.9993599999</v>
      </c>
    </row>
    <row r="94" spans="2:11" ht="12">
      <c r="B94" s="10">
        <v>30</v>
      </c>
      <c r="C94" s="13">
        <f t="shared" si="37"/>
        <v>16.032865678431786</v>
      </c>
      <c r="D94" s="13">
        <f t="shared" si="37"/>
        <v>14.626200019670097</v>
      </c>
      <c r="E94" s="13">
        <f t="shared" si="37"/>
        <v>338.57306306654687</v>
      </c>
      <c r="F94" s="9">
        <f t="shared" si="31"/>
        <v>1.2474376322446836</v>
      </c>
      <c r="G94" s="9">
        <f t="shared" si="32"/>
        <v>1.3674091680069278</v>
      </c>
      <c r="H94" s="14">
        <f t="shared" si="33"/>
        <v>0.05907144478315743</v>
      </c>
      <c r="I94" s="15">
        <f t="shared" si="34"/>
        <v>801643.2834085375</v>
      </c>
      <c r="J94" s="15">
        <f t="shared" si="35"/>
        <v>731310.0005154664</v>
      </c>
      <c r="K94" s="15">
        <f t="shared" si="36"/>
        <v>999999.9993599999</v>
      </c>
    </row>
    <row r="95" spans="2:11" ht="12">
      <c r="B95" s="10">
        <v>40</v>
      </c>
      <c r="C95" s="13">
        <f t="shared" si="37"/>
        <v>10.161714550189753</v>
      </c>
      <c r="D95" s="13">
        <f t="shared" si="37"/>
        <v>12.415314465569566</v>
      </c>
      <c r="E95" s="13">
        <f t="shared" si="37"/>
        <v>299.09800492592996</v>
      </c>
      <c r="F95" s="9">
        <f t="shared" si="31"/>
        <v>1.9681717982942684</v>
      </c>
      <c r="G95" s="9">
        <f t="shared" si="32"/>
        <v>1.6109136869198488</v>
      </c>
      <c r="H95" s="14">
        <f t="shared" si="33"/>
        <v>0.06686771449696863</v>
      </c>
      <c r="I95" s="15">
        <f t="shared" si="34"/>
        <v>508085.72718431277</v>
      </c>
      <c r="J95" s="15">
        <f t="shared" si="35"/>
        <v>620765.7228811882</v>
      </c>
      <c r="K95" s="15">
        <f t="shared" si="36"/>
        <v>999999.9993599999</v>
      </c>
    </row>
    <row r="96" spans="2:11" ht="12">
      <c r="B96" s="10">
        <v>50</v>
      </c>
      <c r="C96" s="13">
        <f t="shared" si="37"/>
        <v>5.3055652258557435</v>
      </c>
      <c r="D96" s="13">
        <f t="shared" si="37"/>
        <v>8.445204588975365</v>
      </c>
      <c r="E96" s="13">
        <f t="shared" si="37"/>
        <v>238.64577521331347</v>
      </c>
      <c r="F96" s="9">
        <f t="shared" si="31"/>
        <v>3.769626637051506</v>
      </c>
      <c r="G96" s="9">
        <f t="shared" si="32"/>
        <v>2.368207873389903</v>
      </c>
      <c r="H96" s="14">
        <f t="shared" si="33"/>
        <v>0.08380621857698091</v>
      </c>
      <c r="I96" s="15">
        <f t="shared" si="34"/>
        <v>265278.2611230091</v>
      </c>
      <c r="J96" s="15">
        <f t="shared" si="35"/>
        <v>422260.22917852167</v>
      </c>
      <c r="K96" s="15">
        <f t="shared" si="36"/>
        <v>999999.9993599999</v>
      </c>
    </row>
    <row r="97" spans="2:11" ht="12">
      <c r="B97" s="10">
        <v>60</v>
      </c>
      <c r="C97" s="13">
        <f t="shared" si="37"/>
        <v>2.209230504428203</v>
      </c>
      <c r="D97" s="13">
        <f t="shared" si="37"/>
        <v>4.645365795914278</v>
      </c>
      <c r="E97" s="13">
        <f t="shared" si="37"/>
        <v>168.49527692240702</v>
      </c>
      <c r="F97" s="9">
        <f t="shared" si="31"/>
        <v>9.05292587618712</v>
      </c>
      <c r="G97" s="9">
        <f t="shared" si="32"/>
        <v>4.305366009624157</v>
      </c>
      <c r="H97" s="14">
        <f t="shared" si="33"/>
        <v>0.11869768912994581</v>
      </c>
      <c r="I97" s="15">
        <f t="shared" si="34"/>
        <v>110461.52515071476</v>
      </c>
      <c r="J97" s="15">
        <f t="shared" si="35"/>
        <v>232268.28964706216</v>
      </c>
      <c r="K97" s="15">
        <f t="shared" si="36"/>
        <v>999999.9993599999</v>
      </c>
    </row>
    <row r="98" spans="2:11" ht="12">
      <c r="B98" s="10">
        <v>70</v>
      </c>
      <c r="C98" s="13">
        <f t="shared" si="37"/>
        <v>0.6986587818062187</v>
      </c>
      <c r="D98" s="13">
        <f t="shared" si="37"/>
        <v>2.024986661266005</v>
      </c>
      <c r="E98" s="13">
        <f t="shared" si="37"/>
        <v>102.19950898942948</v>
      </c>
      <c r="F98" s="9">
        <f t="shared" si="31"/>
        <v>28.62627726269279</v>
      </c>
      <c r="G98" s="9">
        <f t="shared" si="32"/>
        <v>9.87660826738294</v>
      </c>
      <c r="H98" s="14">
        <f t="shared" si="33"/>
        <v>0.19569565644457848</v>
      </c>
      <c r="I98" s="15">
        <f t="shared" si="34"/>
        <v>34932.93906795385</v>
      </c>
      <c r="J98" s="15">
        <f t="shared" si="35"/>
        <v>101249.33299850066</v>
      </c>
      <c r="K98" s="15">
        <f t="shared" si="36"/>
        <v>999999.9993599999</v>
      </c>
    </row>
    <row r="99" spans="2:11" ht="12">
      <c r="B99" s="10">
        <v>80</v>
      </c>
      <c r="C99" s="13">
        <f t="shared" si="37"/>
        <v>0.15330908918927494</v>
      </c>
      <c r="D99" s="13">
        <f t="shared" si="37"/>
        <v>0.6584804163463236</v>
      </c>
      <c r="E99" s="13">
        <f t="shared" si="37"/>
        <v>50.77679877723131</v>
      </c>
      <c r="F99" s="9">
        <f t="shared" si="31"/>
        <v>130.45540943308364</v>
      </c>
      <c r="G99" s="9">
        <f t="shared" si="32"/>
        <v>30.372960992481705</v>
      </c>
      <c r="H99" s="14">
        <f t="shared" si="33"/>
        <v>0.39388067939738153</v>
      </c>
      <c r="I99" s="15">
        <f t="shared" si="34"/>
        <v>7665.454454557856</v>
      </c>
      <c r="J99" s="15">
        <f t="shared" si="35"/>
        <v>32924.020796244804</v>
      </c>
      <c r="K99" s="15">
        <f t="shared" si="36"/>
        <v>999999.9993599999</v>
      </c>
    </row>
    <row r="100" spans="2:11" ht="12">
      <c r="B100" s="10">
        <v>90</v>
      </c>
      <c r="C100" s="13">
        <f t="shared" si="37"/>
        <v>0.019475988224408457</v>
      </c>
      <c r="D100" s="13">
        <f t="shared" si="37"/>
        <v>0.13971234387215034</v>
      </c>
      <c r="E100" s="13">
        <f t="shared" si="37"/>
        <v>18.83768403647022</v>
      </c>
      <c r="F100" s="9">
        <f t="shared" si="31"/>
        <v>1026.9055294937393</v>
      </c>
      <c r="G100" s="9">
        <f t="shared" si="32"/>
        <v>143.15127386526305</v>
      </c>
      <c r="H100" s="14">
        <f t="shared" si="33"/>
        <v>1.0617016381249154</v>
      </c>
      <c r="I100" s="15">
        <f t="shared" si="34"/>
        <v>973.7994105971911</v>
      </c>
      <c r="J100" s="15">
        <f t="shared" si="35"/>
        <v>6985.617189136721</v>
      </c>
      <c r="K100" s="15">
        <f t="shared" si="36"/>
        <v>941884.2012207049</v>
      </c>
    </row>
    <row r="101" spans="2:11" ht="12">
      <c r="B101" s="10">
        <v>100</v>
      </c>
      <c r="C101" s="13">
        <f t="shared" si="37"/>
        <v>0.0009419131803101715</v>
      </c>
      <c r="D101" s="13">
        <f t="shared" si="37"/>
        <v>0.014076318758691706</v>
      </c>
      <c r="E101" s="13">
        <f t="shared" si="37"/>
        <v>4.209405593858832</v>
      </c>
      <c r="F101" s="9">
        <f t="shared" si="31"/>
        <v>21233.379485584872</v>
      </c>
      <c r="G101" s="9">
        <f t="shared" si="32"/>
        <v>1420.8260229721352</v>
      </c>
      <c r="H101" s="14">
        <f t="shared" si="33"/>
        <v>4.751264651042018</v>
      </c>
      <c r="I101" s="15">
        <f t="shared" si="34"/>
        <v>47.09565898536735</v>
      </c>
      <c r="J101" s="15">
        <f t="shared" si="35"/>
        <v>703.8159374841431</v>
      </c>
      <c r="K101" s="15">
        <f t="shared" si="36"/>
        <v>210470.27955824058</v>
      </c>
    </row>
    <row r="102" spans="1:12" ht="12">
      <c r="A102" s="2"/>
      <c r="B102" s="3">
        <v>110</v>
      </c>
      <c r="C102" s="26">
        <f t="shared" si="37"/>
        <v>4.482869245148589E-06</v>
      </c>
      <c r="D102" s="26">
        <f t="shared" si="37"/>
        <v>0.00023985002382077497</v>
      </c>
      <c r="E102" s="26">
        <f t="shared" si="37"/>
        <v>0.2823125363962412</v>
      </c>
      <c r="F102" s="26">
        <f t="shared" si="31"/>
        <v>4461428.363462579</v>
      </c>
      <c r="G102" s="26">
        <f t="shared" si="32"/>
        <v>83385.4409576576</v>
      </c>
      <c r="H102" s="27">
        <f t="shared" si="33"/>
        <v>70.84347105269494</v>
      </c>
      <c r="I102" s="28">
        <f t="shared" si="34"/>
        <v>0.22414346211397762</v>
      </c>
      <c r="J102" s="28">
        <f t="shared" si="35"/>
        <v>11.992501183363547</v>
      </c>
      <c r="K102" s="28">
        <f t="shared" si="36"/>
        <v>14115.626810778058</v>
      </c>
      <c r="L102" s="2"/>
    </row>
    <row r="104" spans="8:9" ht="12">
      <c r="H104">
        <f>200000000000</f>
        <v>200000000000</v>
      </c>
      <c r="I104" t="s">
        <v>60</v>
      </c>
    </row>
    <row r="105" spans="2:7" ht="12">
      <c r="B105" s="10"/>
      <c r="C105" t="s">
        <v>46</v>
      </c>
      <c r="D105" s="10"/>
      <c r="E105" t="s">
        <v>23</v>
      </c>
      <c r="F105" s="10"/>
      <c r="G105" t="s">
        <v>59</v>
      </c>
    </row>
    <row r="106" spans="2:8" ht="12">
      <c r="B106" s="3" t="s">
        <v>2</v>
      </c>
      <c r="C106" s="2" t="s">
        <v>43</v>
      </c>
      <c r="D106" s="3" t="s">
        <v>44</v>
      </c>
      <c r="E106" s="6" t="s">
        <v>45</v>
      </c>
      <c r="F106" s="3" t="s">
        <v>44</v>
      </c>
      <c r="G106" s="2" t="s">
        <v>43</v>
      </c>
      <c r="H106" s="2" t="s">
        <v>44</v>
      </c>
    </row>
    <row r="107" spans="2:8" ht="12">
      <c r="B107" s="11">
        <v>5</v>
      </c>
      <c r="C107" s="9">
        <f>MAX(F75,G75,H75)</f>
        <v>14.196215212394318</v>
      </c>
      <c r="D107" s="14">
        <f aca="true" t="shared" si="38" ref="D107:D117">MAX(F91,G91,H91)</f>
        <v>20.079672505464394</v>
      </c>
      <c r="E107" s="7">
        <f>$C$34*C107</f>
        <v>28392430424.788635</v>
      </c>
      <c r="F107" s="12">
        <f>$C$34*D107</f>
        <v>40159345010.92879</v>
      </c>
      <c r="G107" s="7">
        <f>MIN(E107,H39,$H$104)</f>
        <v>9664517108.457981</v>
      </c>
      <c r="H107" s="7">
        <f>MIN(F107,H55,$H$104)</f>
        <v>14898964241.05835</v>
      </c>
    </row>
    <row r="108" spans="2:8" ht="12">
      <c r="B108" s="10">
        <v>15</v>
      </c>
      <c r="C108" s="9">
        <f aca="true" t="shared" si="39" ref="C108:C118">MAX(F76,G76,H76)</f>
        <v>1.0486045962730435</v>
      </c>
      <c r="D108" s="14">
        <f t="shared" si="38"/>
        <v>1.8917306193333838</v>
      </c>
      <c r="E108" s="7">
        <f aca="true" t="shared" si="40" ref="E108:F118">$C$34*C108</f>
        <v>2097209192.546087</v>
      </c>
      <c r="F108" s="12">
        <f t="shared" si="40"/>
        <v>3783461238.6667676</v>
      </c>
      <c r="G108" s="7">
        <f aca="true" t="shared" si="41" ref="G108:G118">MIN(E108,H40,300000000000)</f>
        <v>2097209192.546087</v>
      </c>
      <c r="H108" s="7">
        <f aca="true" t="shared" si="42" ref="H108:H118">MIN(F108,H56,$H$104)</f>
        <v>3783461238.6667676</v>
      </c>
    </row>
    <row r="109" spans="2:8" ht="12">
      <c r="B109" s="10">
        <v>25</v>
      </c>
      <c r="C109" s="9">
        <f t="shared" si="39"/>
        <v>0.5413827213189267</v>
      </c>
      <c r="D109" s="14">
        <f t="shared" si="38"/>
        <v>1.383968112487109</v>
      </c>
      <c r="E109" s="7">
        <f t="shared" si="40"/>
        <v>1082765442.6378534</v>
      </c>
      <c r="F109" s="12">
        <f t="shared" si="40"/>
        <v>2767936224.974218</v>
      </c>
      <c r="G109" s="7">
        <f t="shared" si="41"/>
        <v>1082765442.6378534</v>
      </c>
      <c r="H109" s="7">
        <f t="shared" si="42"/>
        <v>2767936224.974218</v>
      </c>
    </row>
    <row r="110" spans="2:8" ht="12">
      <c r="B110" s="10">
        <v>30</v>
      </c>
      <c r="C110" s="9">
        <f t="shared" si="39"/>
        <v>0.445757141126697</v>
      </c>
      <c r="D110" s="14">
        <f t="shared" si="38"/>
        <v>1.3674091680069278</v>
      </c>
      <c r="E110" s="7">
        <f t="shared" si="40"/>
        <v>891514282.253394</v>
      </c>
      <c r="F110" s="12">
        <f t="shared" si="40"/>
        <v>2734818336.0138555</v>
      </c>
      <c r="G110" s="7">
        <f t="shared" si="41"/>
        <v>891514282.253394</v>
      </c>
      <c r="H110" s="7">
        <f t="shared" si="42"/>
        <v>2734818336.0138555</v>
      </c>
    </row>
    <row r="111" spans="2:8" ht="12">
      <c r="B111" s="10">
        <v>40</v>
      </c>
      <c r="C111" s="9">
        <f t="shared" si="39"/>
        <v>0.3593880860976</v>
      </c>
      <c r="D111" s="14">
        <f t="shared" si="38"/>
        <v>1.9681717982942684</v>
      </c>
      <c r="E111" s="7">
        <f t="shared" si="40"/>
        <v>718776172.1952</v>
      </c>
      <c r="F111" s="12">
        <f t="shared" si="40"/>
        <v>3936343596.5885367</v>
      </c>
      <c r="G111" s="7">
        <f t="shared" si="41"/>
        <v>718776172.1952</v>
      </c>
      <c r="H111" s="7">
        <f t="shared" si="42"/>
        <v>3936343596.5885367</v>
      </c>
    </row>
    <row r="112" spans="2:8" ht="12">
      <c r="B112" s="10">
        <v>50</v>
      </c>
      <c r="C112" s="9">
        <f t="shared" si="39"/>
        <v>0.3475030566540602</v>
      </c>
      <c r="D112" s="14">
        <f t="shared" si="38"/>
        <v>3.769626637051506</v>
      </c>
      <c r="E112" s="7">
        <f t="shared" si="40"/>
        <v>695006113.3081205</v>
      </c>
      <c r="F112" s="12">
        <f t="shared" si="40"/>
        <v>7539253274.103012</v>
      </c>
      <c r="G112" s="7">
        <f t="shared" si="41"/>
        <v>575825858.9475843</v>
      </c>
      <c r="H112" s="7">
        <f t="shared" si="42"/>
        <v>5728639274.687972</v>
      </c>
    </row>
    <row r="113" spans="2:8" ht="12">
      <c r="B113" s="10">
        <v>60</v>
      </c>
      <c r="C113" s="9">
        <f t="shared" si="39"/>
        <v>0.3902819417905526</v>
      </c>
      <c r="D113" s="14">
        <f t="shared" si="38"/>
        <v>9.05292587618712</v>
      </c>
      <c r="E113" s="7">
        <f t="shared" si="40"/>
        <v>780563883.5811052</v>
      </c>
      <c r="F113" s="12">
        <f t="shared" si="40"/>
        <v>18105851752.374237</v>
      </c>
      <c r="G113" s="7">
        <f t="shared" si="41"/>
        <v>436515885.48251265</v>
      </c>
      <c r="H113" s="7">
        <f t="shared" si="42"/>
        <v>8236648670.7136</v>
      </c>
    </row>
    <row r="114" spans="2:8" ht="12">
      <c r="B114" s="10">
        <v>70</v>
      </c>
      <c r="C114" s="9">
        <f t="shared" si="39"/>
        <v>0.5059574441524695</v>
      </c>
      <c r="D114" s="14">
        <f t="shared" si="38"/>
        <v>28.62627726269279</v>
      </c>
      <c r="E114" s="7">
        <f t="shared" si="40"/>
        <v>1011914888.3049389</v>
      </c>
      <c r="F114" s="12">
        <f t="shared" si="40"/>
        <v>57252554525.385574</v>
      </c>
      <c r="G114" s="7">
        <f t="shared" si="41"/>
        <v>342557793.4930361</v>
      </c>
      <c r="H114" s="7">
        <f t="shared" si="42"/>
        <v>13765460120.703455</v>
      </c>
    </row>
    <row r="115" spans="2:8" ht="12">
      <c r="B115" s="10">
        <v>80</v>
      </c>
      <c r="C115" s="9">
        <f t="shared" si="39"/>
        <v>0.7721373570197578</v>
      </c>
      <c r="D115" s="14">
        <f t="shared" si="38"/>
        <v>130.45540943308364</v>
      </c>
      <c r="E115" s="7">
        <f t="shared" si="40"/>
        <v>1544274714.0395157</v>
      </c>
      <c r="F115" s="12">
        <f t="shared" si="40"/>
        <v>260910818866.1673</v>
      </c>
      <c r="G115" s="7">
        <f t="shared" si="41"/>
        <v>285975192.85782194</v>
      </c>
      <c r="H115" s="7">
        <f t="shared" si="42"/>
        <v>28017211722.64047</v>
      </c>
    </row>
    <row r="116" spans="2:8" ht="12">
      <c r="B116" s="10">
        <v>90</v>
      </c>
      <c r="C116" s="9">
        <f t="shared" si="39"/>
        <v>1.4704199161198537</v>
      </c>
      <c r="D116" s="14">
        <f t="shared" si="38"/>
        <v>1026.9055294937393</v>
      </c>
      <c r="E116" s="7">
        <f t="shared" si="40"/>
        <v>2940839832.2397075</v>
      </c>
      <c r="F116" s="12">
        <f t="shared" si="40"/>
        <v>2053811058987.4788</v>
      </c>
      <c r="G116" s="7">
        <f t="shared" si="41"/>
        <v>266774536.05915555</v>
      </c>
      <c r="H116" s="7">
        <f>MIN(F116,H64,$H$104)</f>
        <v>76165745690.01141</v>
      </c>
    </row>
    <row r="117" spans="2:8" ht="12">
      <c r="B117" s="10">
        <v>100</v>
      </c>
      <c r="C117" s="9">
        <f t="shared" si="39"/>
        <v>4.052936363526809</v>
      </c>
      <c r="D117" s="14">
        <f t="shared" si="38"/>
        <v>21233.379485584872</v>
      </c>
      <c r="E117" s="7">
        <f t="shared" si="40"/>
        <v>8105872727.053618</v>
      </c>
      <c r="F117" s="12">
        <f t="shared" si="40"/>
        <v>42466758971169.74</v>
      </c>
      <c r="G117" s="7">
        <f t="shared" si="41"/>
        <v>306546365.4178026</v>
      </c>
      <c r="H117" s="7">
        <f t="shared" si="42"/>
        <v>200000000000</v>
      </c>
    </row>
    <row r="118" spans="2:8" ht="12">
      <c r="B118" s="10">
        <v>110</v>
      </c>
      <c r="C118" s="9">
        <f t="shared" si="39"/>
        <v>26.436419192716183</v>
      </c>
      <c r="D118" s="14">
        <f>MAX(F102,G102,H102)</f>
        <v>4461428.363462579</v>
      </c>
      <c r="E118" s="7">
        <f>$C$34*C118</f>
        <v>52872838385.432365</v>
      </c>
      <c r="F118" s="12">
        <f t="shared" si="40"/>
        <v>8922856726925159</v>
      </c>
      <c r="G118" s="7">
        <f t="shared" si="41"/>
        <v>581986516.049325</v>
      </c>
      <c r="H118" s="7">
        <f t="shared" si="42"/>
        <v>200000000000</v>
      </c>
    </row>
    <row r="123" spans="2:14" ht="12">
      <c r="B123" s="10"/>
      <c r="D123" t="s">
        <v>61</v>
      </c>
      <c r="E123" s="10"/>
      <c r="F123" s="24" t="s">
        <v>49</v>
      </c>
      <c r="H123" t="s">
        <v>62</v>
      </c>
      <c r="I123" s="10"/>
      <c r="J123" s="24"/>
      <c r="L123" t="s">
        <v>64</v>
      </c>
      <c r="M123" s="10"/>
      <c r="N123" s="10"/>
    </row>
    <row r="124" spans="2:14" ht="12">
      <c r="B124" s="3" t="s">
        <v>2</v>
      </c>
      <c r="C124" s="6" t="s">
        <v>9</v>
      </c>
      <c r="D124" s="2" t="s">
        <v>7</v>
      </c>
      <c r="E124" s="3" t="s">
        <v>5</v>
      </c>
      <c r="F124" s="8" t="s">
        <v>50</v>
      </c>
      <c r="G124" s="6" t="s">
        <v>9</v>
      </c>
      <c r="H124" s="2" t="s">
        <v>7</v>
      </c>
      <c r="I124" s="3" t="s">
        <v>5</v>
      </c>
      <c r="J124" s="8" t="s">
        <v>22</v>
      </c>
      <c r="K124" s="6" t="s">
        <v>9</v>
      </c>
      <c r="L124" s="2" t="s">
        <v>7</v>
      </c>
      <c r="M124" s="3" t="s">
        <v>5</v>
      </c>
      <c r="N124" s="3" t="s">
        <v>22</v>
      </c>
    </row>
    <row r="125" spans="2:14" ht="12">
      <c r="B125" s="11">
        <v>5</v>
      </c>
      <c r="C125" s="15">
        <f>I18*$A39*$G107</f>
        <v>7403.966944591919</v>
      </c>
      <c r="D125" s="29">
        <f>G18*$A39*$G107*EXP(N$25/B125)</f>
        <v>1583.2122045344581</v>
      </c>
      <c r="E125" s="23">
        <f>E18*$A39*$G107*EXP(M$25/B125)</f>
        <v>116012.82085087363</v>
      </c>
      <c r="F125" s="25">
        <f>C125+D125+E125</f>
        <v>125000</v>
      </c>
      <c r="G125" s="15">
        <f>MIN(C125*C$72,$F$69)</f>
        <v>20</v>
      </c>
      <c r="H125" s="15">
        <f aca="true" t="shared" si="43" ref="H125:I136">MIN(D125*D$72,$F$69)</f>
        <v>6.80781247949817</v>
      </c>
      <c r="I125" s="15">
        <f t="shared" si="43"/>
        <v>20</v>
      </c>
      <c r="J125" s="25">
        <f>G125+H125+I125</f>
        <v>46.80781247949817</v>
      </c>
      <c r="K125" s="15">
        <f>G125*$I$69</f>
        <v>999999.9993599999</v>
      </c>
      <c r="L125" s="15">
        <f aca="true" t="shared" si="44" ref="L125:M136">H125*$I$69</f>
        <v>340390.62375705846</v>
      </c>
      <c r="M125" s="22">
        <f t="shared" si="44"/>
        <v>999999.9993599999</v>
      </c>
      <c r="N125" s="30">
        <f>K125+L125+M125</f>
        <v>2340390.6224770583</v>
      </c>
    </row>
    <row r="126" spans="2:14" ht="12">
      <c r="B126" s="10">
        <v>15</v>
      </c>
      <c r="C126" s="15">
        <f aca="true" t="shared" si="45" ref="C126:C136">I19*$A40*$G108</f>
        <v>16967.677178269954</v>
      </c>
      <c r="D126" s="29">
        <f aca="true" t="shared" si="46" ref="D126:D136">G19*$A40*$G108*EXP(N$25/B126)</f>
        <v>4651.162790697674</v>
      </c>
      <c r="E126" s="23">
        <f aca="true" t="shared" si="47" ref="E126:E135">E19*$A40*$G108*EXP(M$25/B126)</f>
        <v>74885.89685622427</v>
      </c>
      <c r="F126" s="25">
        <f aca="true" t="shared" si="48" ref="F126:F136">C126+D126+E126</f>
        <v>96504.7368251919</v>
      </c>
      <c r="G126" s="15">
        <f aca="true" t="shared" si="49" ref="G126:G136">MIN(C126*C$72,$F$69)</f>
        <v>20</v>
      </c>
      <c r="H126" s="15">
        <f t="shared" si="43"/>
        <v>19.999999999999996</v>
      </c>
      <c r="I126" s="15">
        <f t="shared" si="43"/>
        <v>20</v>
      </c>
      <c r="J126" s="25">
        <f aca="true" t="shared" si="50" ref="J126:J136">G126+H126+I126</f>
        <v>60</v>
      </c>
      <c r="K126" s="15">
        <f aca="true" t="shared" si="51" ref="K126:K136">G126*$I$69</f>
        <v>999999.9993599999</v>
      </c>
      <c r="L126" s="15">
        <f t="shared" si="44"/>
        <v>999999.9993599998</v>
      </c>
      <c r="M126" s="22">
        <f t="shared" si="44"/>
        <v>999999.9993599999</v>
      </c>
      <c r="N126" s="25">
        <f aca="true" t="shared" si="52" ref="N126:N136">K126+L126+M126</f>
        <v>2999999.9980799994</v>
      </c>
    </row>
    <row r="127" spans="2:14" ht="12">
      <c r="B127" s="10">
        <v>25</v>
      </c>
      <c r="C127" s="15">
        <f t="shared" si="45"/>
        <v>28456.571954166382</v>
      </c>
      <c r="D127" s="29">
        <f t="shared" si="46"/>
        <v>4651.162790697674</v>
      </c>
      <c r="E127" s="23">
        <f t="shared" si="47"/>
        <v>60947.592218771206</v>
      </c>
      <c r="F127" s="25">
        <f t="shared" si="48"/>
        <v>94055.32696363526</v>
      </c>
      <c r="G127" s="15">
        <f t="shared" si="49"/>
        <v>20</v>
      </c>
      <c r="H127" s="15">
        <f t="shared" si="43"/>
        <v>19.999999999999996</v>
      </c>
      <c r="I127" s="15">
        <f t="shared" si="43"/>
        <v>20</v>
      </c>
      <c r="J127" s="25">
        <f t="shared" si="50"/>
        <v>60</v>
      </c>
      <c r="K127" s="15">
        <f t="shared" si="51"/>
        <v>999999.9993599999</v>
      </c>
      <c r="L127" s="15">
        <f t="shared" si="44"/>
        <v>999999.9993599998</v>
      </c>
      <c r="M127" s="22">
        <f t="shared" si="44"/>
        <v>999999.9993599999</v>
      </c>
      <c r="N127" s="25">
        <f t="shared" si="52"/>
        <v>2999999.9980799994</v>
      </c>
    </row>
    <row r="128" spans="2:14" ht="12">
      <c r="B128" s="10">
        <v>30</v>
      </c>
      <c r="C128" s="15">
        <f t="shared" si="45"/>
        <v>36365.10823420481</v>
      </c>
      <c r="D128" s="29">
        <f t="shared" si="46"/>
        <v>4651.162790697675</v>
      </c>
      <c r="E128" s="23">
        <f t="shared" si="47"/>
        <v>56925.76734062525</v>
      </c>
      <c r="F128" s="25">
        <f t="shared" si="48"/>
        <v>97942.03836552773</v>
      </c>
      <c r="G128" s="15">
        <f t="shared" si="49"/>
        <v>20</v>
      </c>
      <c r="H128" s="15">
        <f t="shared" si="43"/>
        <v>20</v>
      </c>
      <c r="I128" s="15">
        <f t="shared" si="43"/>
        <v>20</v>
      </c>
      <c r="J128" s="25">
        <f t="shared" si="50"/>
        <v>60</v>
      </c>
      <c r="K128" s="15">
        <f t="shared" si="51"/>
        <v>999999.9993599999</v>
      </c>
      <c r="L128" s="15">
        <f t="shared" si="44"/>
        <v>999999.9993599999</v>
      </c>
      <c r="M128" s="22">
        <f t="shared" si="44"/>
        <v>999999.9993599999</v>
      </c>
      <c r="N128" s="25">
        <f t="shared" si="52"/>
        <v>2999999.99808</v>
      </c>
    </row>
    <row r="129" spans="2:14" ht="12">
      <c r="B129" s="10">
        <v>40</v>
      </c>
      <c r="C129" s="15">
        <f t="shared" si="45"/>
        <v>59889.98140872465</v>
      </c>
      <c r="D129" s="29">
        <f t="shared" si="46"/>
        <v>4651.162790697675</v>
      </c>
      <c r="E129" s="23">
        <f t="shared" si="47"/>
        <v>50114.05050051094</v>
      </c>
      <c r="F129" s="25">
        <f t="shared" si="48"/>
        <v>114655.19469993326</v>
      </c>
      <c r="G129" s="15">
        <f t="shared" si="49"/>
        <v>20</v>
      </c>
      <c r="H129" s="15">
        <f t="shared" si="43"/>
        <v>20</v>
      </c>
      <c r="I129" s="15">
        <f t="shared" si="43"/>
        <v>20</v>
      </c>
      <c r="J129" s="25">
        <f t="shared" si="50"/>
        <v>60</v>
      </c>
      <c r="K129" s="15">
        <f t="shared" si="51"/>
        <v>999999.9993599999</v>
      </c>
      <c r="L129" s="15">
        <f t="shared" si="44"/>
        <v>999999.9993599999</v>
      </c>
      <c r="M129" s="22">
        <f t="shared" si="44"/>
        <v>999999.9993599999</v>
      </c>
      <c r="N129" s="25">
        <f t="shared" si="52"/>
        <v>2999999.99808</v>
      </c>
    </row>
    <row r="130" spans="2:14" ht="12">
      <c r="B130" s="10">
        <v>50</v>
      </c>
      <c r="C130" s="15">
        <f t="shared" si="45"/>
        <v>84326.61065025721</v>
      </c>
      <c r="D130" s="29">
        <f t="shared" si="46"/>
        <v>3853.57733950056</v>
      </c>
      <c r="E130" s="23">
        <f t="shared" si="47"/>
        <v>36819.81201024225</v>
      </c>
      <c r="F130" s="25">
        <f t="shared" si="48"/>
        <v>125000.00000000003</v>
      </c>
      <c r="G130" s="15">
        <f t="shared" si="49"/>
        <v>20</v>
      </c>
      <c r="H130" s="15">
        <f t="shared" si="43"/>
        <v>16.57038255985241</v>
      </c>
      <c r="I130" s="15">
        <f t="shared" si="43"/>
        <v>20</v>
      </c>
      <c r="J130" s="25">
        <f t="shared" si="50"/>
        <v>56.570382559852405</v>
      </c>
      <c r="K130" s="15">
        <f t="shared" si="51"/>
        <v>999999.9993599999</v>
      </c>
      <c r="L130" s="15">
        <f t="shared" si="44"/>
        <v>828519.1274623681</v>
      </c>
      <c r="M130" s="22">
        <f t="shared" si="44"/>
        <v>999999.9993599999</v>
      </c>
      <c r="N130" s="25">
        <f t="shared" si="52"/>
        <v>2828519.126182368</v>
      </c>
    </row>
    <row r="131" spans="2:14" ht="12">
      <c r="B131" s="10">
        <v>60</v>
      </c>
      <c r="C131" s="15">
        <f t="shared" si="45"/>
        <v>100367.28806849594</v>
      </c>
      <c r="D131" s="29">
        <f t="shared" si="46"/>
        <v>2601.07658938815</v>
      </c>
      <c r="E131" s="23">
        <f t="shared" si="47"/>
        <v>22031.63534211591</v>
      </c>
      <c r="F131" s="25">
        <f t="shared" si="48"/>
        <v>125000</v>
      </c>
      <c r="G131" s="15">
        <f t="shared" si="49"/>
        <v>20</v>
      </c>
      <c r="H131" s="15">
        <f t="shared" si="43"/>
        <v>11.184629334369044</v>
      </c>
      <c r="I131" s="15">
        <f t="shared" si="43"/>
        <v>20</v>
      </c>
      <c r="J131" s="25">
        <f t="shared" si="50"/>
        <v>51.18462933436904</v>
      </c>
      <c r="K131" s="15">
        <f t="shared" si="51"/>
        <v>999999.9993599999</v>
      </c>
      <c r="L131" s="15">
        <f t="shared" si="44"/>
        <v>559231.466360544</v>
      </c>
      <c r="M131" s="22">
        <f t="shared" si="44"/>
        <v>999999.9993599999</v>
      </c>
      <c r="N131" s="25">
        <f t="shared" si="52"/>
        <v>2559231.465080544</v>
      </c>
    </row>
    <row r="132" spans="2:14" ht="12">
      <c r="B132" s="10">
        <v>70</v>
      </c>
      <c r="C132" s="15">
        <f t="shared" si="45"/>
        <v>111720.1023820174</v>
      </c>
      <c r="D132" s="29">
        <f t="shared" si="46"/>
        <v>1574.5316934976956</v>
      </c>
      <c r="E132" s="23">
        <f t="shared" si="47"/>
        <v>11705.365924484893</v>
      </c>
      <c r="F132" s="25">
        <f t="shared" si="48"/>
        <v>125000</v>
      </c>
      <c r="G132" s="15">
        <f t="shared" si="49"/>
        <v>20</v>
      </c>
      <c r="H132" s="15">
        <f t="shared" si="43"/>
        <v>6.770486282040091</v>
      </c>
      <c r="I132" s="15">
        <f t="shared" si="43"/>
        <v>20</v>
      </c>
      <c r="J132" s="25">
        <f t="shared" si="50"/>
        <v>46.77048628204009</v>
      </c>
      <c r="K132" s="15">
        <f t="shared" si="51"/>
        <v>999999.9993599999</v>
      </c>
      <c r="L132" s="15">
        <f t="shared" si="44"/>
        <v>338524.31388534897</v>
      </c>
      <c r="M132" s="22">
        <f t="shared" si="44"/>
        <v>999999.9993599999</v>
      </c>
      <c r="N132" s="25">
        <f t="shared" si="52"/>
        <v>2338524.312605349</v>
      </c>
    </row>
    <row r="133" spans="2:14" ht="12">
      <c r="B133" s="10">
        <v>80</v>
      </c>
      <c r="C133" s="15">
        <f t="shared" si="45"/>
        <v>118638.90799336473</v>
      </c>
      <c r="D133" s="29">
        <f t="shared" si="46"/>
        <v>861.3216055345299</v>
      </c>
      <c r="E133" s="23">
        <f t="shared" si="47"/>
        <v>5499.770401100731</v>
      </c>
      <c r="F133" s="25">
        <f t="shared" si="48"/>
        <v>124999.99999999999</v>
      </c>
      <c r="G133" s="15">
        <f t="shared" si="49"/>
        <v>20</v>
      </c>
      <c r="H133" s="15">
        <f t="shared" si="43"/>
        <v>3.7036829037984784</v>
      </c>
      <c r="I133" s="15">
        <f t="shared" si="43"/>
        <v>20</v>
      </c>
      <c r="J133" s="25">
        <f t="shared" si="50"/>
        <v>43.70368290379848</v>
      </c>
      <c r="K133" s="15">
        <f t="shared" si="51"/>
        <v>999999.9993599999</v>
      </c>
      <c r="L133" s="15">
        <f t="shared" si="44"/>
        <v>185184.14507140606</v>
      </c>
      <c r="M133" s="22">
        <f t="shared" si="44"/>
        <v>999999.9993599999</v>
      </c>
      <c r="N133" s="25">
        <f t="shared" si="52"/>
        <v>2185184.143791406</v>
      </c>
    </row>
    <row r="134" spans="2:14" ht="12">
      <c r="B134" s="10">
        <v>90</v>
      </c>
      <c r="C134" s="15">
        <f t="shared" si="45"/>
        <v>122353.79440969291</v>
      </c>
      <c r="D134" s="29">
        <f t="shared" si="46"/>
        <v>421.92430271831313</v>
      </c>
      <c r="E134" s="23">
        <f t="shared" si="47"/>
        <v>2224.2812875887817</v>
      </c>
      <c r="F134" s="25">
        <f t="shared" si="48"/>
        <v>125000</v>
      </c>
      <c r="G134" s="15">
        <f t="shared" si="49"/>
        <v>20</v>
      </c>
      <c r="H134" s="15">
        <f t="shared" si="43"/>
        <v>1.8142745016887465</v>
      </c>
      <c r="I134" s="15">
        <f t="shared" si="43"/>
        <v>12.900831468014932</v>
      </c>
      <c r="J134" s="25">
        <f t="shared" si="50"/>
        <v>34.71510596970368</v>
      </c>
      <c r="K134" s="15">
        <f t="shared" si="51"/>
        <v>999999.9993599999</v>
      </c>
      <c r="L134" s="15">
        <f t="shared" si="44"/>
        <v>90713.72502638053</v>
      </c>
      <c r="M134" s="22">
        <f t="shared" si="44"/>
        <v>645041.5729879199</v>
      </c>
      <c r="N134" s="25">
        <f t="shared" si="52"/>
        <v>1735755.2973743004</v>
      </c>
    </row>
    <row r="135" spans="2:14" ht="12">
      <c r="B135" s="10">
        <v>100</v>
      </c>
      <c r="C135" s="15">
        <f t="shared" si="45"/>
        <v>124114.97765679774</v>
      </c>
      <c r="D135" s="29">
        <f>G28*$A49*$G117*EXP(N$25/B135)</f>
        <v>175.89679686139786</v>
      </c>
      <c r="E135" s="23">
        <f t="shared" si="47"/>
        <v>709.1255463408679</v>
      </c>
      <c r="F135" s="25">
        <f t="shared" si="48"/>
        <v>125000.00000000001</v>
      </c>
      <c r="G135" s="15">
        <f t="shared" si="49"/>
        <v>20</v>
      </c>
      <c r="H135" s="15">
        <f t="shared" si="43"/>
        <v>0.7563562265040108</v>
      </c>
      <c r="I135" s="15">
        <f t="shared" si="43"/>
        <v>4.112928168777033</v>
      </c>
      <c r="J135" s="25">
        <f t="shared" si="50"/>
        <v>24.869284395281042</v>
      </c>
      <c r="K135" s="15">
        <f t="shared" si="51"/>
        <v>999999.9993599999</v>
      </c>
      <c r="L135" s="15">
        <f t="shared" si="44"/>
        <v>37817.811300997135</v>
      </c>
      <c r="M135" s="22">
        <f t="shared" si="44"/>
        <v>205646.40830723796</v>
      </c>
      <c r="N135" s="25">
        <f t="shared" si="52"/>
        <v>1243464.218968235</v>
      </c>
    </row>
    <row r="136" spans="2:14" ht="12">
      <c r="B136" s="10">
        <v>110</v>
      </c>
      <c r="C136" s="15">
        <f t="shared" si="45"/>
        <v>124818.51749562526</v>
      </c>
      <c r="D136" s="29">
        <f t="shared" si="46"/>
        <v>51.19668455102667</v>
      </c>
      <c r="E136" s="23">
        <f>E29*$A50*$G118*EXP(M$25/B136)</f>
        <v>130.28581982371585</v>
      </c>
      <c r="F136" s="25">
        <f t="shared" si="48"/>
        <v>125000.00000000001</v>
      </c>
      <c r="G136" s="15">
        <f t="shared" si="49"/>
        <v>20</v>
      </c>
      <c r="H136" s="15">
        <f t="shared" si="43"/>
        <v>0.2201457435694147</v>
      </c>
      <c r="I136" s="15">
        <f t="shared" si="43"/>
        <v>0.7556577549775519</v>
      </c>
      <c r="J136" s="25">
        <f t="shared" si="50"/>
        <v>20.975803498546966</v>
      </c>
      <c r="K136" s="15">
        <f t="shared" si="51"/>
        <v>999999.9993599999</v>
      </c>
      <c r="L136" s="15">
        <f t="shared" si="44"/>
        <v>11007.28717142607</v>
      </c>
      <c r="M136" s="22">
        <f t="shared" si="44"/>
        <v>37782.88772469655</v>
      </c>
      <c r="N136" s="25">
        <f t="shared" si="52"/>
        <v>1048790.1742561227</v>
      </c>
    </row>
    <row r="139" spans="2:14" ht="12">
      <c r="B139" s="10"/>
      <c r="D139" t="s">
        <v>61</v>
      </c>
      <c r="E139" s="10"/>
      <c r="F139" s="24" t="s">
        <v>49</v>
      </c>
      <c r="H139" t="s">
        <v>62</v>
      </c>
      <c r="I139" s="10"/>
      <c r="J139" s="24"/>
      <c r="L139" t="s">
        <v>64</v>
      </c>
      <c r="M139" s="10"/>
      <c r="N139" s="24"/>
    </row>
    <row r="140" spans="2:14" ht="12">
      <c r="B140" s="3" t="s">
        <v>2</v>
      </c>
      <c r="C140" s="6" t="s">
        <v>8</v>
      </c>
      <c r="D140" s="2" t="s">
        <v>6</v>
      </c>
      <c r="E140" s="3" t="s">
        <v>4</v>
      </c>
      <c r="F140" s="8" t="s">
        <v>63</v>
      </c>
      <c r="G140" s="6" t="s">
        <v>8</v>
      </c>
      <c r="H140" s="2" t="s">
        <v>6</v>
      </c>
      <c r="I140" s="3" t="s">
        <v>4</v>
      </c>
      <c r="J140" s="8" t="s">
        <v>22</v>
      </c>
      <c r="K140" s="6" t="s">
        <v>8</v>
      </c>
      <c r="L140" s="2" t="s">
        <v>6</v>
      </c>
      <c r="M140" s="3" t="s">
        <v>4</v>
      </c>
      <c r="N140" s="8" t="s">
        <v>22</v>
      </c>
    </row>
    <row r="141" spans="2:14" ht="12">
      <c r="B141" s="11">
        <v>5</v>
      </c>
      <c r="C141" s="15">
        <f>H18*$A55*$H107</f>
        <v>7747.142440495328</v>
      </c>
      <c r="D141" s="15">
        <f>F18*$A55*$H107*EXP(N$25/B141)</f>
        <v>1725.5637032697493</v>
      </c>
      <c r="E141" s="15">
        <f>D18*$A55*$H107*EXP(M$25/B141)</f>
        <v>115527.29385623494</v>
      </c>
      <c r="F141" s="25">
        <f>C141+D141+E141</f>
        <v>125000.00000000003</v>
      </c>
      <c r="G141" s="15">
        <f>MIN(C141*C$88,$F$69)</f>
        <v>20</v>
      </c>
      <c r="H141" s="15">
        <f aca="true" t="shared" si="53" ref="H141:I152">MIN(D141*D$88,$F$69)</f>
        <v>8.627818516348746</v>
      </c>
      <c r="I141" s="15">
        <f t="shared" si="53"/>
        <v>20</v>
      </c>
      <c r="J141" s="25">
        <f>G141+H141+I141</f>
        <v>48.627818516348746</v>
      </c>
      <c r="K141" s="15">
        <f>G141*$I$69</f>
        <v>999999.9993599999</v>
      </c>
      <c r="L141" s="15">
        <f aca="true" t="shared" si="54" ref="L141:M152">H141*$I$69</f>
        <v>431390.9255413471</v>
      </c>
      <c r="M141" s="23">
        <f t="shared" si="54"/>
        <v>999999.9993599999</v>
      </c>
      <c r="N141" s="30">
        <f>K141+L141+M141</f>
        <v>2431390.924261347</v>
      </c>
    </row>
    <row r="142" spans="2:14" ht="12">
      <c r="B142" s="10">
        <v>15</v>
      </c>
      <c r="C142" s="15">
        <f aca="true" t="shared" si="55" ref="C142:C152">H19*$A56*$H108</f>
        <v>4192.107616343461</v>
      </c>
      <c r="D142" s="15">
        <f aca="true" t="shared" si="56" ref="D142:D152">F19*$A56*$H108*EXP(N$25/B142)</f>
        <v>4651.162790697674</v>
      </c>
      <c r="E142" s="15">
        <f aca="true" t="shared" si="57" ref="E142:E152">D19*$A56*$H108*EXP(M$25/B142)</f>
        <v>99286.7879484521</v>
      </c>
      <c r="F142" s="25">
        <f aca="true" t="shared" si="58" ref="F142:F152">C142+D142+E142</f>
        <v>108130.05835549324</v>
      </c>
      <c r="G142" s="15">
        <f aca="true" t="shared" si="59" ref="G142:G152">MIN(C142*C$88,$F$69)</f>
        <v>20</v>
      </c>
      <c r="H142" s="15">
        <f t="shared" si="53"/>
        <v>20</v>
      </c>
      <c r="I142" s="15">
        <f t="shared" si="53"/>
        <v>20</v>
      </c>
      <c r="J142" s="25">
        <f aca="true" t="shared" si="60" ref="J142:J152">G142+H142+I142</f>
        <v>60</v>
      </c>
      <c r="K142" s="15">
        <f aca="true" t="shared" si="61" ref="K142:K152">G142*$I$69</f>
        <v>999999.9993599999</v>
      </c>
      <c r="L142" s="15">
        <f t="shared" si="54"/>
        <v>999999.9993599999</v>
      </c>
      <c r="M142" s="22">
        <f t="shared" si="54"/>
        <v>999999.9993599999</v>
      </c>
      <c r="N142" s="25">
        <f aca="true" t="shared" si="62" ref="N142:N152">K142+L142+M142</f>
        <v>2999999.99808</v>
      </c>
    </row>
    <row r="143" spans="2:14" ht="12">
      <c r="B143" s="10">
        <v>25</v>
      </c>
      <c r="C143" s="15">
        <f t="shared" si="55"/>
        <v>2612.5396647616003</v>
      </c>
      <c r="D143" s="15">
        <f t="shared" si="56"/>
        <v>4651.162790697674</v>
      </c>
      <c r="E143" s="15">
        <f t="shared" si="57"/>
        <v>82579.59709643543</v>
      </c>
      <c r="F143" s="25">
        <f t="shared" si="58"/>
        <v>89843.29955189471</v>
      </c>
      <c r="G143" s="15">
        <f t="shared" si="59"/>
        <v>20</v>
      </c>
      <c r="H143" s="15">
        <f t="shared" si="53"/>
        <v>20</v>
      </c>
      <c r="I143" s="15">
        <f t="shared" si="53"/>
        <v>20</v>
      </c>
      <c r="J143" s="25">
        <f t="shared" si="60"/>
        <v>60</v>
      </c>
      <c r="K143" s="15">
        <f t="shared" si="61"/>
        <v>999999.9993599999</v>
      </c>
      <c r="L143" s="15">
        <f t="shared" si="54"/>
        <v>999999.9993599999</v>
      </c>
      <c r="M143" s="22">
        <f t="shared" si="54"/>
        <v>999999.9993599999</v>
      </c>
      <c r="N143" s="25">
        <f t="shared" si="62"/>
        <v>2999999.99808</v>
      </c>
    </row>
    <row r="144" spans="2:14" ht="12">
      <c r="B144" s="10">
        <v>30</v>
      </c>
      <c r="C144" s="15">
        <f t="shared" si="55"/>
        <v>2192.3487518111237</v>
      </c>
      <c r="D144" s="15">
        <f t="shared" si="56"/>
        <v>4651.162790697675</v>
      </c>
      <c r="E144" s="15">
        <f t="shared" si="57"/>
        <v>79822.05353058345</v>
      </c>
      <c r="F144" s="25">
        <f t="shared" si="58"/>
        <v>86665.56507309225</v>
      </c>
      <c r="G144" s="15">
        <f t="shared" si="59"/>
        <v>20</v>
      </c>
      <c r="H144" s="15">
        <f t="shared" si="53"/>
        <v>20</v>
      </c>
      <c r="I144" s="15">
        <f t="shared" si="53"/>
        <v>20</v>
      </c>
      <c r="J144" s="25">
        <f t="shared" si="60"/>
        <v>60</v>
      </c>
      <c r="K144" s="15">
        <f t="shared" si="61"/>
        <v>999999.9993599999</v>
      </c>
      <c r="L144" s="15">
        <f t="shared" si="54"/>
        <v>999999.9993599999</v>
      </c>
      <c r="M144" s="22">
        <f t="shared" si="54"/>
        <v>999999.9993599999</v>
      </c>
      <c r="N144" s="25">
        <f t="shared" si="62"/>
        <v>2999999.99808</v>
      </c>
    </row>
    <row r="145" spans="2:14" ht="12">
      <c r="B145" s="10">
        <v>40</v>
      </c>
      <c r="C145" s="15">
        <f t="shared" si="55"/>
        <v>1999.9999999999998</v>
      </c>
      <c r="D145" s="15">
        <f t="shared" si="56"/>
        <v>5682.667860020674</v>
      </c>
      <c r="E145" s="15">
        <f t="shared" si="57"/>
        <v>101495.90658987855</v>
      </c>
      <c r="F145" s="25">
        <f t="shared" si="58"/>
        <v>109178.57444989923</v>
      </c>
      <c r="G145" s="15">
        <f t="shared" si="59"/>
        <v>20</v>
      </c>
      <c r="H145" s="15">
        <f t="shared" si="53"/>
        <v>20</v>
      </c>
      <c r="I145" s="15">
        <f t="shared" si="53"/>
        <v>20</v>
      </c>
      <c r="J145" s="25">
        <f t="shared" si="60"/>
        <v>60</v>
      </c>
      <c r="K145" s="15">
        <f t="shared" si="61"/>
        <v>999999.9993599999</v>
      </c>
      <c r="L145" s="15">
        <f t="shared" si="54"/>
        <v>999999.9993599999</v>
      </c>
      <c r="M145" s="22">
        <f t="shared" si="54"/>
        <v>999999.9993599999</v>
      </c>
      <c r="N145" s="25">
        <f t="shared" si="62"/>
        <v>2999999.99808</v>
      </c>
    </row>
    <row r="146" spans="2:14" ht="12">
      <c r="B146" s="10">
        <v>50</v>
      </c>
      <c r="C146" s="15">
        <f t="shared" si="55"/>
        <v>1519.6834663627988</v>
      </c>
      <c r="D146" s="15">
        <f t="shared" si="56"/>
        <v>5625.52682455574</v>
      </c>
      <c r="E146" s="15">
        <f t="shared" si="57"/>
        <v>117854.78970908147</v>
      </c>
      <c r="F146" s="25">
        <f t="shared" si="58"/>
        <v>125000</v>
      </c>
      <c r="G146" s="15">
        <f t="shared" si="59"/>
        <v>17.172423169899623</v>
      </c>
      <c r="H146" s="15">
        <f t="shared" si="53"/>
        <v>20</v>
      </c>
      <c r="I146" s="15">
        <f t="shared" si="53"/>
        <v>20</v>
      </c>
      <c r="J146" s="25">
        <f t="shared" si="60"/>
        <v>57.17242316989962</v>
      </c>
      <c r="K146" s="15">
        <f t="shared" si="61"/>
        <v>858621.1579454636</v>
      </c>
      <c r="L146" s="15">
        <f t="shared" si="54"/>
        <v>999999.9993599999</v>
      </c>
      <c r="M146" s="22">
        <f t="shared" si="54"/>
        <v>999999.9993599999</v>
      </c>
      <c r="N146" s="25">
        <f t="shared" si="62"/>
        <v>2858621.1566654635</v>
      </c>
    </row>
    <row r="147" spans="2:14" ht="12">
      <c r="B147" s="10">
        <v>60</v>
      </c>
      <c r="C147" s="15">
        <f t="shared" si="55"/>
        <v>909.8327748799247</v>
      </c>
      <c r="D147" s="15">
        <f t="shared" si="56"/>
        <v>4449.098373011135</v>
      </c>
      <c r="E147" s="15">
        <f t="shared" si="57"/>
        <v>119641.06885210895</v>
      </c>
      <c r="F147" s="25">
        <f t="shared" si="58"/>
        <v>125000</v>
      </c>
      <c r="G147" s="15">
        <f t="shared" si="59"/>
        <v>10.281110356143149</v>
      </c>
      <c r="H147" s="15">
        <f t="shared" si="53"/>
        <v>20</v>
      </c>
      <c r="I147" s="15">
        <f t="shared" si="53"/>
        <v>20</v>
      </c>
      <c r="J147" s="25">
        <f t="shared" si="60"/>
        <v>50.281110356143145</v>
      </c>
      <c r="K147" s="15">
        <f t="shared" si="61"/>
        <v>514055.51747816184</v>
      </c>
      <c r="L147" s="15">
        <f t="shared" si="54"/>
        <v>999999.9993599999</v>
      </c>
      <c r="M147" s="22">
        <f t="shared" si="54"/>
        <v>999999.9993599999</v>
      </c>
      <c r="N147" s="25">
        <f t="shared" si="62"/>
        <v>2514055.5161981615</v>
      </c>
    </row>
    <row r="148" spans="2:14" ht="12">
      <c r="B148" s="10">
        <v>70</v>
      </c>
      <c r="C148" s="15">
        <f t="shared" si="55"/>
        <v>480.867979946638</v>
      </c>
      <c r="D148" s="15">
        <f t="shared" si="56"/>
        <v>3241.264317513212</v>
      </c>
      <c r="E148" s="15">
        <f t="shared" si="57"/>
        <v>121277.86770254014</v>
      </c>
      <c r="F148" s="25">
        <f t="shared" si="58"/>
        <v>124999.99999999999</v>
      </c>
      <c r="G148" s="15">
        <f t="shared" si="59"/>
        <v>5.433808173397009</v>
      </c>
      <c r="H148" s="15">
        <f t="shared" si="53"/>
        <v>16.20632158756606</v>
      </c>
      <c r="I148" s="15">
        <f t="shared" si="53"/>
        <v>20</v>
      </c>
      <c r="J148" s="25">
        <f t="shared" si="60"/>
        <v>41.64012976096306</v>
      </c>
      <c r="K148" s="15">
        <f t="shared" si="61"/>
        <v>271690.40849596856</v>
      </c>
      <c r="L148" s="15">
        <f t="shared" si="54"/>
        <v>810316.0788597006</v>
      </c>
      <c r="M148" s="22">
        <f t="shared" si="54"/>
        <v>999999.9993599999</v>
      </c>
      <c r="N148" s="25">
        <f t="shared" si="62"/>
        <v>2082006.4867156688</v>
      </c>
    </row>
    <row r="149" spans="2:14" ht="12">
      <c r="B149" s="10">
        <v>80</v>
      </c>
      <c r="C149" s="15">
        <f t="shared" si="55"/>
        <v>214.76466054105433</v>
      </c>
      <c r="D149" s="15">
        <f t="shared" si="56"/>
        <v>2145.207586045046</v>
      </c>
      <c r="E149" s="15">
        <f t="shared" si="57"/>
        <v>122640.02775341392</v>
      </c>
      <c r="F149" s="25">
        <f t="shared" si="58"/>
        <v>125000.00000000001</v>
      </c>
      <c r="G149" s="15">
        <f t="shared" si="59"/>
        <v>2.4268406641139135</v>
      </c>
      <c r="H149" s="15">
        <f t="shared" si="53"/>
        <v>10.72603793022523</v>
      </c>
      <c r="I149" s="15">
        <f t="shared" si="53"/>
        <v>20</v>
      </c>
      <c r="J149" s="25">
        <f t="shared" si="60"/>
        <v>33.15287859433914</v>
      </c>
      <c r="K149" s="15">
        <f t="shared" si="61"/>
        <v>121342.03312803677</v>
      </c>
      <c r="L149" s="15">
        <f t="shared" si="54"/>
        <v>536301.8961680282</v>
      </c>
      <c r="M149" s="22">
        <f t="shared" si="54"/>
        <v>999999.9993599999</v>
      </c>
      <c r="N149" s="25">
        <f t="shared" si="62"/>
        <v>1657643.928656065</v>
      </c>
    </row>
    <row r="150" spans="2:14" ht="12">
      <c r="B150" s="10">
        <v>90</v>
      </c>
      <c r="C150" s="15">
        <f t="shared" si="55"/>
        <v>74.17015830809757</v>
      </c>
      <c r="D150" s="15">
        <f t="shared" si="56"/>
        <v>1237.3598666420496</v>
      </c>
      <c r="E150" s="15">
        <f t="shared" si="57"/>
        <v>123688.46997504987</v>
      </c>
      <c r="F150" s="25">
        <f t="shared" si="58"/>
        <v>125000.00000000001</v>
      </c>
      <c r="G150" s="15">
        <f t="shared" si="59"/>
        <v>0.8381227888815025</v>
      </c>
      <c r="H150" s="15">
        <f t="shared" si="53"/>
        <v>6.186799333210248</v>
      </c>
      <c r="I150" s="15">
        <f t="shared" si="53"/>
        <v>20</v>
      </c>
      <c r="J150" s="25">
        <f t="shared" si="60"/>
        <v>27.024922122091752</v>
      </c>
      <c r="K150" s="15">
        <f t="shared" si="61"/>
        <v>41906.139417255195</v>
      </c>
      <c r="L150" s="15">
        <f>H150*$I$69</f>
        <v>309339.9664625348</v>
      </c>
      <c r="M150" s="22">
        <f t="shared" si="54"/>
        <v>999999.9993599999</v>
      </c>
      <c r="N150" s="25">
        <f>K150+L150+M150</f>
        <v>1351246.10523979</v>
      </c>
    </row>
    <row r="151" spans="2:14" ht="12">
      <c r="B151" s="10">
        <v>100</v>
      </c>
      <c r="C151" s="15">
        <f t="shared" si="55"/>
        <v>9.419131803101713</v>
      </c>
      <c r="D151" s="15">
        <f>F28*$A65*$H117*EXP(N$25/B151)</f>
        <v>327.3562502021327</v>
      </c>
      <c r="E151" s="15">
        <f t="shared" si="57"/>
        <v>72575.95851480745</v>
      </c>
      <c r="F151" s="25">
        <f t="shared" si="58"/>
        <v>72912.73389681269</v>
      </c>
      <c r="G151" s="15">
        <f t="shared" si="59"/>
        <v>0.10643618937504935</v>
      </c>
      <c r="H151" s="15">
        <f t="shared" si="53"/>
        <v>1.6367812510106634</v>
      </c>
      <c r="I151" s="15">
        <f t="shared" si="53"/>
        <v>20</v>
      </c>
      <c r="J151" s="25">
        <f t="shared" si="60"/>
        <v>21.743217440385713</v>
      </c>
      <c r="K151" s="15">
        <f t="shared" si="61"/>
        <v>5321.80946534651</v>
      </c>
      <c r="L151" s="15">
        <f t="shared" si="54"/>
        <v>81839.06249815617</v>
      </c>
      <c r="M151" s="22">
        <f t="shared" si="54"/>
        <v>999999.9993599999</v>
      </c>
      <c r="N151" s="25">
        <f t="shared" si="62"/>
        <v>1087160.8713235026</v>
      </c>
    </row>
    <row r="152" spans="2:14" ht="12">
      <c r="B152" s="10">
        <v>110</v>
      </c>
      <c r="C152" s="15">
        <f t="shared" si="55"/>
        <v>0.044828692451485894</v>
      </c>
      <c r="D152" s="15">
        <f t="shared" si="56"/>
        <v>5.577907530715697</v>
      </c>
      <c r="E152" s="15">
        <f t="shared" si="57"/>
        <v>4867.457524073124</v>
      </c>
      <c r="F152" s="25">
        <f t="shared" si="58"/>
        <v>4873.080260296291</v>
      </c>
      <c r="G152" s="15">
        <f t="shared" si="59"/>
        <v>0.0005065642247017905</v>
      </c>
      <c r="H152" s="15">
        <f t="shared" si="53"/>
        <v>0.027889537653578485</v>
      </c>
      <c r="I152" s="15">
        <f t="shared" si="53"/>
        <v>20</v>
      </c>
      <c r="J152" s="25">
        <f t="shared" si="60"/>
        <v>20.02839610187828</v>
      </c>
      <c r="K152" s="15">
        <f t="shared" si="61"/>
        <v>25.32821121887947</v>
      </c>
      <c r="L152" s="15">
        <f t="shared" si="54"/>
        <v>1394.476881786459</v>
      </c>
      <c r="M152" s="22">
        <f t="shared" si="54"/>
        <v>999999.9993599999</v>
      </c>
      <c r="N152" s="25">
        <f t="shared" si="62"/>
        <v>1001419.8044530052</v>
      </c>
    </row>
    <row r="160" spans="2:3" ht="12">
      <c r="B160" t="s">
        <v>65</v>
      </c>
      <c r="C160" t="s">
        <v>95</v>
      </c>
    </row>
    <row r="161" spans="2:12" ht="12">
      <c r="B161" t="s">
        <v>2</v>
      </c>
      <c r="C161" t="s">
        <v>98</v>
      </c>
      <c r="D161" t="s">
        <v>99</v>
      </c>
      <c r="E161" s="40" t="s">
        <v>100</v>
      </c>
      <c r="F161" s="18" t="s">
        <v>109</v>
      </c>
      <c r="G161" t="s">
        <v>108</v>
      </c>
      <c r="H161" s="40" t="s">
        <v>110</v>
      </c>
      <c r="I161" t="s">
        <v>102</v>
      </c>
      <c r="J161" t="s">
        <v>103</v>
      </c>
      <c r="K161" s="40" t="s">
        <v>104</v>
      </c>
      <c r="L161" t="s">
        <v>115</v>
      </c>
    </row>
    <row r="162" spans="2:12" ht="12">
      <c r="B162" s="31">
        <v>5</v>
      </c>
      <c r="C162" s="9">
        <f aca="true" t="shared" si="63" ref="C162:C171">C75</f>
        <v>15.321959414014131</v>
      </c>
      <c r="D162" s="9">
        <f aca="true" t="shared" si="64" ref="D162:K162">D75</f>
        <v>1.4088262047858051</v>
      </c>
      <c r="E162" s="9">
        <f t="shared" si="64"/>
        <v>139.24634896578442</v>
      </c>
      <c r="F162" s="9">
        <f t="shared" si="64"/>
        <v>1.30531607998564</v>
      </c>
      <c r="G162" s="9">
        <f t="shared" si="64"/>
        <v>14.196215212394318</v>
      </c>
      <c r="H162" s="9">
        <f t="shared" si="64"/>
        <v>0.1436303367990955</v>
      </c>
      <c r="I162" s="15">
        <f t="shared" si="64"/>
        <v>766097.9702104038</v>
      </c>
      <c r="J162" s="15">
        <f t="shared" si="64"/>
        <v>70441.3101942078</v>
      </c>
      <c r="K162" s="15">
        <f t="shared" si="64"/>
        <v>999999.9993599999</v>
      </c>
      <c r="L162" s="15">
        <f>SUM(I162:K162)/F$68</f>
        <v>30608.98799607686</v>
      </c>
    </row>
    <row r="163" spans="2:12" ht="12">
      <c r="B163" s="31">
        <v>15</v>
      </c>
      <c r="C163" s="9">
        <f t="shared" si="63"/>
        <v>161.81196647980153</v>
      </c>
      <c r="D163" s="9">
        <f aca="true" t="shared" si="65" ref="D163:K171">D76</f>
        <v>19.07296617913379</v>
      </c>
      <c r="E163" s="9">
        <f t="shared" si="65"/>
        <v>414.20589162953127</v>
      </c>
      <c r="F163" s="9">
        <f t="shared" si="65"/>
        <v>0.12360025302885455</v>
      </c>
      <c r="G163" s="9">
        <f t="shared" si="65"/>
        <v>1.0486045962730435</v>
      </c>
      <c r="H163" s="9">
        <f t="shared" si="65"/>
        <v>0.04828516543141821</v>
      </c>
      <c r="I163" s="15">
        <f t="shared" si="65"/>
        <v>999999.9993599999</v>
      </c>
      <c r="J163" s="15">
        <f t="shared" si="65"/>
        <v>953648.3083463545</v>
      </c>
      <c r="K163" s="15">
        <f t="shared" si="65"/>
        <v>999999.9993599999</v>
      </c>
      <c r="L163" s="15">
        <f aca="true" t="shared" si="66" ref="L163:L189">SUM(I163:K163)/F$68</f>
        <v>49227.47178443924</v>
      </c>
    </row>
    <row r="164" spans="2:12" ht="12">
      <c r="B164" s="31">
        <v>25</v>
      </c>
      <c r="C164" s="9">
        <f t="shared" si="63"/>
        <v>525.6276351938228</v>
      </c>
      <c r="D164" s="9">
        <f t="shared" si="65"/>
        <v>36.94244240243875</v>
      </c>
      <c r="E164" s="9">
        <f t="shared" si="65"/>
        <v>652.950345381691</v>
      </c>
      <c r="F164" s="9">
        <f t="shared" si="65"/>
        <v>0.03804974978651016</v>
      </c>
      <c r="G164" s="9">
        <f t="shared" si="65"/>
        <v>0.5413827213189267</v>
      </c>
      <c r="H164" s="9">
        <f t="shared" si="65"/>
        <v>0.030630200506760935</v>
      </c>
      <c r="I164" s="15">
        <f t="shared" si="65"/>
        <v>999999.9993599999</v>
      </c>
      <c r="J164" s="15">
        <f t="shared" si="65"/>
        <v>999999.9993599999</v>
      </c>
      <c r="K164" s="15">
        <f t="shared" si="65"/>
        <v>999999.9993599999</v>
      </c>
      <c r="L164" s="15">
        <f t="shared" si="66"/>
        <v>49999.999968</v>
      </c>
    </row>
    <row r="165" spans="2:12" ht="12">
      <c r="B165" s="31">
        <v>30</v>
      </c>
      <c r="C165" s="9">
        <f t="shared" si="63"/>
        <v>815.8053989284</v>
      </c>
      <c r="D165" s="9">
        <f t="shared" si="65"/>
        <v>44.867480865136436</v>
      </c>
      <c r="E165" s="9">
        <f t="shared" si="65"/>
        <v>740.6935752977265</v>
      </c>
      <c r="F165" s="9">
        <f t="shared" si="65"/>
        <v>0.0245156504556981</v>
      </c>
      <c r="G165" s="9">
        <f t="shared" si="65"/>
        <v>0.445757141126697</v>
      </c>
      <c r="H165" s="9">
        <f t="shared" si="65"/>
        <v>0.027001719289870812</v>
      </c>
      <c r="I165" s="15">
        <f t="shared" si="65"/>
        <v>999999.9993599999</v>
      </c>
      <c r="J165" s="15">
        <f t="shared" si="65"/>
        <v>999999.9993599999</v>
      </c>
      <c r="K165" s="15">
        <f t="shared" si="65"/>
        <v>999999.9993599999</v>
      </c>
      <c r="L165" s="15">
        <f t="shared" si="66"/>
        <v>49999.999968</v>
      </c>
    </row>
    <row r="166" spans="2:12" ht="12">
      <c r="B166" s="31">
        <v>40</v>
      </c>
      <c r="C166" s="9">
        <f t="shared" si="63"/>
        <v>1666.4431494943929</v>
      </c>
      <c r="D166" s="9">
        <f t="shared" si="65"/>
        <v>55.650147497011204</v>
      </c>
      <c r="E166" s="9">
        <f t="shared" si="65"/>
        <v>808.7677475875693</v>
      </c>
      <c r="F166" s="9">
        <f t="shared" si="65"/>
        <v>0.012001609539496201</v>
      </c>
      <c r="G166" s="9">
        <f t="shared" si="65"/>
        <v>0.3593880860976</v>
      </c>
      <c r="H166" s="9">
        <f t="shared" si="65"/>
        <v>0.024728978201290726</v>
      </c>
      <c r="I166" s="15">
        <f t="shared" si="65"/>
        <v>999999.9993599999</v>
      </c>
      <c r="J166" s="15">
        <f t="shared" si="65"/>
        <v>999999.9993599999</v>
      </c>
      <c r="K166" s="15">
        <f t="shared" si="65"/>
        <v>999999.9993599999</v>
      </c>
      <c r="L166" s="15">
        <f t="shared" si="66"/>
        <v>49999.999968</v>
      </c>
    </row>
    <row r="167" spans="2:12" ht="12">
      <c r="B167" s="31">
        <v>50</v>
      </c>
      <c r="C167" s="9">
        <f t="shared" si="63"/>
        <v>2928.892801180477</v>
      </c>
      <c r="D167" s="9">
        <f t="shared" si="65"/>
        <v>57.553450587083695</v>
      </c>
      <c r="E167" s="9">
        <f t="shared" si="65"/>
        <v>741.7343502068887</v>
      </c>
      <c r="F167" s="9">
        <f t="shared" si="65"/>
        <v>0.006828518951577569</v>
      </c>
      <c r="G167" s="9">
        <f t="shared" si="65"/>
        <v>0.3475030566540602</v>
      </c>
      <c r="H167" s="9">
        <f t="shared" si="65"/>
        <v>0.026963831450466717</v>
      </c>
      <c r="I167" s="15">
        <f t="shared" si="65"/>
        <v>999999.9993599999</v>
      </c>
      <c r="J167" s="15">
        <f t="shared" si="65"/>
        <v>999999.9993599999</v>
      </c>
      <c r="K167" s="15">
        <f t="shared" si="65"/>
        <v>999999.9993599999</v>
      </c>
      <c r="L167" s="15">
        <f t="shared" si="66"/>
        <v>49999.999968</v>
      </c>
    </row>
    <row r="168" spans="2:12" ht="12">
      <c r="B168" s="31">
        <v>60</v>
      </c>
      <c r="C168" s="9">
        <f t="shared" si="63"/>
        <v>4598.562911750747</v>
      </c>
      <c r="D168" s="9">
        <f t="shared" si="65"/>
        <v>51.245004850194</v>
      </c>
      <c r="E168" s="9">
        <f t="shared" si="65"/>
        <v>585.4700332063468</v>
      </c>
      <c r="F168" s="9">
        <f t="shared" si="65"/>
        <v>0.004349184817912098</v>
      </c>
      <c r="G168" s="9">
        <f t="shared" si="65"/>
        <v>0.3902819417905526</v>
      </c>
      <c r="H168" s="9">
        <f t="shared" si="65"/>
        <v>0.03416058699105283</v>
      </c>
      <c r="I168" s="15">
        <f t="shared" si="65"/>
        <v>999999.9993599999</v>
      </c>
      <c r="J168" s="15">
        <f t="shared" si="65"/>
        <v>999999.9993599999</v>
      </c>
      <c r="K168" s="15">
        <f t="shared" si="65"/>
        <v>999999.9993599999</v>
      </c>
      <c r="L168" s="15">
        <f t="shared" si="66"/>
        <v>49999.999968</v>
      </c>
    </row>
    <row r="169" spans="2:12" ht="12">
      <c r="B169" s="31">
        <v>70</v>
      </c>
      <c r="C169" s="9">
        <f t="shared" si="63"/>
        <v>6522.700957570745</v>
      </c>
      <c r="D169" s="9">
        <f t="shared" si="65"/>
        <v>39.52901618732391</v>
      </c>
      <c r="E169" s="9">
        <f t="shared" si="65"/>
        <v>396.37762533283325</v>
      </c>
      <c r="F169" s="9">
        <f t="shared" si="65"/>
        <v>0.003066214460864785</v>
      </c>
      <c r="G169" s="9">
        <f t="shared" si="65"/>
        <v>0.5059574441524695</v>
      </c>
      <c r="H169" s="9">
        <f t="shared" si="65"/>
        <v>0.0504569348060609</v>
      </c>
      <c r="I169" s="15">
        <f t="shared" si="65"/>
        <v>999999.9993599999</v>
      </c>
      <c r="J169" s="15">
        <f t="shared" si="65"/>
        <v>999999.9993599999</v>
      </c>
      <c r="K169" s="15">
        <f t="shared" si="65"/>
        <v>999999.9993599999</v>
      </c>
      <c r="L169" s="15">
        <f t="shared" si="66"/>
        <v>49999.999968</v>
      </c>
    </row>
    <row r="170" spans="2:12" ht="12">
      <c r="B170" s="31">
        <v>80</v>
      </c>
      <c r="C170" s="9">
        <f t="shared" si="63"/>
        <v>8297.146812475328</v>
      </c>
      <c r="D170" s="9">
        <f t="shared" si="65"/>
        <v>25.902127151566155</v>
      </c>
      <c r="E170" s="9">
        <f t="shared" si="65"/>
        <v>223.08696084868643</v>
      </c>
      <c r="F170" s="9">
        <f t="shared" si="65"/>
        <v>0.002410467170464988</v>
      </c>
      <c r="G170" s="9">
        <f t="shared" si="65"/>
        <v>0.7721373570197578</v>
      </c>
      <c r="H170" s="9">
        <f t="shared" si="65"/>
        <v>0.08965113838977543</v>
      </c>
      <c r="I170" s="15">
        <f t="shared" si="65"/>
        <v>999999.9993599999</v>
      </c>
      <c r="J170" s="15">
        <f t="shared" si="65"/>
        <v>999999.9993599999</v>
      </c>
      <c r="K170" s="15">
        <f t="shared" si="65"/>
        <v>999999.9993599999</v>
      </c>
      <c r="L170" s="15">
        <f t="shared" si="66"/>
        <v>49999.999968</v>
      </c>
    </row>
    <row r="171" spans="2:12" ht="12">
      <c r="B171" s="31">
        <v>90</v>
      </c>
      <c r="C171" s="9">
        <f t="shared" si="63"/>
        <v>9172.82407962368</v>
      </c>
      <c r="D171" s="9">
        <f t="shared" si="65"/>
        <v>13.601556793909614</v>
      </c>
      <c r="E171" s="9">
        <f t="shared" si="65"/>
        <v>96.7171129492978</v>
      </c>
      <c r="F171" s="9">
        <f t="shared" si="65"/>
        <v>0.002180353599544941</v>
      </c>
      <c r="G171" s="9">
        <f t="shared" si="65"/>
        <v>1.4704199161198537</v>
      </c>
      <c r="H171" s="9">
        <f t="shared" si="65"/>
        <v>0.20678863739951212</v>
      </c>
      <c r="I171" s="15">
        <f t="shared" si="65"/>
        <v>999999.9993599999</v>
      </c>
      <c r="J171" s="15">
        <f t="shared" si="65"/>
        <v>680077.8392602309</v>
      </c>
      <c r="K171" s="15">
        <f t="shared" si="65"/>
        <v>999999.9993599999</v>
      </c>
      <c r="L171" s="15">
        <f t="shared" si="66"/>
        <v>44667.96396633718</v>
      </c>
    </row>
    <row r="172" spans="2:12" ht="12">
      <c r="B172" s="31">
        <v>100</v>
      </c>
      <c r="C172" s="9">
        <f aca="true" t="shared" si="67" ref="C172:K172">C85</f>
        <v>8097.631657621331</v>
      </c>
      <c r="D172" s="9">
        <f t="shared" si="67"/>
        <v>4.934693813597477</v>
      </c>
      <c r="E172" s="9">
        <f t="shared" si="67"/>
        <v>26.833971188478344</v>
      </c>
      <c r="F172" s="9">
        <f t="shared" si="67"/>
        <v>0.002469857959169629</v>
      </c>
      <c r="G172" s="9">
        <f t="shared" si="67"/>
        <v>4.052936363526809</v>
      </c>
      <c r="H172" s="9">
        <f t="shared" si="67"/>
        <v>0.7453238978130589</v>
      </c>
      <c r="I172" s="15">
        <f t="shared" si="67"/>
        <v>999999.9993599999</v>
      </c>
      <c r="J172" s="15">
        <f t="shared" si="67"/>
        <v>246734.6905219636</v>
      </c>
      <c r="K172" s="15">
        <f t="shared" si="67"/>
        <v>999999.9993599999</v>
      </c>
      <c r="L172" s="15">
        <f t="shared" si="66"/>
        <v>37445.57815403272</v>
      </c>
    </row>
    <row r="173" spans="2:12" ht="12">
      <c r="B173" s="31">
        <v>110</v>
      </c>
      <c r="C173" s="9">
        <f aca="true" t="shared" si="68" ref="C173:K173">C86</f>
        <v>4289.3955118728745</v>
      </c>
      <c r="D173" s="9">
        <f t="shared" si="68"/>
        <v>0.7565321102757533</v>
      </c>
      <c r="E173" s="9">
        <f t="shared" si="68"/>
        <v>2.596822208552707</v>
      </c>
      <c r="F173" s="9">
        <f t="shared" si="68"/>
        <v>0.00466266166051622</v>
      </c>
      <c r="G173" s="9">
        <f t="shared" si="68"/>
        <v>26.436419192716183</v>
      </c>
      <c r="H173" s="9">
        <f t="shared" si="68"/>
        <v>7.701720947290668</v>
      </c>
      <c r="I173" s="15">
        <f t="shared" si="68"/>
        <v>999999.9993599999</v>
      </c>
      <c r="J173" s="15">
        <f t="shared" si="68"/>
        <v>37826.60548957864</v>
      </c>
      <c r="K173" s="15">
        <f t="shared" si="68"/>
        <v>129841.11034453704</v>
      </c>
      <c r="L173" s="15">
        <f t="shared" si="66"/>
        <v>19461.128586568593</v>
      </c>
    </row>
    <row r="174" ht="12">
      <c r="L174" s="15"/>
    </row>
    <row r="175" ht="12">
      <c r="L175" s="15"/>
    </row>
    <row r="176" spans="2:12" ht="12">
      <c r="B176" t="s">
        <v>66</v>
      </c>
      <c r="C176" t="s">
        <v>96</v>
      </c>
      <c r="L176" s="15"/>
    </row>
    <row r="177" spans="2:12" ht="12">
      <c r="B177" t="s">
        <v>2</v>
      </c>
      <c r="C177" t="s">
        <v>106</v>
      </c>
      <c r="D177" t="s">
        <v>99</v>
      </c>
      <c r="E177" s="40" t="s">
        <v>100</v>
      </c>
      <c r="F177" t="s">
        <v>112</v>
      </c>
      <c r="G177" t="s">
        <v>108</v>
      </c>
      <c r="H177" s="40" t="s">
        <v>109</v>
      </c>
      <c r="I177" t="s">
        <v>111</v>
      </c>
      <c r="J177" t="s">
        <v>103</v>
      </c>
      <c r="K177" s="40" t="s">
        <v>104</v>
      </c>
      <c r="L177" s="15" t="s">
        <v>115</v>
      </c>
    </row>
    <row r="178" spans="2:12" ht="12">
      <c r="B178" s="31">
        <v>5</v>
      </c>
      <c r="C178" s="9">
        <f aca="true" t="shared" si="69" ref="C178:C187">C91</f>
        <v>10.39957182949116</v>
      </c>
      <c r="D178" s="9">
        <f aca="true" t="shared" si="70" ref="D178:K178">D91</f>
        <v>0.9960321810307059</v>
      </c>
      <c r="E178" s="9">
        <f t="shared" si="70"/>
        <v>89.9469645708157</v>
      </c>
      <c r="F178" s="9">
        <f t="shared" si="70"/>
        <v>1.9231560998774868</v>
      </c>
      <c r="G178" s="9">
        <f t="shared" si="70"/>
        <v>20.079672505464394</v>
      </c>
      <c r="H178" s="9">
        <f t="shared" si="70"/>
        <v>0.22235325111225848</v>
      </c>
      <c r="I178" s="15">
        <f t="shared" si="70"/>
        <v>519978.59114177164</v>
      </c>
      <c r="J178" s="15">
        <f t="shared" si="70"/>
        <v>49801.60901966226</v>
      </c>
      <c r="K178" s="15">
        <f t="shared" si="70"/>
        <v>999999.9993599999</v>
      </c>
      <c r="L178" s="15">
        <f>SUM(I178:K178)/F$68</f>
        <v>26163.00332535723</v>
      </c>
    </row>
    <row r="179" spans="2:12" ht="12">
      <c r="B179" s="31">
        <v>15</v>
      </c>
      <c r="C179" s="9">
        <f t="shared" si="69"/>
        <v>22.16017213814879</v>
      </c>
      <c r="D179" s="9">
        <f aca="true" t="shared" si="71" ref="D179:K187">D92</f>
        <v>10.572329799814566</v>
      </c>
      <c r="E179" s="9">
        <f t="shared" si="71"/>
        <v>304.4108734170341</v>
      </c>
      <c r="F179" s="9">
        <f t="shared" si="71"/>
        <v>0.9025200650661892</v>
      </c>
      <c r="G179" s="9">
        <f t="shared" si="71"/>
        <v>1.8917306193333838</v>
      </c>
      <c r="H179" s="9">
        <f t="shared" si="71"/>
        <v>0.06570067545714958</v>
      </c>
      <c r="I179" s="15">
        <f t="shared" si="71"/>
        <v>999999.9993599999</v>
      </c>
      <c r="J179" s="15">
        <f t="shared" si="71"/>
        <v>528616.4896524138</v>
      </c>
      <c r="K179" s="15">
        <f t="shared" si="71"/>
        <v>999999.9993599999</v>
      </c>
      <c r="L179" s="15">
        <f t="shared" si="66"/>
        <v>42143.60813954022</v>
      </c>
    </row>
    <row r="180" spans="2:12" ht="12">
      <c r="B180" s="31">
        <v>25</v>
      </c>
      <c r="C180" s="9">
        <f t="shared" si="69"/>
        <v>18.87716661380762</v>
      </c>
      <c r="D180" s="9">
        <f t="shared" si="71"/>
        <v>14.451200009267763</v>
      </c>
      <c r="E180" s="9">
        <f t="shared" si="71"/>
        <v>346.0785395543474</v>
      </c>
      <c r="F180" s="9">
        <f t="shared" si="71"/>
        <v>1.059481033841757</v>
      </c>
      <c r="G180" s="9">
        <f t="shared" si="71"/>
        <v>1.383968112487109</v>
      </c>
      <c r="H180" s="9">
        <f t="shared" si="71"/>
        <v>0.057790350207078484</v>
      </c>
      <c r="I180" s="15">
        <f t="shared" si="71"/>
        <v>943858.3300863117</v>
      </c>
      <c r="J180" s="15">
        <f t="shared" si="71"/>
        <v>722560.0000009497</v>
      </c>
      <c r="K180" s="15">
        <f t="shared" si="71"/>
        <v>999999.9993599999</v>
      </c>
      <c r="L180" s="15">
        <f t="shared" si="66"/>
        <v>44440.30549078769</v>
      </c>
    </row>
    <row r="181" spans="2:12" ht="12">
      <c r="B181" s="31">
        <v>30</v>
      </c>
      <c r="C181" s="9">
        <f t="shared" si="69"/>
        <v>16.032865678431786</v>
      </c>
      <c r="D181" s="9">
        <f t="shared" si="71"/>
        <v>14.626200019670097</v>
      </c>
      <c r="E181" s="9">
        <f t="shared" si="71"/>
        <v>338.57306306654687</v>
      </c>
      <c r="F181" s="9">
        <f t="shared" si="71"/>
        <v>1.2474376322446836</v>
      </c>
      <c r="G181" s="9">
        <f t="shared" si="71"/>
        <v>1.3674091680069278</v>
      </c>
      <c r="H181" s="9">
        <f t="shared" si="71"/>
        <v>0.05907144478315743</v>
      </c>
      <c r="I181" s="15">
        <f t="shared" si="71"/>
        <v>801643.2834085375</v>
      </c>
      <c r="J181" s="15">
        <f t="shared" si="71"/>
        <v>731310.0005154664</v>
      </c>
      <c r="K181" s="15">
        <f t="shared" si="71"/>
        <v>999999.9993599999</v>
      </c>
      <c r="L181" s="15">
        <f t="shared" si="66"/>
        <v>42215.8880547334</v>
      </c>
    </row>
    <row r="182" spans="2:12" ht="12">
      <c r="B182" s="31">
        <v>40</v>
      </c>
      <c r="C182" s="9">
        <f t="shared" si="69"/>
        <v>10.161714550189753</v>
      </c>
      <c r="D182" s="9">
        <f t="shared" si="71"/>
        <v>12.415314465569566</v>
      </c>
      <c r="E182" s="9">
        <f t="shared" si="71"/>
        <v>299.09800492592996</v>
      </c>
      <c r="F182" s="9">
        <f t="shared" si="71"/>
        <v>1.9681717982942684</v>
      </c>
      <c r="G182" s="9">
        <f t="shared" si="71"/>
        <v>1.6109136869198488</v>
      </c>
      <c r="H182" s="9">
        <f t="shared" si="71"/>
        <v>0.06686771449696863</v>
      </c>
      <c r="I182" s="15">
        <f t="shared" si="71"/>
        <v>508085.72718431277</v>
      </c>
      <c r="J182" s="15">
        <f t="shared" si="71"/>
        <v>620765.7228811882</v>
      </c>
      <c r="K182" s="15">
        <f t="shared" si="71"/>
        <v>999999.9993599999</v>
      </c>
      <c r="L182" s="15">
        <f t="shared" si="66"/>
        <v>35480.85749042501</v>
      </c>
    </row>
    <row r="183" spans="2:12" ht="12">
      <c r="B183" s="31">
        <v>50</v>
      </c>
      <c r="C183" s="9">
        <f t="shared" si="69"/>
        <v>5.3055652258557435</v>
      </c>
      <c r="D183" s="9">
        <f t="shared" si="71"/>
        <v>8.445204588975365</v>
      </c>
      <c r="E183" s="9">
        <f t="shared" si="71"/>
        <v>238.64577521331347</v>
      </c>
      <c r="F183" s="9">
        <f t="shared" si="71"/>
        <v>3.769626637051506</v>
      </c>
      <c r="G183" s="9">
        <f t="shared" si="71"/>
        <v>2.368207873389903</v>
      </c>
      <c r="H183" s="9">
        <f t="shared" si="71"/>
        <v>0.08380621857698091</v>
      </c>
      <c r="I183" s="15">
        <f t="shared" si="71"/>
        <v>265278.2611230091</v>
      </c>
      <c r="J183" s="15">
        <f t="shared" si="71"/>
        <v>422260.22917852167</v>
      </c>
      <c r="K183" s="15">
        <f t="shared" si="71"/>
        <v>999999.9993599999</v>
      </c>
      <c r="L183" s="15">
        <f t="shared" si="66"/>
        <v>28125.641494358842</v>
      </c>
    </row>
    <row r="184" spans="2:12" ht="12">
      <c r="B184" s="31">
        <v>60</v>
      </c>
      <c r="C184" s="9">
        <f t="shared" si="69"/>
        <v>2.209230504428203</v>
      </c>
      <c r="D184" s="9">
        <f t="shared" si="71"/>
        <v>4.645365795914278</v>
      </c>
      <c r="E184" s="9">
        <f t="shared" si="71"/>
        <v>168.49527692240702</v>
      </c>
      <c r="F184" s="9">
        <f t="shared" si="71"/>
        <v>9.05292587618712</v>
      </c>
      <c r="G184" s="9">
        <f t="shared" si="71"/>
        <v>4.305366009624157</v>
      </c>
      <c r="H184" s="9">
        <f t="shared" si="71"/>
        <v>0.11869768912994581</v>
      </c>
      <c r="I184" s="15">
        <f t="shared" si="71"/>
        <v>110461.52515071476</v>
      </c>
      <c r="J184" s="15">
        <f t="shared" si="71"/>
        <v>232268.28964706216</v>
      </c>
      <c r="K184" s="15">
        <f t="shared" si="71"/>
        <v>999999.9993599999</v>
      </c>
      <c r="L184" s="15">
        <f t="shared" si="66"/>
        <v>22378.830235962945</v>
      </c>
    </row>
    <row r="185" spans="2:12" ht="12">
      <c r="B185" s="31">
        <v>70</v>
      </c>
      <c r="C185" s="9">
        <f t="shared" si="69"/>
        <v>0.6986587818062187</v>
      </c>
      <c r="D185" s="9">
        <f t="shared" si="71"/>
        <v>2.024986661266005</v>
      </c>
      <c r="E185" s="9">
        <f t="shared" si="71"/>
        <v>102.19950898942948</v>
      </c>
      <c r="F185" s="9">
        <f t="shared" si="71"/>
        <v>28.62627726269279</v>
      </c>
      <c r="G185" s="9">
        <f t="shared" si="71"/>
        <v>9.87660826738294</v>
      </c>
      <c r="H185" s="9">
        <f t="shared" si="71"/>
        <v>0.19569565644457848</v>
      </c>
      <c r="I185" s="15">
        <f t="shared" si="71"/>
        <v>34932.93906795385</v>
      </c>
      <c r="J185" s="15">
        <f t="shared" si="71"/>
        <v>101249.33299850066</v>
      </c>
      <c r="K185" s="15">
        <f t="shared" si="71"/>
        <v>999999.9993599999</v>
      </c>
      <c r="L185" s="15">
        <f t="shared" si="66"/>
        <v>18936.371190440907</v>
      </c>
    </row>
    <row r="186" spans="2:12" ht="12">
      <c r="B186" s="31">
        <v>80</v>
      </c>
      <c r="C186" s="9">
        <f t="shared" si="69"/>
        <v>0.15330908918927494</v>
      </c>
      <c r="D186" s="9">
        <f t="shared" si="71"/>
        <v>0.6584804163463236</v>
      </c>
      <c r="E186" s="9">
        <f t="shared" si="71"/>
        <v>50.77679877723131</v>
      </c>
      <c r="F186" s="9">
        <f t="shared" si="71"/>
        <v>130.45540943308364</v>
      </c>
      <c r="G186" s="9">
        <f t="shared" si="71"/>
        <v>30.372960992481705</v>
      </c>
      <c r="H186" s="9">
        <f t="shared" si="71"/>
        <v>0.39388067939738153</v>
      </c>
      <c r="I186" s="15">
        <f t="shared" si="71"/>
        <v>7665.454454557856</v>
      </c>
      <c r="J186" s="15">
        <f t="shared" si="71"/>
        <v>32924.020796244804</v>
      </c>
      <c r="K186" s="15">
        <f t="shared" si="71"/>
        <v>999999.9993599999</v>
      </c>
      <c r="L186" s="15">
        <f t="shared" si="66"/>
        <v>17343.15791018004</v>
      </c>
    </row>
    <row r="187" spans="2:12" ht="12">
      <c r="B187" s="31">
        <v>90</v>
      </c>
      <c r="C187" s="9">
        <f t="shared" si="69"/>
        <v>0.019475988224408457</v>
      </c>
      <c r="D187" s="9">
        <f t="shared" si="71"/>
        <v>0.13971234387215034</v>
      </c>
      <c r="E187" s="9">
        <f t="shared" si="71"/>
        <v>18.83768403647022</v>
      </c>
      <c r="F187" s="9">
        <f t="shared" si="71"/>
        <v>1026.9055294937393</v>
      </c>
      <c r="G187" s="9">
        <f t="shared" si="71"/>
        <v>143.15127386526305</v>
      </c>
      <c r="H187" s="9">
        <f t="shared" si="71"/>
        <v>1.0617016381249154</v>
      </c>
      <c r="I187" s="15">
        <f t="shared" si="71"/>
        <v>973.7994105971911</v>
      </c>
      <c r="J187" s="15">
        <f t="shared" si="71"/>
        <v>6985.617189136721</v>
      </c>
      <c r="K187" s="15">
        <f t="shared" si="71"/>
        <v>941884.2012207049</v>
      </c>
      <c r="L187" s="15">
        <f t="shared" si="66"/>
        <v>15830.72696367398</v>
      </c>
    </row>
    <row r="188" spans="2:12" ht="12">
      <c r="B188" s="31">
        <v>100</v>
      </c>
      <c r="C188" s="9">
        <f aca="true" t="shared" si="72" ref="C188:K188">C101</f>
        <v>0.0009419131803101715</v>
      </c>
      <c r="D188" s="9">
        <f t="shared" si="72"/>
        <v>0.014076318758691706</v>
      </c>
      <c r="E188" s="9">
        <f t="shared" si="72"/>
        <v>4.209405593858832</v>
      </c>
      <c r="F188" s="9">
        <f t="shared" si="72"/>
        <v>21233.379485584872</v>
      </c>
      <c r="G188" s="9">
        <f t="shared" si="72"/>
        <v>1420.8260229721352</v>
      </c>
      <c r="H188" s="9">
        <f t="shared" si="72"/>
        <v>4.751264651042018</v>
      </c>
      <c r="I188" s="15">
        <f t="shared" si="72"/>
        <v>47.09565898536735</v>
      </c>
      <c r="J188" s="15">
        <f t="shared" si="72"/>
        <v>703.8159374841431</v>
      </c>
      <c r="K188" s="15">
        <f t="shared" si="72"/>
        <v>210470.27955824058</v>
      </c>
      <c r="L188" s="15">
        <f t="shared" si="66"/>
        <v>3520.353185911835</v>
      </c>
    </row>
    <row r="189" spans="2:12" ht="12">
      <c r="B189" s="31">
        <v>110</v>
      </c>
      <c r="C189" s="9">
        <f aca="true" t="shared" si="73" ref="C189:K189">C102</f>
        <v>4.482869245148589E-06</v>
      </c>
      <c r="D189" s="9">
        <f t="shared" si="73"/>
        <v>0.00023985002382077497</v>
      </c>
      <c r="E189" s="9">
        <f t="shared" si="73"/>
        <v>0.2823125363962412</v>
      </c>
      <c r="F189" s="9">
        <f t="shared" si="73"/>
        <v>4461428.363462579</v>
      </c>
      <c r="G189" s="9">
        <f t="shared" si="73"/>
        <v>83385.4409576576</v>
      </c>
      <c r="H189" s="9">
        <f t="shared" si="73"/>
        <v>70.84347105269494</v>
      </c>
      <c r="I189" s="15">
        <f t="shared" si="73"/>
        <v>0.22414346211397762</v>
      </c>
      <c r="J189" s="15">
        <f t="shared" si="73"/>
        <v>11.992501183363547</v>
      </c>
      <c r="K189" s="15">
        <f t="shared" si="73"/>
        <v>14115.626810778058</v>
      </c>
      <c r="L189" s="15">
        <f t="shared" si="66"/>
        <v>235.46405759039226</v>
      </c>
    </row>
    <row r="192" spans="2:17" ht="12">
      <c r="B192" t="s">
        <v>67</v>
      </c>
      <c r="C192" t="s">
        <v>95</v>
      </c>
      <c r="M192" t="s">
        <v>94</v>
      </c>
      <c r="O192" t="s">
        <v>115</v>
      </c>
      <c r="P192" t="s">
        <v>117</v>
      </c>
      <c r="Q192" t="s">
        <v>119</v>
      </c>
    </row>
    <row r="193" spans="2:16" ht="12">
      <c r="B193" t="s">
        <v>2</v>
      </c>
      <c r="C193" t="s">
        <v>97</v>
      </c>
      <c r="D193" t="s">
        <v>98</v>
      </c>
      <c r="E193" t="s">
        <v>99</v>
      </c>
      <c r="F193" s="40" t="s">
        <v>100</v>
      </c>
      <c r="G193" t="s">
        <v>101</v>
      </c>
      <c r="H193" t="s">
        <v>102</v>
      </c>
      <c r="I193" t="s">
        <v>103</v>
      </c>
      <c r="J193" s="40" t="s">
        <v>104</v>
      </c>
      <c r="K193" t="s">
        <v>105</v>
      </c>
      <c r="L193" t="s">
        <v>151</v>
      </c>
      <c r="M193" t="s">
        <v>113</v>
      </c>
      <c r="N193" t="s">
        <v>114</v>
      </c>
      <c r="P193" t="s">
        <v>118</v>
      </c>
    </row>
    <row r="194" spans="2:19" ht="12">
      <c r="B194" s="31">
        <v>5</v>
      </c>
      <c r="C194" s="7">
        <f>G107</f>
        <v>9664517108.457981</v>
      </c>
      <c r="D194" s="15">
        <f aca="true" t="shared" si="74" ref="D194:G203">C125</f>
        <v>7403.966944591919</v>
      </c>
      <c r="E194" s="15">
        <f t="shared" si="74"/>
        <v>1583.2122045344581</v>
      </c>
      <c r="F194" s="15">
        <f t="shared" si="74"/>
        <v>116012.82085087363</v>
      </c>
      <c r="G194" s="15">
        <f t="shared" si="74"/>
        <v>125000</v>
      </c>
      <c r="H194" s="15">
        <f>K125</f>
        <v>999999.9993599999</v>
      </c>
      <c r="I194" s="15">
        <f>L125</f>
        <v>340390.62375705846</v>
      </c>
      <c r="J194" s="15">
        <f>M125</f>
        <v>999999.9993599999</v>
      </c>
      <c r="K194" s="15">
        <f>N125</f>
        <v>2340390.6224770583</v>
      </c>
      <c r="L194" s="31">
        <v>5</v>
      </c>
      <c r="M194">
        <v>1</v>
      </c>
      <c r="N194" s="7">
        <f>C194</f>
        <v>9664517108.457981</v>
      </c>
      <c r="O194" s="15">
        <f>M194*K194/F$68</f>
        <v>39006.51037461764</v>
      </c>
      <c r="P194" s="7">
        <f>O194*N194</f>
        <v>376979086856735.94</v>
      </c>
      <c r="Q194" s="15">
        <f>K194*M194</f>
        <v>2340390.6224770583</v>
      </c>
      <c r="S194" s="7">
        <f>N194*M194</f>
        <v>9664517108.457981</v>
      </c>
    </row>
    <row r="195" spans="2:19" ht="12">
      <c r="B195" s="31">
        <v>15</v>
      </c>
      <c r="C195" s="7">
        <f aca="true" t="shared" si="75" ref="C195:C205">G108</f>
        <v>2097209192.546087</v>
      </c>
      <c r="D195" s="15">
        <f t="shared" si="74"/>
        <v>16967.677178269954</v>
      </c>
      <c r="E195" s="15">
        <f t="shared" si="74"/>
        <v>4651.162790697674</v>
      </c>
      <c r="F195" s="15">
        <f t="shared" si="74"/>
        <v>74885.89685622427</v>
      </c>
      <c r="G195" s="15">
        <f t="shared" si="74"/>
        <v>96504.7368251919</v>
      </c>
      <c r="H195" s="15">
        <f aca="true" t="shared" si="76" ref="H195:H205">K126</f>
        <v>999999.9993599999</v>
      </c>
      <c r="I195" s="15">
        <f aca="true" t="shared" si="77" ref="I195:I205">L126</f>
        <v>999999.9993599998</v>
      </c>
      <c r="J195" s="15">
        <f aca="true" t="shared" si="78" ref="J195:J205">M126</f>
        <v>999999.9993599999</v>
      </c>
      <c r="K195" s="15">
        <f aca="true" t="shared" si="79" ref="K195:K205">N126</f>
        <v>2999999.9980799994</v>
      </c>
      <c r="L195" s="31">
        <v>15</v>
      </c>
      <c r="M195">
        <v>1</v>
      </c>
      <c r="N195" s="7">
        <f aca="true" t="shared" si="80" ref="N195:N205">C195</f>
        <v>2097209192.546087</v>
      </c>
      <c r="O195" s="15">
        <f aca="true" t="shared" si="81" ref="O195:O205">M195*K195/F$68</f>
        <v>49999.99996799999</v>
      </c>
      <c r="P195" s="7">
        <f aca="true" t="shared" si="82" ref="P195:P205">O195*N195</f>
        <v>104860459560193.64</v>
      </c>
      <c r="Q195" s="15">
        <f aca="true" t="shared" si="83" ref="Q195:Q205">K195*M195</f>
        <v>2999999.9980799994</v>
      </c>
      <c r="S195" s="7">
        <f aca="true" t="shared" si="84" ref="S195:S205">N195*M195</f>
        <v>2097209192.546087</v>
      </c>
    </row>
    <row r="196" spans="2:19" ht="12">
      <c r="B196" s="31">
        <v>25</v>
      </c>
      <c r="C196" s="7">
        <f t="shared" si="75"/>
        <v>1082765442.6378534</v>
      </c>
      <c r="D196" s="15">
        <f t="shared" si="74"/>
        <v>28456.571954166382</v>
      </c>
      <c r="E196" s="15">
        <f t="shared" si="74"/>
        <v>4651.162790697674</v>
      </c>
      <c r="F196" s="15">
        <f t="shared" si="74"/>
        <v>60947.592218771206</v>
      </c>
      <c r="G196" s="15">
        <f t="shared" si="74"/>
        <v>94055.32696363526</v>
      </c>
      <c r="H196" s="15">
        <f t="shared" si="76"/>
        <v>999999.9993599999</v>
      </c>
      <c r="I196" s="15">
        <f t="shared" si="77"/>
        <v>999999.9993599998</v>
      </c>
      <c r="J196" s="15">
        <f t="shared" si="78"/>
        <v>999999.9993599999</v>
      </c>
      <c r="K196" s="15">
        <f t="shared" si="79"/>
        <v>2999999.9980799994</v>
      </c>
      <c r="L196" s="31">
        <v>25</v>
      </c>
      <c r="M196">
        <v>1</v>
      </c>
      <c r="N196" s="7">
        <f t="shared" si="80"/>
        <v>1082765442.6378534</v>
      </c>
      <c r="O196" s="15">
        <f t="shared" si="81"/>
        <v>49999.99996799999</v>
      </c>
      <c r="P196" s="7">
        <f t="shared" si="82"/>
        <v>54138272097244.164</v>
      </c>
      <c r="Q196" s="15">
        <f t="shared" si="83"/>
        <v>2999999.9980799994</v>
      </c>
      <c r="S196" s="7">
        <f t="shared" si="84"/>
        <v>1082765442.6378534</v>
      </c>
    </row>
    <row r="197" spans="2:19" ht="12">
      <c r="B197" s="31">
        <v>30</v>
      </c>
      <c r="C197" s="7">
        <f t="shared" si="75"/>
        <v>891514282.253394</v>
      </c>
      <c r="D197" s="15">
        <f t="shared" si="74"/>
        <v>36365.10823420481</v>
      </c>
      <c r="E197" s="15">
        <f t="shared" si="74"/>
        <v>4651.162790697675</v>
      </c>
      <c r="F197" s="15">
        <f t="shared" si="74"/>
        <v>56925.76734062525</v>
      </c>
      <c r="G197" s="15">
        <f t="shared" si="74"/>
        <v>97942.03836552773</v>
      </c>
      <c r="H197" s="15">
        <f t="shared" si="76"/>
        <v>999999.9993599999</v>
      </c>
      <c r="I197" s="15">
        <f t="shared" si="77"/>
        <v>999999.9993599999</v>
      </c>
      <c r="J197" s="15">
        <f t="shared" si="78"/>
        <v>999999.9993599999</v>
      </c>
      <c r="K197" s="15">
        <f t="shared" si="79"/>
        <v>2999999.99808</v>
      </c>
      <c r="L197" s="31">
        <v>30</v>
      </c>
      <c r="M197">
        <v>0</v>
      </c>
      <c r="N197" s="7">
        <f t="shared" si="80"/>
        <v>891514282.253394</v>
      </c>
      <c r="O197" s="15">
        <f t="shared" si="81"/>
        <v>0</v>
      </c>
      <c r="P197" s="7">
        <f t="shared" si="82"/>
        <v>0</v>
      </c>
      <c r="Q197" s="15">
        <f t="shared" si="83"/>
        <v>0</v>
      </c>
      <c r="S197" s="7">
        <f t="shared" si="84"/>
        <v>0</v>
      </c>
    </row>
    <row r="198" spans="2:19" ht="12">
      <c r="B198" s="31">
        <v>40</v>
      </c>
      <c r="C198" s="7">
        <f t="shared" si="75"/>
        <v>718776172.1952</v>
      </c>
      <c r="D198" s="15">
        <f t="shared" si="74"/>
        <v>59889.98140872465</v>
      </c>
      <c r="E198" s="15">
        <f t="shared" si="74"/>
        <v>4651.162790697675</v>
      </c>
      <c r="F198" s="15">
        <f t="shared" si="74"/>
        <v>50114.05050051094</v>
      </c>
      <c r="G198" s="15">
        <f t="shared" si="74"/>
        <v>114655.19469993326</v>
      </c>
      <c r="H198" s="15">
        <f t="shared" si="76"/>
        <v>999999.9993599999</v>
      </c>
      <c r="I198" s="15">
        <f t="shared" si="77"/>
        <v>999999.9993599999</v>
      </c>
      <c r="J198" s="15">
        <f t="shared" si="78"/>
        <v>999999.9993599999</v>
      </c>
      <c r="K198" s="15">
        <f t="shared" si="79"/>
        <v>2999999.99808</v>
      </c>
      <c r="L198" s="31">
        <v>40</v>
      </c>
      <c r="M198">
        <v>0</v>
      </c>
      <c r="N198" s="7">
        <f t="shared" si="80"/>
        <v>718776172.1952</v>
      </c>
      <c r="O198" s="15">
        <f t="shared" si="81"/>
        <v>0</v>
      </c>
      <c r="P198" s="7">
        <f t="shared" si="82"/>
        <v>0</v>
      </c>
      <c r="Q198" s="15">
        <f t="shared" si="83"/>
        <v>0</v>
      </c>
      <c r="S198" s="7">
        <f t="shared" si="84"/>
        <v>0</v>
      </c>
    </row>
    <row r="199" spans="2:19" ht="12">
      <c r="B199" s="31">
        <v>50</v>
      </c>
      <c r="C199" s="7">
        <f t="shared" si="75"/>
        <v>575825858.9475843</v>
      </c>
      <c r="D199" s="15">
        <f t="shared" si="74"/>
        <v>84326.61065025721</v>
      </c>
      <c r="E199" s="15">
        <f t="shared" si="74"/>
        <v>3853.57733950056</v>
      </c>
      <c r="F199" s="15">
        <f t="shared" si="74"/>
        <v>36819.81201024225</v>
      </c>
      <c r="G199" s="15">
        <f t="shared" si="74"/>
        <v>125000.00000000003</v>
      </c>
      <c r="H199" s="15">
        <f t="shared" si="76"/>
        <v>999999.9993599999</v>
      </c>
      <c r="I199" s="15">
        <f t="shared" si="77"/>
        <v>828519.1274623681</v>
      </c>
      <c r="J199" s="15">
        <f t="shared" si="78"/>
        <v>999999.9993599999</v>
      </c>
      <c r="K199" s="15">
        <f t="shared" si="79"/>
        <v>2828519.126182368</v>
      </c>
      <c r="L199" s="31">
        <v>50</v>
      </c>
      <c r="M199">
        <v>1</v>
      </c>
      <c r="N199" s="7">
        <f t="shared" si="80"/>
        <v>575825858.9475843</v>
      </c>
      <c r="O199" s="15">
        <f t="shared" si="81"/>
        <v>47141.9854363728</v>
      </c>
      <c r="P199" s="7">
        <f t="shared" si="82"/>
        <v>27145574256393.875</v>
      </c>
      <c r="Q199" s="15">
        <f t="shared" si="83"/>
        <v>2828519.126182368</v>
      </c>
      <c r="S199" s="7">
        <f t="shared" si="84"/>
        <v>575825858.9475843</v>
      </c>
    </row>
    <row r="200" spans="2:19" ht="12">
      <c r="B200" s="31">
        <v>60</v>
      </c>
      <c r="C200" s="7">
        <f t="shared" si="75"/>
        <v>436515885.48251265</v>
      </c>
      <c r="D200" s="15">
        <f t="shared" si="74"/>
        <v>100367.28806849594</v>
      </c>
      <c r="E200" s="15">
        <f t="shared" si="74"/>
        <v>2601.07658938815</v>
      </c>
      <c r="F200" s="15">
        <f t="shared" si="74"/>
        <v>22031.63534211591</v>
      </c>
      <c r="G200" s="15">
        <f t="shared" si="74"/>
        <v>125000</v>
      </c>
      <c r="H200" s="15">
        <f t="shared" si="76"/>
        <v>999999.9993599999</v>
      </c>
      <c r="I200" s="15">
        <f t="shared" si="77"/>
        <v>559231.466360544</v>
      </c>
      <c r="J200" s="15">
        <f t="shared" si="78"/>
        <v>999999.9993599999</v>
      </c>
      <c r="K200" s="15">
        <f t="shared" si="79"/>
        <v>2559231.465080544</v>
      </c>
      <c r="L200" s="31">
        <v>60</v>
      </c>
      <c r="M200">
        <v>0</v>
      </c>
      <c r="N200" s="7">
        <f t="shared" si="80"/>
        <v>436515885.48251265</v>
      </c>
      <c r="O200" s="15">
        <f t="shared" si="81"/>
        <v>0</v>
      </c>
      <c r="P200" s="7">
        <f t="shared" si="82"/>
        <v>0</v>
      </c>
      <c r="Q200" s="15">
        <f t="shared" si="83"/>
        <v>0</v>
      </c>
      <c r="S200" s="7">
        <f t="shared" si="84"/>
        <v>0</v>
      </c>
    </row>
    <row r="201" spans="2:19" ht="12">
      <c r="B201" s="31">
        <v>70</v>
      </c>
      <c r="C201" s="7">
        <f t="shared" si="75"/>
        <v>342557793.4930361</v>
      </c>
      <c r="D201" s="15">
        <f t="shared" si="74"/>
        <v>111720.1023820174</v>
      </c>
      <c r="E201" s="15">
        <f t="shared" si="74"/>
        <v>1574.5316934976956</v>
      </c>
      <c r="F201" s="15">
        <f t="shared" si="74"/>
        <v>11705.365924484893</v>
      </c>
      <c r="G201" s="15">
        <f t="shared" si="74"/>
        <v>125000</v>
      </c>
      <c r="H201" s="15">
        <f t="shared" si="76"/>
        <v>999999.9993599999</v>
      </c>
      <c r="I201" s="15">
        <f t="shared" si="77"/>
        <v>338524.31388534897</v>
      </c>
      <c r="J201" s="15">
        <f t="shared" si="78"/>
        <v>999999.9993599999</v>
      </c>
      <c r="K201" s="15">
        <f t="shared" si="79"/>
        <v>2338524.312605349</v>
      </c>
      <c r="L201" s="31">
        <v>70</v>
      </c>
      <c r="M201">
        <v>1</v>
      </c>
      <c r="N201" s="7">
        <f t="shared" si="80"/>
        <v>342557793.4930361</v>
      </c>
      <c r="O201" s="15">
        <f t="shared" si="81"/>
        <v>38975.40521008915</v>
      </c>
      <c r="P201" s="7">
        <f t="shared" si="82"/>
        <v>13351328809265.121</v>
      </c>
      <c r="Q201" s="15">
        <f t="shared" si="83"/>
        <v>2338524.312605349</v>
      </c>
      <c r="S201" s="7">
        <f t="shared" si="84"/>
        <v>342557793.4930361</v>
      </c>
    </row>
    <row r="202" spans="2:19" ht="12">
      <c r="B202" s="31">
        <v>80</v>
      </c>
      <c r="C202" s="7">
        <f t="shared" si="75"/>
        <v>285975192.85782194</v>
      </c>
      <c r="D202" s="15">
        <f t="shared" si="74"/>
        <v>118638.90799336473</v>
      </c>
      <c r="E202" s="15">
        <f t="shared" si="74"/>
        <v>861.3216055345299</v>
      </c>
      <c r="F202" s="15">
        <f t="shared" si="74"/>
        <v>5499.770401100731</v>
      </c>
      <c r="G202" s="15">
        <f t="shared" si="74"/>
        <v>124999.99999999999</v>
      </c>
      <c r="H202" s="15">
        <f t="shared" si="76"/>
        <v>999999.9993599999</v>
      </c>
      <c r="I202" s="15">
        <f t="shared" si="77"/>
        <v>185184.14507140606</v>
      </c>
      <c r="J202" s="15">
        <f t="shared" si="78"/>
        <v>999999.9993599999</v>
      </c>
      <c r="K202" s="15">
        <f t="shared" si="79"/>
        <v>2185184.143791406</v>
      </c>
      <c r="L202" s="31">
        <v>80</v>
      </c>
      <c r="M202">
        <v>0</v>
      </c>
      <c r="N202" s="7">
        <f t="shared" si="80"/>
        <v>285975192.85782194</v>
      </c>
      <c r="O202" s="15">
        <f t="shared" si="81"/>
        <v>0</v>
      </c>
      <c r="P202" s="7">
        <f t="shared" si="82"/>
        <v>0</v>
      </c>
      <c r="Q202" s="15">
        <f t="shared" si="83"/>
        <v>0</v>
      </c>
      <c r="S202" s="7">
        <f t="shared" si="84"/>
        <v>0</v>
      </c>
    </row>
    <row r="203" spans="2:19" ht="12">
      <c r="B203" s="31">
        <v>90</v>
      </c>
      <c r="C203" s="7">
        <f t="shared" si="75"/>
        <v>266774536.05915555</v>
      </c>
      <c r="D203" s="15">
        <f t="shared" si="74"/>
        <v>122353.79440969291</v>
      </c>
      <c r="E203" s="15">
        <f t="shared" si="74"/>
        <v>421.92430271831313</v>
      </c>
      <c r="F203" s="15">
        <f t="shared" si="74"/>
        <v>2224.2812875887817</v>
      </c>
      <c r="G203" s="15">
        <f t="shared" si="74"/>
        <v>125000</v>
      </c>
      <c r="H203" s="15">
        <f t="shared" si="76"/>
        <v>999999.9993599999</v>
      </c>
      <c r="I203" s="15">
        <f t="shared" si="77"/>
        <v>90713.72502638053</v>
      </c>
      <c r="J203" s="15">
        <f t="shared" si="78"/>
        <v>645041.5729879199</v>
      </c>
      <c r="K203" s="15">
        <f t="shared" si="79"/>
        <v>1735755.2973743004</v>
      </c>
      <c r="L203" s="31">
        <v>90</v>
      </c>
      <c r="M203">
        <v>1</v>
      </c>
      <c r="N203" s="7">
        <f t="shared" si="80"/>
        <v>266774536.05915555</v>
      </c>
      <c r="O203" s="15">
        <f t="shared" si="81"/>
        <v>28929.25495623834</v>
      </c>
      <c r="P203" s="7">
        <f t="shared" si="82"/>
        <v>7717588569487.51</v>
      </c>
      <c r="Q203" s="15">
        <f t="shared" si="83"/>
        <v>1735755.2973743004</v>
      </c>
      <c r="S203" s="7">
        <f t="shared" si="84"/>
        <v>266774536.05915555</v>
      </c>
    </row>
    <row r="204" spans="2:19" ht="12">
      <c r="B204" s="31">
        <v>100</v>
      </c>
      <c r="C204" s="7">
        <f t="shared" si="75"/>
        <v>306546365.4178026</v>
      </c>
      <c r="D204" s="15">
        <f aca="true" t="shared" si="85" ref="D204:G205">C135</f>
        <v>124114.97765679774</v>
      </c>
      <c r="E204" s="15">
        <f t="shared" si="85"/>
        <v>175.89679686139786</v>
      </c>
      <c r="F204" s="15">
        <f t="shared" si="85"/>
        <v>709.1255463408679</v>
      </c>
      <c r="G204" s="15">
        <f t="shared" si="85"/>
        <v>125000.00000000001</v>
      </c>
      <c r="H204" s="15">
        <f t="shared" si="76"/>
        <v>999999.9993599999</v>
      </c>
      <c r="I204" s="15">
        <f t="shared" si="77"/>
        <v>37817.811300997135</v>
      </c>
      <c r="J204" s="15">
        <f t="shared" si="78"/>
        <v>205646.40830723796</v>
      </c>
      <c r="K204" s="15">
        <f t="shared" si="79"/>
        <v>1243464.218968235</v>
      </c>
      <c r="L204" s="31">
        <v>100</v>
      </c>
      <c r="M204">
        <v>0</v>
      </c>
      <c r="N204" s="7">
        <f t="shared" si="80"/>
        <v>306546365.4178026</v>
      </c>
      <c r="O204" s="15">
        <f t="shared" si="81"/>
        <v>0</v>
      </c>
      <c r="P204" s="7">
        <f t="shared" si="82"/>
        <v>0</v>
      </c>
      <c r="Q204" s="15">
        <f t="shared" si="83"/>
        <v>0</v>
      </c>
      <c r="S204" s="7">
        <f t="shared" si="84"/>
        <v>0</v>
      </c>
    </row>
    <row r="205" spans="2:19" ht="12">
      <c r="B205" s="31">
        <v>110</v>
      </c>
      <c r="C205" s="7">
        <f t="shared" si="75"/>
        <v>581986516.049325</v>
      </c>
      <c r="D205" s="15">
        <f t="shared" si="85"/>
        <v>124818.51749562526</v>
      </c>
      <c r="E205" s="15">
        <f t="shared" si="85"/>
        <v>51.19668455102667</v>
      </c>
      <c r="F205" s="15">
        <f t="shared" si="85"/>
        <v>130.28581982371585</v>
      </c>
      <c r="G205" s="15">
        <f t="shared" si="85"/>
        <v>125000.00000000001</v>
      </c>
      <c r="H205" s="15">
        <f t="shared" si="76"/>
        <v>999999.9993599999</v>
      </c>
      <c r="I205" s="15">
        <f t="shared" si="77"/>
        <v>11007.28717142607</v>
      </c>
      <c r="J205" s="15">
        <f t="shared" si="78"/>
        <v>37782.88772469655</v>
      </c>
      <c r="K205" s="15">
        <f t="shared" si="79"/>
        <v>1048790.1742561227</v>
      </c>
      <c r="L205" s="31">
        <v>110</v>
      </c>
      <c r="M205">
        <v>0</v>
      </c>
      <c r="N205" s="7">
        <f t="shared" si="80"/>
        <v>581986516.049325</v>
      </c>
      <c r="O205" s="15">
        <f t="shared" si="81"/>
        <v>0</v>
      </c>
      <c r="P205" s="7">
        <f t="shared" si="82"/>
        <v>0</v>
      </c>
      <c r="Q205" s="15">
        <f t="shared" si="83"/>
        <v>0</v>
      </c>
      <c r="S205" s="7">
        <f t="shared" si="84"/>
        <v>0</v>
      </c>
    </row>
    <row r="207" spans="12:17" ht="12">
      <c r="L207" t="s">
        <v>22</v>
      </c>
      <c r="M207">
        <f>SUM(M194:M205)</f>
        <v>6</v>
      </c>
      <c r="N207" s="7">
        <f>SUM(S194:S205)</f>
        <v>14029649932.141699</v>
      </c>
      <c r="O207" s="15">
        <f>SUM(O194:O205)</f>
        <v>254053.15591331793</v>
      </c>
      <c r="P207" s="7">
        <f>SUM(P194:P205)</f>
        <v>584192310149320.2</v>
      </c>
      <c r="Q207" s="7">
        <f>SUM(Q194:Q205)</f>
        <v>15243189.354799075</v>
      </c>
    </row>
    <row r="208" spans="2:17" ht="12">
      <c r="B208" t="s">
        <v>68</v>
      </c>
      <c r="C208" t="s">
        <v>96</v>
      </c>
      <c r="M208" t="s">
        <v>116</v>
      </c>
      <c r="N208" s="7">
        <f>N207/M207</f>
        <v>2338274988.6902833</v>
      </c>
      <c r="O208" s="15">
        <f>O207*Q208/Q207</f>
        <v>50000</v>
      </c>
      <c r="P208" s="7">
        <f>P207*Q208/Q207</f>
        <v>114974424948423.92</v>
      </c>
      <c r="Q208" s="7">
        <f>3000000</f>
        <v>3000000</v>
      </c>
    </row>
    <row r="209" spans="2:12" ht="12">
      <c r="B209" t="s">
        <v>2</v>
      </c>
      <c r="C209" t="s">
        <v>97</v>
      </c>
      <c r="D209" t="s">
        <v>106</v>
      </c>
      <c r="E209" t="s">
        <v>99</v>
      </c>
      <c r="F209" s="40" t="s">
        <v>100</v>
      </c>
      <c r="G209" t="s">
        <v>101</v>
      </c>
      <c r="H209" t="s">
        <v>107</v>
      </c>
      <c r="I209" t="s">
        <v>103</v>
      </c>
      <c r="J209" s="40" t="s">
        <v>104</v>
      </c>
      <c r="K209" t="s">
        <v>105</v>
      </c>
      <c r="L209" t="s">
        <v>151</v>
      </c>
    </row>
    <row r="210" spans="2:19" ht="12">
      <c r="B210" s="31">
        <v>5</v>
      </c>
      <c r="C210" s="7">
        <f>H107</f>
        <v>14898964241.05835</v>
      </c>
      <c r="D210" s="15">
        <f aca="true" t="shared" si="86" ref="D210:G219">C141</f>
        <v>7747.142440495328</v>
      </c>
      <c r="E210" s="15">
        <f t="shared" si="86"/>
        <v>1725.5637032697493</v>
      </c>
      <c r="F210" s="15">
        <f t="shared" si="86"/>
        <v>115527.29385623494</v>
      </c>
      <c r="G210" s="15">
        <f t="shared" si="86"/>
        <v>125000.00000000003</v>
      </c>
      <c r="H210" s="15">
        <f>K141</f>
        <v>999999.9993599999</v>
      </c>
      <c r="I210" s="15">
        <f>L141</f>
        <v>431390.9255413471</v>
      </c>
      <c r="J210" s="15">
        <f>M141</f>
        <v>999999.9993599999</v>
      </c>
      <c r="K210" s="15">
        <f>N141</f>
        <v>2431390.924261347</v>
      </c>
      <c r="L210" s="31">
        <v>5</v>
      </c>
      <c r="M210">
        <v>1</v>
      </c>
      <c r="N210" s="7">
        <f>C210</f>
        <v>14898964241.05835</v>
      </c>
      <c r="O210" s="15">
        <f>K210*M210/F$68</f>
        <v>40523.18207102245</v>
      </c>
      <c r="P210" s="7">
        <f>O210*N210</f>
        <v>603753440610060.2</v>
      </c>
      <c r="Q210" s="15">
        <f>K210*M210</f>
        <v>2431390.924261347</v>
      </c>
      <c r="S210" s="7">
        <f>N210*M210</f>
        <v>14898964241.05835</v>
      </c>
    </row>
    <row r="211" spans="2:19" ht="12">
      <c r="B211" s="31">
        <v>15</v>
      </c>
      <c r="C211" s="7">
        <f aca="true" t="shared" si="87" ref="C211:C221">H108</f>
        <v>3783461238.6667676</v>
      </c>
      <c r="D211" s="15">
        <f t="shared" si="86"/>
        <v>4192.107616343461</v>
      </c>
      <c r="E211" s="15">
        <f t="shared" si="86"/>
        <v>4651.162790697674</v>
      </c>
      <c r="F211" s="15">
        <f t="shared" si="86"/>
        <v>99286.7879484521</v>
      </c>
      <c r="G211" s="15">
        <f t="shared" si="86"/>
        <v>108130.05835549324</v>
      </c>
      <c r="H211" s="15">
        <f aca="true" t="shared" si="88" ref="H211:H221">K142</f>
        <v>999999.9993599999</v>
      </c>
      <c r="I211" s="15">
        <f aca="true" t="shared" si="89" ref="I211:I221">L142</f>
        <v>999999.9993599999</v>
      </c>
      <c r="J211" s="15">
        <f aca="true" t="shared" si="90" ref="J211:J221">M142</f>
        <v>999999.9993599999</v>
      </c>
      <c r="K211" s="15">
        <f aca="true" t="shared" si="91" ref="K211:K221">N142</f>
        <v>2999999.99808</v>
      </c>
      <c r="L211" s="31">
        <v>15</v>
      </c>
      <c r="M211">
        <v>1</v>
      </c>
      <c r="N211" s="7">
        <f aca="true" t="shared" si="92" ref="N211:N221">C211</f>
        <v>3783461238.6667676</v>
      </c>
      <c r="O211" s="15">
        <f aca="true" t="shared" si="93" ref="O211:O221">K211*M211/F$68</f>
        <v>49999.999968</v>
      </c>
      <c r="P211" s="7">
        <f aca="true" t="shared" si="94" ref="P211:P221">O211*N211</f>
        <v>189173061812267.6</v>
      </c>
      <c r="Q211" s="15">
        <f aca="true" t="shared" si="95" ref="Q211:Q221">K211*M211</f>
        <v>2999999.99808</v>
      </c>
      <c r="S211" s="7">
        <f aca="true" t="shared" si="96" ref="S211:S221">N211*M211</f>
        <v>3783461238.6667676</v>
      </c>
    </row>
    <row r="212" spans="2:19" ht="12">
      <c r="B212" s="31">
        <v>25</v>
      </c>
      <c r="C212" s="7">
        <f t="shared" si="87"/>
        <v>2767936224.974218</v>
      </c>
      <c r="D212" s="15">
        <f t="shared" si="86"/>
        <v>2612.5396647616003</v>
      </c>
      <c r="E212" s="15">
        <f t="shared" si="86"/>
        <v>4651.162790697674</v>
      </c>
      <c r="F212" s="15">
        <f t="shared" si="86"/>
        <v>82579.59709643543</v>
      </c>
      <c r="G212" s="15">
        <f t="shared" si="86"/>
        <v>89843.29955189471</v>
      </c>
      <c r="H212" s="15">
        <f t="shared" si="88"/>
        <v>999999.9993599999</v>
      </c>
      <c r="I212" s="15">
        <f t="shared" si="89"/>
        <v>999999.9993599999</v>
      </c>
      <c r="J212" s="15">
        <f t="shared" si="90"/>
        <v>999999.9993599999</v>
      </c>
      <c r="K212" s="15">
        <f t="shared" si="91"/>
        <v>2999999.99808</v>
      </c>
      <c r="L212" s="31">
        <v>25</v>
      </c>
      <c r="M212">
        <v>1</v>
      </c>
      <c r="N212" s="7">
        <f t="shared" si="92"/>
        <v>2767936224.974218</v>
      </c>
      <c r="O212" s="15">
        <f t="shared" si="93"/>
        <v>49999.999968</v>
      </c>
      <c r="P212" s="7">
        <f t="shared" si="94"/>
        <v>138396811160136.92</v>
      </c>
      <c r="Q212" s="15">
        <f t="shared" si="95"/>
        <v>2999999.99808</v>
      </c>
      <c r="S212" s="7">
        <f t="shared" si="96"/>
        <v>2767936224.974218</v>
      </c>
    </row>
    <row r="213" spans="2:19" ht="12">
      <c r="B213" s="31">
        <v>30</v>
      </c>
      <c r="C213" s="7">
        <f t="shared" si="87"/>
        <v>2734818336.0138555</v>
      </c>
      <c r="D213" s="15">
        <f t="shared" si="86"/>
        <v>2192.3487518111237</v>
      </c>
      <c r="E213" s="15">
        <f t="shared" si="86"/>
        <v>4651.162790697675</v>
      </c>
      <c r="F213" s="15">
        <f t="shared" si="86"/>
        <v>79822.05353058345</v>
      </c>
      <c r="G213" s="15">
        <f t="shared" si="86"/>
        <v>86665.56507309225</v>
      </c>
      <c r="H213" s="15">
        <f t="shared" si="88"/>
        <v>999999.9993599999</v>
      </c>
      <c r="I213" s="15">
        <f t="shared" si="89"/>
        <v>999999.9993599999</v>
      </c>
      <c r="J213" s="15">
        <f t="shared" si="90"/>
        <v>999999.9993599999</v>
      </c>
      <c r="K213" s="15">
        <f t="shared" si="91"/>
        <v>2999999.99808</v>
      </c>
      <c r="L213" s="31">
        <v>30</v>
      </c>
      <c r="M213">
        <v>0</v>
      </c>
      <c r="N213" s="7">
        <f t="shared" si="92"/>
        <v>2734818336.0138555</v>
      </c>
      <c r="O213" s="15">
        <f t="shared" si="93"/>
        <v>0</v>
      </c>
      <c r="P213" s="7">
        <f t="shared" si="94"/>
        <v>0</v>
      </c>
      <c r="Q213" s="15">
        <f t="shared" si="95"/>
        <v>0</v>
      </c>
      <c r="S213" s="7">
        <f t="shared" si="96"/>
        <v>0</v>
      </c>
    </row>
    <row r="214" spans="2:19" ht="12">
      <c r="B214" s="31">
        <v>40</v>
      </c>
      <c r="C214" s="7">
        <f t="shared" si="87"/>
        <v>3936343596.5885367</v>
      </c>
      <c r="D214" s="15">
        <f t="shared" si="86"/>
        <v>1999.9999999999998</v>
      </c>
      <c r="E214" s="15">
        <f t="shared" si="86"/>
        <v>5682.667860020674</v>
      </c>
      <c r="F214" s="15">
        <f t="shared" si="86"/>
        <v>101495.90658987855</v>
      </c>
      <c r="G214" s="15">
        <f t="shared" si="86"/>
        <v>109178.57444989923</v>
      </c>
      <c r="H214" s="15">
        <f t="shared" si="88"/>
        <v>999999.9993599999</v>
      </c>
      <c r="I214" s="15">
        <f t="shared" si="89"/>
        <v>999999.9993599999</v>
      </c>
      <c r="J214" s="15">
        <f t="shared" si="90"/>
        <v>999999.9993599999</v>
      </c>
      <c r="K214" s="15">
        <f t="shared" si="91"/>
        <v>2999999.99808</v>
      </c>
      <c r="L214" s="31">
        <v>40</v>
      </c>
      <c r="M214">
        <v>0</v>
      </c>
      <c r="N214" s="7">
        <f t="shared" si="92"/>
        <v>3936343596.5885367</v>
      </c>
      <c r="O214" s="15">
        <f t="shared" si="93"/>
        <v>0</v>
      </c>
      <c r="P214" s="7">
        <f t="shared" si="94"/>
        <v>0</v>
      </c>
      <c r="Q214" s="15">
        <f t="shared" si="95"/>
        <v>0</v>
      </c>
      <c r="S214" s="7">
        <f t="shared" si="96"/>
        <v>0</v>
      </c>
    </row>
    <row r="215" spans="2:19" ht="12">
      <c r="B215" s="31">
        <v>50</v>
      </c>
      <c r="C215" s="7">
        <f t="shared" si="87"/>
        <v>5728639274.687972</v>
      </c>
      <c r="D215" s="15">
        <f t="shared" si="86"/>
        <v>1519.6834663627988</v>
      </c>
      <c r="E215" s="15">
        <f t="shared" si="86"/>
        <v>5625.52682455574</v>
      </c>
      <c r="F215" s="15">
        <f t="shared" si="86"/>
        <v>117854.78970908147</v>
      </c>
      <c r="G215" s="15">
        <f t="shared" si="86"/>
        <v>125000</v>
      </c>
      <c r="H215" s="15">
        <f t="shared" si="88"/>
        <v>858621.1579454636</v>
      </c>
      <c r="I215" s="15">
        <f t="shared" si="89"/>
        <v>999999.9993599999</v>
      </c>
      <c r="J215" s="15">
        <f t="shared" si="90"/>
        <v>999999.9993599999</v>
      </c>
      <c r="K215" s="15">
        <f t="shared" si="91"/>
        <v>2858621.1566654635</v>
      </c>
      <c r="L215" s="31">
        <v>50</v>
      </c>
      <c r="M215">
        <v>1</v>
      </c>
      <c r="N215" s="7">
        <f t="shared" si="92"/>
        <v>5728639274.687972</v>
      </c>
      <c r="O215" s="15">
        <f t="shared" si="93"/>
        <v>47643.68594442439</v>
      </c>
      <c r="P215" s="7">
        <f t="shared" si="94"/>
        <v>272933490492128.88</v>
      </c>
      <c r="Q215" s="15">
        <f t="shared" si="95"/>
        <v>2858621.1566654635</v>
      </c>
      <c r="S215" s="7">
        <f t="shared" si="96"/>
        <v>5728639274.687972</v>
      </c>
    </row>
    <row r="216" spans="2:19" ht="12">
      <c r="B216" s="31">
        <v>60</v>
      </c>
      <c r="C216" s="7">
        <f t="shared" si="87"/>
        <v>8236648670.7136</v>
      </c>
      <c r="D216" s="15">
        <f t="shared" si="86"/>
        <v>909.8327748799247</v>
      </c>
      <c r="E216" s="15">
        <f t="shared" si="86"/>
        <v>4449.098373011135</v>
      </c>
      <c r="F216" s="15">
        <f t="shared" si="86"/>
        <v>119641.06885210895</v>
      </c>
      <c r="G216" s="15">
        <f t="shared" si="86"/>
        <v>125000</v>
      </c>
      <c r="H216" s="15">
        <f t="shared" si="88"/>
        <v>514055.51747816184</v>
      </c>
      <c r="I216" s="15">
        <f t="shared" si="89"/>
        <v>999999.9993599999</v>
      </c>
      <c r="J216" s="15">
        <f t="shared" si="90"/>
        <v>999999.9993599999</v>
      </c>
      <c r="K216" s="15">
        <f t="shared" si="91"/>
        <v>2514055.5161981615</v>
      </c>
      <c r="L216" s="31">
        <v>60</v>
      </c>
      <c r="M216">
        <v>0</v>
      </c>
      <c r="N216" s="7">
        <f t="shared" si="92"/>
        <v>8236648670.7136</v>
      </c>
      <c r="O216" s="15">
        <f t="shared" si="93"/>
        <v>0</v>
      </c>
      <c r="P216" s="7">
        <f t="shared" si="94"/>
        <v>0</v>
      </c>
      <c r="Q216" s="15">
        <f t="shared" si="95"/>
        <v>0</v>
      </c>
      <c r="S216" s="7">
        <f t="shared" si="96"/>
        <v>0</v>
      </c>
    </row>
    <row r="217" spans="2:19" ht="12">
      <c r="B217" s="31">
        <v>70</v>
      </c>
      <c r="C217" s="7">
        <f t="shared" si="87"/>
        <v>13765460120.703455</v>
      </c>
      <c r="D217" s="15">
        <f t="shared" si="86"/>
        <v>480.867979946638</v>
      </c>
      <c r="E217" s="15">
        <f t="shared" si="86"/>
        <v>3241.264317513212</v>
      </c>
      <c r="F217" s="15">
        <f t="shared" si="86"/>
        <v>121277.86770254014</v>
      </c>
      <c r="G217" s="15">
        <f t="shared" si="86"/>
        <v>124999.99999999999</v>
      </c>
      <c r="H217" s="15">
        <f t="shared" si="88"/>
        <v>271690.40849596856</v>
      </c>
      <c r="I217" s="15">
        <f t="shared" si="89"/>
        <v>810316.0788597006</v>
      </c>
      <c r="J217" s="15">
        <f t="shared" si="90"/>
        <v>999999.9993599999</v>
      </c>
      <c r="K217" s="15">
        <f t="shared" si="91"/>
        <v>2082006.4867156688</v>
      </c>
      <c r="L217" s="31">
        <v>70</v>
      </c>
      <c r="M217">
        <v>1</v>
      </c>
      <c r="N217" s="7">
        <f t="shared" si="92"/>
        <v>13765460120.703455</v>
      </c>
      <c r="O217" s="15">
        <f t="shared" si="93"/>
        <v>34700.10811192782</v>
      </c>
      <c r="P217" s="7">
        <f t="shared" si="94"/>
        <v>477662954398840.8</v>
      </c>
      <c r="Q217" s="15">
        <f t="shared" si="95"/>
        <v>2082006.4867156688</v>
      </c>
      <c r="S217" s="7">
        <f t="shared" si="96"/>
        <v>13765460120.703455</v>
      </c>
    </row>
    <row r="218" spans="2:19" ht="12">
      <c r="B218" s="31">
        <v>80</v>
      </c>
      <c r="C218" s="7">
        <f t="shared" si="87"/>
        <v>28017211722.64047</v>
      </c>
      <c r="D218" s="15">
        <f t="shared" si="86"/>
        <v>214.76466054105433</v>
      </c>
      <c r="E218" s="15">
        <f t="shared" si="86"/>
        <v>2145.207586045046</v>
      </c>
      <c r="F218" s="15">
        <f t="shared" si="86"/>
        <v>122640.02775341392</v>
      </c>
      <c r="G218" s="15">
        <f t="shared" si="86"/>
        <v>125000.00000000001</v>
      </c>
      <c r="H218" s="15">
        <f t="shared" si="88"/>
        <v>121342.03312803677</v>
      </c>
      <c r="I218" s="15">
        <f t="shared" si="89"/>
        <v>536301.8961680282</v>
      </c>
      <c r="J218" s="15">
        <f t="shared" si="90"/>
        <v>999999.9993599999</v>
      </c>
      <c r="K218" s="15">
        <f t="shared" si="91"/>
        <v>1657643.928656065</v>
      </c>
      <c r="L218" s="31">
        <v>80</v>
      </c>
      <c r="M218">
        <v>0</v>
      </c>
      <c r="N218" s="7">
        <f t="shared" si="92"/>
        <v>28017211722.64047</v>
      </c>
      <c r="O218" s="15">
        <f t="shared" si="93"/>
        <v>0</v>
      </c>
      <c r="P218" s="7">
        <f t="shared" si="94"/>
        <v>0</v>
      </c>
      <c r="Q218" s="15">
        <f t="shared" si="95"/>
        <v>0</v>
      </c>
      <c r="S218" s="7">
        <f t="shared" si="96"/>
        <v>0</v>
      </c>
    </row>
    <row r="219" spans="2:19" ht="12">
      <c r="B219" s="31">
        <v>90</v>
      </c>
      <c r="C219" s="7">
        <f>H116</f>
        <v>76165745690.01141</v>
      </c>
      <c r="D219" s="15">
        <f t="shared" si="86"/>
        <v>74.17015830809757</v>
      </c>
      <c r="E219" s="15">
        <f t="shared" si="86"/>
        <v>1237.3598666420496</v>
      </c>
      <c r="F219" s="15">
        <f t="shared" si="86"/>
        <v>123688.46997504987</v>
      </c>
      <c r="G219" s="15">
        <f t="shared" si="86"/>
        <v>125000.00000000001</v>
      </c>
      <c r="H219" s="15">
        <f t="shared" si="88"/>
        <v>41906.139417255195</v>
      </c>
      <c r="I219" s="15">
        <f t="shared" si="89"/>
        <v>309339.9664625348</v>
      </c>
      <c r="J219" s="15">
        <f t="shared" si="90"/>
        <v>999999.9993599999</v>
      </c>
      <c r="K219" s="15">
        <f>N150</f>
        <v>1351246.10523979</v>
      </c>
      <c r="L219" s="31">
        <v>90</v>
      </c>
      <c r="M219">
        <v>1</v>
      </c>
      <c r="N219" s="7">
        <f>C219</f>
        <v>76165745690.01141</v>
      </c>
      <c r="O219" s="15">
        <f>K219*M219/F$68</f>
        <v>22520.768420663164</v>
      </c>
      <c r="P219" s="7">
        <f>O219*N219</f>
        <v>1715311120271870.5</v>
      </c>
      <c r="Q219" s="15">
        <f t="shared" si="95"/>
        <v>1351246.10523979</v>
      </c>
      <c r="S219" s="7">
        <f>N219*M219</f>
        <v>76165745690.01141</v>
      </c>
    </row>
    <row r="220" spans="2:19" ht="12">
      <c r="B220" s="31">
        <v>100</v>
      </c>
      <c r="C220" s="7">
        <f t="shared" si="87"/>
        <v>200000000000</v>
      </c>
      <c r="D220" s="15">
        <f aca="true" t="shared" si="97" ref="D220:G221">C151</f>
        <v>9.419131803101713</v>
      </c>
      <c r="E220" s="15">
        <f t="shared" si="97"/>
        <v>327.3562502021327</v>
      </c>
      <c r="F220" s="15">
        <f t="shared" si="97"/>
        <v>72575.95851480745</v>
      </c>
      <c r="G220" s="15">
        <f t="shared" si="97"/>
        <v>72912.73389681269</v>
      </c>
      <c r="H220" s="15">
        <f t="shared" si="88"/>
        <v>5321.80946534651</v>
      </c>
      <c r="I220" s="15">
        <f t="shared" si="89"/>
        <v>81839.06249815617</v>
      </c>
      <c r="J220" s="15">
        <f t="shared" si="90"/>
        <v>999999.9993599999</v>
      </c>
      <c r="K220" s="15">
        <f t="shared" si="91"/>
        <v>1087160.8713235026</v>
      </c>
      <c r="L220" s="31">
        <v>100</v>
      </c>
      <c r="M220">
        <v>0</v>
      </c>
      <c r="N220" s="7">
        <f t="shared" si="92"/>
        <v>200000000000</v>
      </c>
      <c r="O220" s="15">
        <f t="shared" si="93"/>
        <v>0</v>
      </c>
      <c r="P220" s="7">
        <f t="shared" si="94"/>
        <v>0</v>
      </c>
      <c r="Q220" s="15">
        <f t="shared" si="95"/>
        <v>0</v>
      </c>
      <c r="S220" s="7">
        <f t="shared" si="96"/>
        <v>0</v>
      </c>
    </row>
    <row r="221" spans="2:19" ht="12">
      <c r="B221" s="31">
        <v>110</v>
      </c>
      <c r="C221" s="7">
        <f t="shared" si="87"/>
        <v>200000000000</v>
      </c>
      <c r="D221" s="15">
        <f t="shared" si="97"/>
        <v>0.044828692451485894</v>
      </c>
      <c r="E221" s="15">
        <f t="shared" si="97"/>
        <v>5.577907530715697</v>
      </c>
      <c r="F221" s="15">
        <f t="shared" si="97"/>
        <v>4867.457524073124</v>
      </c>
      <c r="G221" s="15">
        <f t="shared" si="97"/>
        <v>4873.080260296291</v>
      </c>
      <c r="H221" s="15">
        <f t="shared" si="88"/>
        <v>25.32821121887947</v>
      </c>
      <c r="I221" s="15">
        <f t="shared" si="89"/>
        <v>1394.476881786459</v>
      </c>
      <c r="J221" s="15">
        <f t="shared" si="90"/>
        <v>999999.9993599999</v>
      </c>
      <c r="K221" s="15">
        <f t="shared" si="91"/>
        <v>1001419.8044530052</v>
      </c>
      <c r="L221" s="31">
        <v>110</v>
      </c>
      <c r="M221">
        <v>0</v>
      </c>
      <c r="N221" s="7">
        <f t="shared" si="92"/>
        <v>200000000000</v>
      </c>
      <c r="O221" s="15">
        <f t="shared" si="93"/>
        <v>0</v>
      </c>
      <c r="P221" s="7">
        <f t="shared" si="94"/>
        <v>0</v>
      </c>
      <c r="Q221" s="15">
        <f t="shared" si="95"/>
        <v>0</v>
      </c>
      <c r="S221" s="7">
        <f t="shared" si="96"/>
        <v>0</v>
      </c>
    </row>
    <row r="222" spans="12:17" ht="12">
      <c r="L222" t="s">
        <v>22</v>
      </c>
      <c r="M222">
        <f>SUM(M210:M221)</f>
        <v>6</v>
      </c>
      <c r="N222" s="7">
        <f>SUM(S210:S221)</f>
        <v>117110206790.10217</v>
      </c>
      <c r="O222" s="15">
        <f>SUM(O210:O221)</f>
        <v>245387.7444840378</v>
      </c>
      <c r="P222" s="7">
        <f>SUM(P210:P221)</f>
        <v>3397230878745305</v>
      </c>
      <c r="Q222" s="7">
        <f>SUM(Q210:Q221)</f>
        <v>14723264.669042269</v>
      </c>
    </row>
    <row r="223" spans="13:17" ht="12">
      <c r="M223" t="s">
        <v>120</v>
      </c>
      <c r="N223" s="7">
        <f>N222/M222</f>
        <v>19518367798.35036</v>
      </c>
      <c r="O223" s="15">
        <f>O222*Q223/Q222</f>
        <v>50000</v>
      </c>
      <c r="P223" s="7">
        <f>P222*Q223/Q222</f>
        <v>692216900621597.9</v>
      </c>
      <c r="Q223" s="7">
        <v>3000000</v>
      </c>
    </row>
    <row r="226" spans="13:17" ht="12">
      <c r="M226" t="s">
        <v>140</v>
      </c>
      <c r="N226" s="7">
        <f>(N223+N224)/2</f>
        <v>9759183899.17518</v>
      </c>
      <c r="O226">
        <f>(O223+O208)/2</f>
        <v>50000</v>
      </c>
      <c r="P226">
        <f>(P208+P223)/2</f>
        <v>403595662785010.9</v>
      </c>
      <c r="Q226" s="7">
        <f>(Q208+Q223)/2</f>
        <v>3000000</v>
      </c>
    </row>
    <row r="231" spans="12:23" ht="12">
      <c r="L231" t="s">
        <v>122</v>
      </c>
      <c r="M231" t="s">
        <v>148</v>
      </c>
      <c r="Q231" t="s">
        <v>153</v>
      </c>
      <c r="R231" t="s">
        <v>162</v>
      </c>
      <c r="U231" t="s">
        <v>161</v>
      </c>
      <c r="V231" t="s">
        <v>164</v>
      </c>
      <c r="W231" t="s">
        <v>157</v>
      </c>
    </row>
    <row r="232" spans="13:22" ht="12">
      <c r="M232" t="s">
        <v>149</v>
      </c>
      <c r="Q232" s="37" t="s">
        <v>154</v>
      </c>
      <c r="R232" t="s">
        <v>155</v>
      </c>
      <c r="S232" t="s">
        <v>156</v>
      </c>
      <c r="T232" t="s">
        <v>159</v>
      </c>
      <c r="U232" t="s">
        <v>160</v>
      </c>
      <c r="V232" t="s">
        <v>163</v>
      </c>
    </row>
    <row r="233" ht="12">
      <c r="M233" t="s">
        <v>150</v>
      </c>
    </row>
    <row r="234" spans="13:23" ht="12">
      <c r="M234" t="s">
        <v>135</v>
      </c>
      <c r="Q234">
        <f>-L219</f>
        <v>-90</v>
      </c>
      <c r="R234" s="7">
        <f>N219</f>
        <v>76165745690.01141</v>
      </c>
      <c r="S234" s="7">
        <f>R234/2.9</f>
        <v>26264050237.93497</v>
      </c>
      <c r="T234" s="7">
        <f>R234*V234</f>
        <v>3434462653953985.5</v>
      </c>
      <c r="U234" s="15">
        <f>O219</f>
        <v>22520.768420663164</v>
      </c>
      <c r="V234" s="15">
        <f>20*50000*U234/U$247</f>
        <v>45091.95863363536</v>
      </c>
      <c r="W234" s="17">
        <f>(V234*2.9)/(24*3600)</f>
        <v>1.513503241175261</v>
      </c>
    </row>
    <row r="235" spans="17:23" ht="12">
      <c r="Q235">
        <f>-L217</f>
        <v>-70</v>
      </c>
      <c r="R235" s="7">
        <f>N217</f>
        <v>13765460120.703455</v>
      </c>
      <c r="S235" s="7">
        <f aca="true" t="shared" si="98" ref="S235:S245">R235/2.9</f>
        <v>4746710386.449468</v>
      </c>
      <c r="T235" s="7">
        <f aca="true" t="shared" si="99" ref="T235:T244">R235*V235</f>
        <v>956395349317229.9</v>
      </c>
      <c r="U235" s="15">
        <f>O217</f>
        <v>34700.10811192782</v>
      </c>
      <c r="V235" s="15">
        <f>20*50000*U235/U$247</f>
        <v>69477.90636353646</v>
      </c>
      <c r="W235" s="17">
        <f aca="true" t="shared" si="100" ref="W235:W245">(V235*2.9)/(24*3600)</f>
        <v>2.3320130608131446</v>
      </c>
    </row>
    <row r="236" spans="11:23" ht="12">
      <c r="K236" t="s">
        <v>121</v>
      </c>
      <c r="L236" t="s">
        <v>123</v>
      </c>
      <c r="M236" t="s">
        <v>124</v>
      </c>
      <c r="N236" t="s">
        <v>136</v>
      </c>
      <c r="O236" t="s">
        <v>138</v>
      </c>
      <c r="Q236">
        <f>-L215</f>
        <v>-50</v>
      </c>
      <c r="R236" s="7">
        <f>N215</f>
        <v>5728639274.687972</v>
      </c>
      <c r="S236" s="7">
        <f t="shared" si="98"/>
        <v>1975392853.3406801</v>
      </c>
      <c r="T236" s="7">
        <f t="shared" si="99"/>
        <v>546478052308056.3</v>
      </c>
      <c r="U236" s="15">
        <f>O215</f>
        <v>47643.68594442439</v>
      </c>
      <c r="V236" s="15">
        <f aca="true" t="shared" si="101" ref="V236:V245">20*50000*U236/U$247</f>
        <v>95394.04143016526</v>
      </c>
      <c r="W236" s="17">
        <f t="shared" si="100"/>
        <v>3.2018833350402693</v>
      </c>
    </row>
    <row r="237" spans="14:23" ht="12">
      <c r="N237" t="s">
        <v>137</v>
      </c>
      <c r="O237" t="s">
        <v>139</v>
      </c>
      <c r="Q237">
        <f>-L212</f>
        <v>-25</v>
      </c>
      <c r="R237" s="7">
        <f>N212</f>
        <v>2767936224.974218</v>
      </c>
      <c r="S237" s="7">
        <f t="shared" si="98"/>
        <v>954460767.232489</v>
      </c>
      <c r="T237" s="7">
        <f t="shared" si="99"/>
        <v>277103479210509.75</v>
      </c>
      <c r="U237" s="15">
        <f>O212</f>
        <v>49999.999968</v>
      </c>
      <c r="V237" s="15">
        <f t="shared" si="101"/>
        <v>100111.9450333762</v>
      </c>
      <c r="W237" s="17">
        <f t="shared" si="100"/>
        <v>3.360238895796192</v>
      </c>
    </row>
    <row r="238" spans="17:23" ht="12">
      <c r="Q238">
        <f>-L211</f>
        <v>-15</v>
      </c>
      <c r="R238" s="7">
        <f>N211</f>
        <v>3783461238.6667676</v>
      </c>
      <c r="S238" s="7">
        <f t="shared" si="98"/>
        <v>1304641806.4368165</v>
      </c>
      <c r="T238" s="7">
        <f t="shared" si="99"/>
        <v>378769663561316.9</v>
      </c>
      <c r="U238" s="15">
        <f>O211</f>
        <v>49999.999968</v>
      </c>
      <c r="V238" s="15">
        <f t="shared" si="101"/>
        <v>100111.9450333762</v>
      </c>
      <c r="W238" s="17">
        <f t="shared" si="100"/>
        <v>3.360238895796192</v>
      </c>
    </row>
    <row r="239" spans="11:23" ht="12">
      <c r="K239" t="s">
        <v>125</v>
      </c>
      <c r="L239" t="s">
        <v>126</v>
      </c>
      <c r="M239">
        <v>3.3</v>
      </c>
      <c r="N239">
        <v>125000</v>
      </c>
      <c r="O239" s="7">
        <f>N239*O$226*M239</f>
        <v>20625000000</v>
      </c>
      <c r="Q239">
        <f>-L210</f>
        <v>-5</v>
      </c>
      <c r="R239" s="7">
        <f>N210</f>
        <v>14898964241.05835</v>
      </c>
      <c r="S239" s="7">
        <f t="shared" si="98"/>
        <v>5137573876.227017</v>
      </c>
      <c r="T239" s="7">
        <f t="shared" si="99"/>
        <v>1208858625974991.8</v>
      </c>
      <c r="U239" s="15">
        <f>O210</f>
        <v>40523.18207102245</v>
      </c>
      <c r="V239" s="15">
        <f t="shared" si="101"/>
        <v>81137.09157336164</v>
      </c>
      <c r="W239" s="17">
        <f t="shared" si="100"/>
        <v>2.723351453272555</v>
      </c>
    </row>
    <row r="240" spans="11:23" ht="12">
      <c r="K240" t="s">
        <v>127</v>
      </c>
      <c r="L240" t="s">
        <v>126</v>
      </c>
      <c r="M240">
        <v>3.3</v>
      </c>
      <c r="N240">
        <v>125000</v>
      </c>
      <c r="O240" s="7">
        <f>N240*O$226*M240</f>
        <v>20625000000</v>
      </c>
      <c r="Q240">
        <f>+L194</f>
        <v>5</v>
      </c>
      <c r="R240" s="7">
        <f>N194</f>
        <v>9664517108.457981</v>
      </c>
      <c r="S240" s="7">
        <f t="shared" si="98"/>
        <v>3332592106.364821</v>
      </c>
      <c r="T240" s="7">
        <f t="shared" si="99"/>
        <v>754802192925751.5</v>
      </c>
      <c r="U240" s="15">
        <f>O194</f>
        <v>39006.51037461764</v>
      </c>
      <c r="V240" s="15">
        <f t="shared" si="101"/>
        <v>78100.35250133503</v>
      </c>
      <c r="W240" s="17">
        <f t="shared" si="100"/>
        <v>2.621423868679069</v>
      </c>
    </row>
    <row r="241" spans="11:23" ht="12">
      <c r="K241" t="s">
        <v>128</v>
      </c>
      <c r="L241" t="s">
        <v>129</v>
      </c>
      <c r="M241">
        <v>6</v>
      </c>
      <c r="N241" s="7">
        <f>N$226</f>
        <v>9759183899.17518</v>
      </c>
      <c r="O241" s="7">
        <f>N241*O$226*M241</f>
        <v>2927755169752554</v>
      </c>
      <c r="Q241">
        <f>L195</f>
        <v>15</v>
      </c>
      <c r="R241" s="7">
        <f>N195</f>
        <v>2097209192.546087</v>
      </c>
      <c r="S241" s="7">
        <f t="shared" si="98"/>
        <v>723175583.6365818</v>
      </c>
      <c r="T241" s="7">
        <f t="shared" si="99"/>
        <v>209955691407665.12</v>
      </c>
      <c r="U241" s="15">
        <f>O195</f>
        <v>49999.99996799999</v>
      </c>
      <c r="V241" s="15">
        <f t="shared" si="101"/>
        <v>100111.94503337619</v>
      </c>
      <c r="W241" s="17">
        <f t="shared" si="100"/>
        <v>3.3602388957961913</v>
      </c>
    </row>
    <row r="242" spans="11:23" ht="12">
      <c r="K242" t="s">
        <v>130</v>
      </c>
      <c r="L242" t="s">
        <v>131</v>
      </c>
      <c r="M242">
        <v>4</v>
      </c>
      <c r="N242" s="7">
        <f>N$226</f>
        <v>9759183899.17518</v>
      </c>
      <c r="O242" s="7">
        <f aca="true" t="shared" si="102" ref="O242:O249">N242*O$226*M242</f>
        <v>1951836779835036</v>
      </c>
      <c r="Q242">
        <f>L196</f>
        <v>25</v>
      </c>
      <c r="R242" s="7">
        <f>N196</f>
        <v>1082765442.6378534</v>
      </c>
      <c r="S242" s="7">
        <f t="shared" si="98"/>
        <v>373367394.0130529</v>
      </c>
      <c r="T242" s="7">
        <f t="shared" si="99"/>
        <v>108397754477400.02</v>
      </c>
      <c r="U242" s="15">
        <f>O196</f>
        <v>49999.99996799999</v>
      </c>
      <c r="V242" s="15">
        <f t="shared" si="101"/>
        <v>100111.94503337619</v>
      </c>
      <c r="W242" s="17">
        <f t="shared" si="100"/>
        <v>3.3602388957961913</v>
      </c>
    </row>
    <row r="243" spans="11:23" ht="12">
      <c r="K243" t="s">
        <v>32</v>
      </c>
      <c r="L243" t="s">
        <v>133</v>
      </c>
      <c r="M243">
        <v>2</v>
      </c>
      <c r="N243" s="7">
        <f aca="true" t="shared" si="103" ref="N243:N249">N$226</f>
        <v>9759183899.17518</v>
      </c>
      <c r="O243" s="7">
        <f>N243*O$226*M243</f>
        <v>975918389917518</v>
      </c>
      <c r="Q243">
        <f>L199</f>
        <v>50</v>
      </c>
      <c r="R243" s="7">
        <f>N199</f>
        <v>575825858.9475843</v>
      </c>
      <c r="S243" s="7">
        <f t="shared" si="98"/>
        <v>198560641.01640838</v>
      </c>
      <c r="T243" s="7">
        <f t="shared" si="99"/>
        <v>54351924791895.95</v>
      </c>
      <c r="U243" s="15">
        <f>O199</f>
        <v>47141.9854363728</v>
      </c>
      <c r="V243" s="15">
        <f t="shared" si="101"/>
        <v>94389.51715581681</v>
      </c>
      <c r="W243" s="17">
        <f t="shared" si="100"/>
        <v>3.168166663794777</v>
      </c>
    </row>
    <row r="244" spans="11:23" ht="12">
      <c r="K244" t="s">
        <v>32</v>
      </c>
      <c r="L244" t="s">
        <v>134</v>
      </c>
      <c r="M244">
        <v>1</v>
      </c>
      <c r="N244" s="7">
        <f t="shared" si="103"/>
        <v>9759183899.17518</v>
      </c>
      <c r="O244" s="7">
        <f t="shared" si="102"/>
        <v>487959194958759</v>
      </c>
      <c r="Q244">
        <f>L201</f>
        <v>70</v>
      </c>
      <c r="R244" s="7">
        <f>N201</f>
        <v>342557793.4930361</v>
      </c>
      <c r="S244" s="7">
        <f t="shared" si="98"/>
        <v>118123377.06656417</v>
      </c>
      <c r="T244" s="7">
        <f t="shared" si="99"/>
        <v>26732549934622.477</v>
      </c>
      <c r="U244" s="15">
        <f>O201</f>
        <v>38975.40521008915</v>
      </c>
      <c r="V244" s="15">
        <f t="shared" si="101"/>
        <v>78038.07253086456</v>
      </c>
      <c r="W244" s="17">
        <f t="shared" si="100"/>
        <v>2.6193334530035557</v>
      </c>
    </row>
    <row r="245" spans="11:23" ht="12">
      <c r="K245" t="s">
        <v>69</v>
      </c>
      <c r="L245" t="s">
        <v>134</v>
      </c>
      <c r="M245">
        <v>1</v>
      </c>
      <c r="N245" s="7">
        <f t="shared" si="103"/>
        <v>9759183899.17518</v>
      </c>
      <c r="O245" s="7">
        <f t="shared" si="102"/>
        <v>487959194958759</v>
      </c>
      <c r="Q245">
        <f>L203</f>
        <v>90</v>
      </c>
      <c r="R245" s="7">
        <f>N203</f>
        <v>266774536.05915555</v>
      </c>
      <c r="S245" s="7">
        <f t="shared" si="98"/>
        <v>91991219.3307433</v>
      </c>
      <c r="T245" s="7">
        <f>R245*V245</f>
        <v>15452456063064.492</v>
      </c>
      <c r="U245" s="15">
        <f>O203</f>
        <v>28929.25495623834</v>
      </c>
      <c r="V245" s="15">
        <f t="shared" si="101"/>
        <v>57923.279677780076</v>
      </c>
      <c r="W245" s="17">
        <f t="shared" si="100"/>
        <v>1.9441841558514146</v>
      </c>
    </row>
    <row r="246" spans="11:15" ht="12">
      <c r="K246" t="s">
        <v>33</v>
      </c>
      <c r="L246" t="s">
        <v>133</v>
      </c>
      <c r="M246">
        <v>2</v>
      </c>
      <c r="N246" s="7">
        <f t="shared" si="103"/>
        <v>9759183899.17518</v>
      </c>
      <c r="O246" s="7">
        <f t="shared" si="102"/>
        <v>975918389917518</v>
      </c>
    </row>
    <row r="247" spans="11:24" ht="12">
      <c r="K247" t="s">
        <v>33</v>
      </c>
      <c r="L247" t="s">
        <v>134</v>
      </c>
      <c r="M247">
        <v>1</v>
      </c>
      <c r="N247" s="7">
        <f t="shared" si="103"/>
        <v>9759183899.17518</v>
      </c>
      <c r="O247" s="7">
        <f t="shared" si="102"/>
        <v>487959194958759</v>
      </c>
      <c r="S247" t="s">
        <v>141</v>
      </c>
      <c r="T247" s="7">
        <f>SUM(T234:T245)</f>
        <v>7971760393926489</v>
      </c>
      <c r="U247" s="7">
        <f>SUM(U234:U245)</f>
        <v>499440.9003973557</v>
      </c>
      <c r="V247" s="15">
        <f>SUM(V234:V245)</f>
        <v>1000000</v>
      </c>
      <c r="W247" s="17">
        <f>SUM(W234:W245)</f>
        <v>33.56481481481482</v>
      </c>
      <c r="X247" t="s">
        <v>165</v>
      </c>
    </row>
    <row r="248" spans="11:15" ht="12">
      <c r="K248" t="s">
        <v>132</v>
      </c>
      <c r="L248" t="s">
        <v>133</v>
      </c>
      <c r="M248">
        <v>2</v>
      </c>
      <c r="N248" s="7">
        <f t="shared" si="103"/>
        <v>9759183899.17518</v>
      </c>
      <c r="O248" s="7">
        <f t="shared" si="102"/>
        <v>975918389917518</v>
      </c>
    </row>
    <row r="249" spans="11:21" ht="12">
      <c r="K249" t="s">
        <v>132</v>
      </c>
      <c r="L249" t="s">
        <v>134</v>
      </c>
      <c r="M249">
        <v>1</v>
      </c>
      <c r="N249" s="7">
        <f t="shared" si="103"/>
        <v>9759183899.17518</v>
      </c>
      <c r="O249" s="7">
        <f t="shared" si="102"/>
        <v>487959194958759</v>
      </c>
      <c r="U249" t="s">
        <v>158</v>
      </c>
    </row>
    <row r="250" spans="14:15" ht="12">
      <c r="N250" s="7"/>
      <c r="O250" s="7"/>
    </row>
    <row r="251" spans="11:18" ht="12">
      <c r="K251" t="s">
        <v>141</v>
      </c>
      <c r="M251">
        <f>SUM(M239:M249)</f>
        <v>26.6</v>
      </c>
      <c r="O251" s="7">
        <f>SUM(O239:O249)</f>
        <v>9759225149175180</v>
      </c>
      <c r="P251" t="s">
        <v>142</v>
      </c>
      <c r="R251">
        <f>M251*O$226</f>
        <v>1330000</v>
      </c>
    </row>
    <row r="253" spans="16:18" ht="12">
      <c r="P253" t="s">
        <v>143</v>
      </c>
      <c r="R253">
        <v>3</v>
      </c>
    </row>
    <row r="255" spans="16:19" ht="12">
      <c r="P255" t="s">
        <v>144</v>
      </c>
      <c r="R255">
        <f>(R$251/R253)/(60*24)</f>
        <v>307.8703703703704</v>
      </c>
      <c r="S255" t="s">
        <v>145</v>
      </c>
    </row>
    <row r="258" spans="16:18" ht="12">
      <c r="P258" t="s">
        <v>152</v>
      </c>
      <c r="R258">
        <f>R251*G34</f>
        <v>166250000000</v>
      </c>
    </row>
  </sheetData>
  <printOptions/>
  <pageMargins left="0.75" right="0.75" top="1" bottom="1" header="0.5" footer="0.5"/>
  <pageSetup fitToHeight="4" orientation="landscape" scale="56" r:id="rId2"/>
  <rowBreaks count="4" manualBreakCount="4">
    <brk id="51" max="255" man="1"/>
    <brk id="103" max="255" man="1"/>
    <brk id="154" max="255" man="1"/>
    <brk id="19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C9" sqref="C9:I12"/>
    </sheetView>
  </sheetViews>
  <sheetFormatPr defaultColWidth="9.00390625" defaultRowHeight="12"/>
  <cols>
    <col min="1" max="16384" width="11.375" style="0" customWidth="1"/>
  </cols>
  <sheetData>
    <row r="2" ht="12">
      <c r="B2" t="s">
        <v>31</v>
      </c>
    </row>
    <row r="5" spans="2:3" ht="12">
      <c r="B5">
        <v>400</v>
      </c>
      <c r="C5" t="s">
        <v>1</v>
      </c>
    </row>
    <row r="6" spans="2:3" ht="12">
      <c r="B6" s="16"/>
      <c r="C6" t="s">
        <v>29</v>
      </c>
    </row>
    <row r="7" ht="12">
      <c r="B7" s="1">
        <v>0.43</v>
      </c>
    </row>
    <row r="8" spans="2:3" ht="12">
      <c r="B8" s="1">
        <f>B7/0.43</f>
        <v>1</v>
      </c>
      <c r="C8" t="s">
        <v>14</v>
      </c>
    </row>
    <row r="9" spans="3:9" ht="12">
      <c r="C9" t="s">
        <v>11</v>
      </c>
      <c r="D9" s="1">
        <v>4.122</v>
      </c>
      <c r="E9" s="1">
        <v>3.598</v>
      </c>
      <c r="F9" s="1">
        <v>6.107</v>
      </c>
      <c r="G9" s="1">
        <v>2.924</v>
      </c>
      <c r="H9" s="1">
        <v>7.99</v>
      </c>
      <c r="I9" s="1">
        <v>1.708</v>
      </c>
    </row>
    <row r="10" spans="3:9" ht="12">
      <c r="C10" t="s">
        <v>12</v>
      </c>
      <c r="D10" s="1">
        <v>70.6</v>
      </c>
      <c r="E10" s="1">
        <v>177.2</v>
      </c>
      <c r="F10" s="1">
        <v>12.33</v>
      </c>
      <c r="G10" s="1">
        <v>14.15</v>
      </c>
      <c r="H10" s="1">
        <v>5.81</v>
      </c>
      <c r="I10" s="1">
        <v>3.51</v>
      </c>
    </row>
    <row r="11" spans="3:9" ht="12">
      <c r="C11" t="s">
        <v>13</v>
      </c>
      <c r="D11" s="1">
        <v>11.29</v>
      </c>
      <c r="E11" s="1">
        <v>27</v>
      </c>
      <c r="F11" s="1">
        <v>17.78</v>
      </c>
      <c r="G11" s="1">
        <v>19.89</v>
      </c>
      <c r="H11" s="1">
        <v>14.25</v>
      </c>
      <c r="I11" s="1">
        <v>-4.314</v>
      </c>
    </row>
    <row r="12" spans="3:9" ht="12">
      <c r="C12" t="s">
        <v>28</v>
      </c>
      <c r="D12">
        <v>0.8932</v>
      </c>
      <c r="E12">
        <v>0.7077</v>
      </c>
      <c r="F12">
        <v>1.098</v>
      </c>
      <c r="G12">
        <v>1.164</v>
      </c>
      <c r="H12">
        <v>1.116</v>
      </c>
      <c r="I12">
        <v>1.043</v>
      </c>
    </row>
    <row r="15" ht="12">
      <c r="C15" t="s">
        <v>10</v>
      </c>
    </row>
    <row r="16" spans="1:9" ht="12">
      <c r="A16" s="2" t="s">
        <v>2</v>
      </c>
      <c r="B16" s="2" t="s">
        <v>30</v>
      </c>
      <c r="C16" s="3" t="s">
        <v>3</v>
      </c>
      <c r="D16" s="2" t="s">
        <v>4</v>
      </c>
      <c r="E16" s="2" t="s">
        <v>5</v>
      </c>
      <c r="F16" s="2" t="s">
        <v>6</v>
      </c>
      <c r="G16" s="2" t="s">
        <v>7</v>
      </c>
      <c r="H16" s="2" t="s">
        <v>8</v>
      </c>
      <c r="I16" s="2" t="s">
        <v>9</v>
      </c>
    </row>
    <row r="17" spans="1:9" ht="12">
      <c r="A17">
        <v>60</v>
      </c>
      <c r="B17" s="17">
        <v>0</v>
      </c>
      <c r="C17" s="4">
        <f aca="true" t="shared" si="0" ref="C17:C25">A17/$B$5</f>
        <v>0.15</v>
      </c>
      <c r="D17" s="5">
        <f aca="true" t="shared" si="1" ref="D17:I17">D$10*$C17*$A17*((1-$C17)^D$9)*(1+5/EXP(D$11*$C17))/((1+($B17^2)/D$12)^4)/100</f>
        <v>6.2412512905002675</v>
      </c>
      <c r="E17" s="5">
        <f t="shared" si="1"/>
        <v>9.661170814935309</v>
      </c>
      <c r="F17" s="5">
        <f t="shared" si="1"/>
        <v>0.554155628774113</v>
      </c>
      <c r="G17" s="5">
        <f t="shared" si="1"/>
        <v>0.9921962795525523</v>
      </c>
      <c r="H17" s="5">
        <f t="shared" si="1"/>
        <v>0.22688396408810882</v>
      </c>
      <c r="I17" s="5">
        <f t="shared" si="1"/>
        <v>2.5249241493426426</v>
      </c>
    </row>
    <row r="18" spans="1:9" ht="12">
      <c r="A18">
        <v>60</v>
      </c>
      <c r="B18" s="17">
        <v>0.5</v>
      </c>
      <c r="C18" s="4">
        <f t="shared" si="0"/>
        <v>0.15</v>
      </c>
      <c r="D18" s="5">
        <f aca="true" t="shared" si="2" ref="D18:I25">D$10*$C18*$A18*((1-$C18)^D$9)*(1+5/EXP(D$11*$C18))/((1+($B18^2)/D$12)^4)/100</f>
        <v>2.3258283682504124</v>
      </c>
      <c r="E18" s="5">
        <f t="shared" si="2"/>
        <v>2.88077005169996</v>
      </c>
      <c r="F18" s="5">
        <f t="shared" si="2"/>
        <v>0.2439391692968557</v>
      </c>
      <c r="G18" s="5">
        <f t="shared" si="2"/>
        <v>0.45562954476421047</v>
      </c>
      <c r="H18" s="5">
        <f t="shared" si="2"/>
        <v>0.10107826589577748</v>
      </c>
      <c r="I18" s="5">
        <f t="shared" si="2"/>
        <v>1.0690338827961638</v>
      </c>
    </row>
    <row r="19" spans="1:9" ht="12">
      <c r="A19">
        <v>120</v>
      </c>
      <c r="B19" s="17">
        <v>0</v>
      </c>
      <c r="C19" s="4">
        <f t="shared" si="0"/>
        <v>0.3</v>
      </c>
      <c r="D19" s="5">
        <f t="shared" si="2"/>
        <v>6.830214220852736</v>
      </c>
      <c r="E19" s="5">
        <f t="shared" si="2"/>
        <v>17.704660101571896</v>
      </c>
      <c r="F19" s="5">
        <f t="shared" si="2"/>
        <v>0.5147919040255531</v>
      </c>
      <c r="G19" s="5">
        <f t="shared" si="2"/>
        <v>1.8182492181219223</v>
      </c>
      <c r="H19" s="5">
        <f t="shared" si="2"/>
        <v>0.129424717097481</v>
      </c>
      <c r="I19" s="5">
        <f t="shared" si="2"/>
        <v>13.220587464749679</v>
      </c>
    </row>
    <row r="20" spans="1:9" ht="12">
      <c r="A20">
        <v>120</v>
      </c>
      <c r="B20" s="17">
        <v>0.3</v>
      </c>
      <c r="C20" s="4">
        <f t="shared" si="0"/>
        <v>0.3</v>
      </c>
      <c r="D20" s="5">
        <f t="shared" si="2"/>
        <v>4.652235629693135</v>
      </c>
      <c r="E20" s="5">
        <f t="shared" si="2"/>
        <v>10.967963782630285</v>
      </c>
      <c r="F20" s="5">
        <f t="shared" si="2"/>
        <v>0.3756430050581503</v>
      </c>
      <c r="G20" s="5">
        <f t="shared" si="2"/>
        <v>1.3498179053541168</v>
      </c>
      <c r="H20" s="5">
        <f t="shared" si="2"/>
        <v>0.09490405553801817</v>
      </c>
      <c r="I20" s="5">
        <f t="shared" si="2"/>
        <v>9.494417999391757</v>
      </c>
    </row>
    <row r="21" spans="1:9" ht="12">
      <c r="A21">
        <v>120</v>
      </c>
      <c r="B21" s="17">
        <v>0.5</v>
      </c>
      <c r="C21" s="4">
        <f t="shared" si="0"/>
        <v>0.3</v>
      </c>
      <c r="D21" s="5">
        <f t="shared" si="2"/>
        <v>2.5453078648293532</v>
      </c>
      <c r="E21" s="5">
        <f t="shared" si="2"/>
        <v>5.279179467284576</v>
      </c>
      <c r="F21" s="5">
        <f t="shared" si="2"/>
        <v>0.22661126749996188</v>
      </c>
      <c r="G21" s="5">
        <f t="shared" si="2"/>
        <v>0.8349638882886921</v>
      </c>
      <c r="H21" s="5">
        <f t="shared" si="2"/>
        <v>0.05765954425577934</v>
      </c>
      <c r="I21" s="5">
        <f t="shared" si="2"/>
        <v>5.5974972372802565</v>
      </c>
    </row>
    <row r="22" spans="1:9" ht="12">
      <c r="A22">
        <v>200</v>
      </c>
      <c r="B22" s="17">
        <v>0</v>
      </c>
      <c r="C22" s="4">
        <f t="shared" si="0"/>
        <v>0.5</v>
      </c>
      <c r="D22" s="5">
        <f t="shared" si="2"/>
        <v>4.126372984227067</v>
      </c>
      <c r="E22" s="5">
        <f t="shared" si="2"/>
        <v>14.633923154527263</v>
      </c>
      <c r="F22" s="5">
        <f t="shared" si="2"/>
        <v>0.17900779021645014</v>
      </c>
      <c r="G22" s="5">
        <f t="shared" si="2"/>
        <v>1.8648713579099903</v>
      </c>
      <c r="H22" s="5">
        <f t="shared" si="2"/>
        <v>0.02294512438712105</v>
      </c>
      <c r="I22" s="5">
        <f t="shared" si="2"/>
        <v>47.51423484385554</v>
      </c>
    </row>
    <row r="23" spans="1:9" ht="12">
      <c r="A23">
        <v>200</v>
      </c>
      <c r="B23" s="17">
        <v>0.5</v>
      </c>
      <c r="C23" s="4">
        <f t="shared" si="0"/>
        <v>0.5</v>
      </c>
      <c r="D23" s="5">
        <f t="shared" si="2"/>
        <v>1.5377101318296957</v>
      </c>
      <c r="E23" s="5">
        <f t="shared" si="2"/>
        <v>4.363546444833562</v>
      </c>
      <c r="F23" s="5">
        <f t="shared" si="2"/>
        <v>0.07879918451729086</v>
      </c>
      <c r="G23" s="5">
        <f t="shared" si="2"/>
        <v>0.8563733863540852</v>
      </c>
      <c r="H23" s="5">
        <f t="shared" si="2"/>
        <v>0.010222200555842031</v>
      </c>
      <c r="I23" s="5">
        <f t="shared" si="2"/>
        <v>20.11716945098721</v>
      </c>
    </row>
    <row r="24" spans="1:9" ht="12">
      <c r="A24">
        <v>300</v>
      </c>
      <c r="B24" s="17">
        <v>0</v>
      </c>
      <c r="C24" s="4">
        <f t="shared" si="0"/>
        <v>0.75</v>
      </c>
      <c r="D24" s="5">
        <f t="shared" si="2"/>
        <v>0.5245079997728255</v>
      </c>
      <c r="E24" s="5">
        <f t="shared" si="2"/>
        <v>2.719157667019898</v>
      </c>
      <c r="F24" s="5">
        <f t="shared" si="2"/>
        <v>0.005839406900104278</v>
      </c>
      <c r="G24" s="5">
        <f t="shared" si="2"/>
        <v>0.5527341079373188</v>
      </c>
      <c r="H24" s="5">
        <f t="shared" si="2"/>
        <v>0.0002022781106251377</v>
      </c>
      <c r="I24" s="5">
        <f t="shared" si="2"/>
        <v>94.77737411983813</v>
      </c>
    </row>
    <row r="25" spans="1:9" ht="12">
      <c r="A25">
        <v>300</v>
      </c>
      <c r="B25" s="17">
        <v>0.5</v>
      </c>
      <c r="C25" s="4">
        <f t="shared" si="0"/>
        <v>0.75</v>
      </c>
      <c r="D25" s="5">
        <f t="shared" si="2"/>
        <v>0.19546009741712164</v>
      </c>
      <c r="E25" s="5">
        <f t="shared" si="2"/>
        <v>0.8107990349256343</v>
      </c>
      <c r="F25" s="5">
        <f t="shared" si="2"/>
        <v>0.002570505458094713</v>
      </c>
      <c r="G25" s="5">
        <f t="shared" si="2"/>
        <v>0.2538227517731723</v>
      </c>
      <c r="H25" s="5">
        <f t="shared" si="2"/>
        <v>9.011619985061231E-05</v>
      </c>
      <c r="I25" s="5">
        <f t="shared" si="2"/>
        <v>40.128026928228195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4"/>
  <sheetViews>
    <sheetView workbookViewId="0" topLeftCell="A34">
      <selection activeCell="F19" sqref="F19"/>
    </sheetView>
  </sheetViews>
  <sheetFormatPr defaultColWidth="9.00390625" defaultRowHeight="12"/>
  <cols>
    <col min="1" max="16384" width="11.375" style="0" customWidth="1"/>
  </cols>
  <sheetData>
    <row r="1" ht="12">
      <c r="A1" t="s">
        <v>72</v>
      </c>
    </row>
    <row r="3" spans="2:3" ht="12">
      <c r="B3">
        <v>120</v>
      </c>
      <c r="C3" t="s">
        <v>71</v>
      </c>
    </row>
    <row r="4" spans="2:4" ht="12">
      <c r="B4" t="s">
        <v>11</v>
      </c>
      <c r="C4" t="s">
        <v>35</v>
      </c>
      <c r="D4" t="s">
        <v>34</v>
      </c>
    </row>
    <row r="5" spans="1:9" ht="12">
      <c r="A5" t="s">
        <v>32</v>
      </c>
      <c r="B5">
        <v>9.01</v>
      </c>
      <c r="C5">
        <v>1.848</v>
      </c>
      <c r="D5">
        <v>585</v>
      </c>
      <c r="E5">
        <v>585</v>
      </c>
      <c r="F5">
        <v>657</v>
      </c>
      <c r="G5">
        <v>657</v>
      </c>
      <c r="H5">
        <v>435</v>
      </c>
      <c r="I5">
        <v>492</v>
      </c>
    </row>
    <row r="6" spans="1:9" ht="12">
      <c r="A6" t="s">
        <v>69</v>
      </c>
      <c r="B6">
        <v>12.01</v>
      </c>
      <c r="C6" s="18">
        <v>1.85</v>
      </c>
      <c r="D6" s="15">
        <f aca="true" t="shared" si="0" ref="D6:I6">D5*($C5/$C6)*($B6/$B5)^0.3</f>
        <v>636.9884673024933</v>
      </c>
      <c r="E6" s="15">
        <f t="shared" si="0"/>
        <v>636.9884673024933</v>
      </c>
      <c r="F6" s="15">
        <f t="shared" si="0"/>
        <v>715.3870478935694</v>
      </c>
      <c r="G6" s="15">
        <f t="shared" si="0"/>
        <v>715.3870478935694</v>
      </c>
      <c r="H6" s="15">
        <f t="shared" si="0"/>
        <v>473.6580910710848</v>
      </c>
      <c r="I6" s="15">
        <f t="shared" si="0"/>
        <v>535.7236340390201</v>
      </c>
    </row>
    <row r="7" spans="1:2" ht="12">
      <c r="A7">
        <v>600</v>
      </c>
      <c r="B7" t="s">
        <v>36</v>
      </c>
    </row>
    <row r="8" spans="1:9" ht="12">
      <c r="A8">
        <f>1-EXP(-A7/H6)</f>
        <v>0.7182503915798331</v>
      </c>
      <c r="C8" t="s">
        <v>76</v>
      </c>
      <c r="D8" s="5">
        <f>(EXP(-$A$7/D$6)-EXP(-$A$7/$H$6))/(1-$H$6/D$6)</f>
        <v>0.42168419652811</v>
      </c>
      <c r="E8" s="5">
        <f>(EXP(-$A$7/E$6)-EXP(-$A$7/$H$6))/(1-$H$6/E$6)</f>
        <v>0.42168419652811</v>
      </c>
      <c r="F8" s="5">
        <f>(EXP(-$A$7/F$6)-EXP(-$A$7/$H$6))/(1-$H$6/F$6)</f>
        <v>0.44545651538857006</v>
      </c>
      <c r="G8" s="5">
        <f>(EXP(-$A$7/G$6)-EXP(-$A$7/$H$6))/(1-$H$6/G$6)</f>
        <v>0.44545651538857006</v>
      </c>
      <c r="H8" s="5">
        <f>$A$7/H$6*EXP(-$A$7/$H$6)</f>
        <v>0.3569025173196711</v>
      </c>
      <c r="I8" s="5">
        <f>(EXP(-$A$7/I$6)-EXP(-$A$7/$H$6))/(1-$H$6/I$6)</f>
        <v>0.3844208599376597</v>
      </c>
    </row>
    <row r="9" spans="3:9" ht="12">
      <c r="C9" t="s">
        <v>38</v>
      </c>
      <c r="D9" s="5">
        <f>(EXP(-500/D$5)-EXP(-500/$H$5))/(1-$H$5/D$5)</f>
        <v>0.42350737550488604</v>
      </c>
      <c r="E9" s="5">
        <f>(EXP(-500/E$5)-EXP(-500/$H$5))/(1-$H$5/E$5)</f>
        <v>0.42350737550488604</v>
      </c>
      <c r="F9" s="5">
        <f>(EXP(-500/F$5)-EXP(-500/$H$5))/(1-$H$5/F$5)</f>
        <v>0.4449956953622409</v>
      </c>
      <c r="G9" s="5">
        <f>(EXP(-500/G$5)-EXP(-500/$H$5))/(1-$H$5/G$5)</f>
        <v>0.4449956953622409</v>
      </c>
      <c r="H9" s="5">
        <f>500/H$5*EXP(-500/$H$5)</f>
        <v>0.36415953659264244</v>
      </c>
      <c r="I9" s="5">
        <f>(EXP(-500/I$5)-EXP(-500/$H$5))/(1-$H$5/I$5)</f>
        <v>0.38951928844178035</v>
      </c>
    </row>
    <row r="10" spans="3:9" ht="12">
      <c r="C10" s="2" t="s">
        <v>77</v>
      </c>
      <c r="D10" s="19">
        <f aca="true" t="shared" si="1" ref="D10:I10">D8/D9</f>
        <v>0.9956950478734815</v>
      </c>
      <c r="E10" s="19">
        <f t="shared" si="1"/>
        <v>0.9956950478734815</v>
      </c>
      <c r="F10" s="19">
        <f t="shared" si="1"/>
        <v>1.001035560638298</v>
      </c>
      <c r="G10" s="19">
        <f t="shared" si="1"/>
        <v>1.001035560638298</v>
      </c>
      <c r="H10" s="19">
        <f t="shared" si="1"/>
        <v>0.9800718681134274</v>
      </c>
      <c r="I10" s="19">
        <f t="shared" si="1"/>
        <v>0.986910972946895</v>
      </c>
    </row>
    <row r="11" spans="3:9" ht="12">
      <c r="C11" t="s">
        <v>11</v>
      </c>
      <c r="D11" s="1">
        <v>4.122</v>
      </c>
      <c r="E11" s="1">
        <v>3.598</v>
      </c>
      <c r="F11" s="1">
        <v>6.107</v>
      </c>
      <c r="G11" s="1">
        <v>2.924</v>
      </c>
      <c r="H11" s="1">
        <v>7.99</v>
      </c>
      <c r="I11" s="1">
        <v>1.708</v>
      </c>
    </row>
    <row r="12" spans="3:9" ht="12">
      <c r="C12" t="s">
        <v>12</v>
      </c>
      <c r="D12" s="1">
        <v>70.6</v>
      </c>
      <c r="E12" s="1">
        <v>177.2</v>
      </c>
      <c r="F12" s="1">
        <v>12.33</v>
      </c>
      <c r="G12" s="1">
        <v>14.15</v>
      </c>
      <c r="H12" s="1">
        <v>5.81</v>
      </c>
      <c r="I12" s="1">
        <v>3.51</v>
      </c>
    </row>
    <row r="13" spans="3:9" ht="12">
      <c r="C13" t="s">
        <v>13</v>
      </c>
      <c r="D13" s="1">
        <v>11.29</v>
      </c>
      <c r="E13" s="1">
        <v>27</v>
      </c>
      <c r="F13" s="1">
        <v>17.78</v>
      </c>
      <c r="G13" s="1">
        <v>19.89</v>
      </c>
      <c r="H13" s="1">
        <v>14.25</v>
      </c>
      <c r="I13" s="1">
        <v>-4.314</v>
      </c>
    </row>
    <row r="14" spans="3:9" ht="12">
      <c r="C14" t="s">
        <v>28</v>
      </c>
      <c r="D14">
        <v>0.8932</v>
      </c>
      <c r="E14">
        <v>0.7077</v>
      </c>
      <c r="F14">
        <v>1.098</v>
      </c>
      <c r="G14">
        <v>1.164</v>
      </c>
      <c r="H14">
        <v>1.116</v>
      </c>
      <c r="I14">
        <v>1.043</v>
      </c>
    </row>
    <row r="15" spans="2:4" ht="12">
      <c r="B15" s="37" t="s">
        <v>74</v>
      </c>
      <c r="C15">
        <v>2</v>
      </c>
      <c r="D15" t="s">
        <v>71</v>
      </c>
    </row>
    <row r="16" spans="2:4" ht="12">
      <c r="B16" s="37" t="s">
        <v>75</v>
      </c>
      <c r="C16">
        <v>0.05</v>
      </c>
      <c r="D16" t="s">
        <v>71</v>
      </c>
    </row>
    <row r="18" spans="3:4" ht="12">
      <c r="C18" s="7">
        <v>60</v>
      </c>
      <c r="D18" t="s">
        <v>78</v>
      </c>
    </row>
    <row r="19" spans="3:4" ht="12">
      <c r="C19" s="7">
        <f>C18/A8</f>
        <v>83.53632758629836</v>
      </c>
      <c r="D19" t="s">
        <v>79</v>
      </c>
    </row>
    <row r="21" spans="2:26" ht="12">
      <c r="B21" t="s">
        <v>88</v>
      </c>
      <c r="C21">
        <f>0.43*C22</f>
        <v>0.43</v>
      </c>
      <c r="D21">
        <f aca="true" t="shared" si="2" ref="D21:Z21">0.43*D22</f>
        <v>1.29</v>
      </c>
      <c r="E21">
        <f t="shared" si="2"/>
        <v>2.15</v>
      </c>
      <c r="F21">
        <f t="shared" si="2"/>
        <v>3.01</v>
      </c>
      <c r="G21">
        <f t="shared" si="2"/>
        <v>3.87</v>
      </c>
      <c r="H21">
        <f t="shared" si="2"/>
        <v>4.7299999999999995</v>
      </c>
      <c r="I21">
        <f t="shared" si="2"/>
        <v>5.59</v>
      </c>
      <c r="J21">
        <f t="shared" si="2"/>
        <v>6.45</v>
      </c>
      <c r="K21">
        <f t="shared" si="2"/>
        <v>7.31</v>
      </c>
      <c r="L21">
        <f t="shared" si="2"/>
        <v>8.17</v>
      </c>
      <c r="M21">
        <f t="shared" si="2"/>
        <v>9.03</v>
      </c>
      <c r="N21">
        <f t="shared" si="2"/>
        <v>9.89</v>
      </c>
      <c r="O21">
        <f t="shared" si="2"/>
        <v>10.75</v>
      </c>
      <c r="P21">
        <f t="shared" si="2"/>
        <v>11.61</v>
      </c>
      <c r="Q21">
        <f t="shared" si="2"/>
        <v>12.47</v>
      </c>
      <c r="R21">
        <f t="shared" si="2"/>
        <v>13.33</v>
      </c>
      <c r="S21">
        <f t="shared" si="2"/>
        <v>14.19</v>
      </c>
      <c r="T21">
        <f t="shared" si="2"/>
        <v>15.049999999999999</v>
      </c>
      <c r="U21">
        <f t="shared" si="2"/>
        <v>15.91</v>
      </c>
      <c r="V21">
        <f t="shared" si="2"/>
        <v>16.77</v>
      </c>
      <c r="W21">
        <f t="shared" si="2"/>
        <v>17.63</v>
      </c>
      <c r="X21">
        <f t="shared" si="2"/>
        <v>18.49</v>
      </c>
      <c r="Y21">
        <f t="shared" si="2"/>
        <v>19.35</v>
      </c>
      <c r="Z21">
        <f t="shared" si="2"/>
        <v>20.21</v>
      </c>
    </row>
    <row r="22" spans="2:26" ht="12">
      <c r="B22" s="39" t="s">
        <v>87</v>
      </c>
      <c r="C22" s="2">
        <f>0.5*C15</f>
        <v>1</v>
      </c>
      <c r="D22" s="2">
        <f>C22+$C$15</f>
        <v>3</v>
      </c>
      <c r="E22" s="2">
        <f aca="true" t="shared" si="3" ref="E22:Y22">D22+$C$15</f>
        <v>5</v>
      </c>
      <c r="F22" s="2">
        <f t="shared" si="3"/>
        <v>7</v>
      </c>
      <c r="G22" s="2">
        <f t="shared" si="3"/>
        <v>9</v>
      </c>
      <c r="H22" s="2">
        <f t="shared" si="3"/>
        <v>11</v>
      </c>
      <c r="I22" s="2">
        <f t="shared" si="3"/>
        <v>13</v>
      </c>
      <c r="J22" s="2">
        <f t="shared" si="3"/>
        <v>15</v>
      </c>
      <c r="K22" s="2">
        <f t="shared" si="3"/>
        <v>17</v>
      </c>
      <c r="L22" s="2">
        <f>K22+$C$15</f>
        <v>19</v>
      </c>
      <c r="M22" s="2">
        <f t="shared" si="3"/>
        <v>21</v>
      </c>
      <c r="N22" s="2">
        <f t="shared" si="3"/>
        <v>23</v>
      </c>
      <c r="O22" s="2">
        <f t="shared" si="3"/>
        <v>25</v>
      </c>
      <c r="P22" s="2">
        <f t="shared" si="3"/>
        <v>27</v>
      </c>
      <c r="Q22" s="2">
        <f t="shared" si="3"/>
        <v>29</v>
      </c>
      <c r="R22" s="2">
        <f t="shared" si="3"/>
        <v>31</v>
      </c>
      <c r="S22" s="2">
        <f t="shared" si="3"/>
        <v>33</v>
      </c>
      <c r="T22" s="2">
        <f t="shared" si="3"/>
        <v>35</v>
      </c>
      <c r="U22" s="2">
        <f t="shared" si="3"/>
        <v>37</v>
      </c>
      <c r="V22" s="2">
        <f t="shared" si="3"/>
        <v>39</v>
      </c>
      <c r="W22" s="2">
        <f t="shared" si="3"/>
        <v>41</v>
      </c>
      <c r="X22" s="2">
        <f t="shared" si="3"/>
        <v>43</v>
      </c>
      <c r="Y22" s="2">
        <f t="shared" si="3"/>
        <v>45</v>
      </c>
      <c r="Z22" s="2">
        <f>Y22+$C$15</f>
        <v>47</v>
      </c>
    </row>
    <row r="23" spans="2:26" ht="12">
      <c r="B23" s="3" t="s">
        <v>73</v>
      </c>
      <c r="C23" s="38">
        <f>C22/$B$3</f>
        <v>0.008333333333333333</v>
      </c>
      <c r="D23" s="38">
        <f aca="true" t="shared" si="4" ref="D23:Z23">D22/$B$3</f>
        <v>0.025</v>
      </c>
      <c r="E23" s="38">
        <f t="shared" si="4"/>
        <v>0.041666666666666664</v>
      </c>
      <c r="F23" s="38">
        <f t="shared" si="4"/>
        <v>0.058333333333333334</v>
      </c>
      <c r="G23" s="38">
        <f t="shared" si="4"/>
        <v>0.075</v>
      </c>
      <c r="H23" s="38">
        <f t="shared" si="4"/>
        <v>0.09166666666666666</v>
      </c>
      <c r="I23" s="38">
        <f t="shared" si="4"/>
        <v>0.10833333333333334</v>
      </c>
      <c r="J23" s="38">
        <f t="shared" si="4"/>
        <v>0.125</v>
      </c>
      <c r="K23" s="38">
        <f t="shared" si="4"/>
        <v>0.14166666666666666</v>
      </c>
      <c r="L23" s="38">
        <f t="shared" si="4"/>
        <v>0.15833333333333333</v>
      </c>
      <c r="M23" s="38">
        <f t="shared" si="4"/>
        <v>0.175</v>
      </c>
      <c r="N23" s="38">
        <f t="shared" si="4"/>
        <v>0.19166666666666668</v>
      </c>
      <c r="O23" s="38">
        <f t="shared" si="4"/>
        <v>0.20833333333333334</v>
      </c>
      <c r="P23" s="38">
        <f t="shared" si="4"/>
        <v>0.225</v>
      </c>
      <c r="Q23" s="38">
        <f t="shared" si="4"/>
        <v>0.24166666666666667</v>
      </c>
      <c r="R23" s="38">
        <f t="shared" si="4"/>
        <v>0.25833333333333336</v>
      </c>
      <c r="S23" s="38">
        <f t="shared" si="4"/>
        <v>0.275</v>
      </c>
      <c r="T23" s="38">
        <f t="shared" si="4"/>
        <v>0.2916666666666667</v>
      </c>
      <c r="U23" s="38">
        <f t="shared" si="4"/>
        <v>0.30833333333333335</v>
      </c>
      <c r="V23" s="38">
        <f t="shared" si="4"/>
        <v>0.325</v>
      </c>
      <c r="W23" s="38">
        <f t="shared" si="4"/>
        <v>0.3416666666666667</v>
      </c>
      <c r="X23" s="38">
        <f t="shared" si="4"/>
        <v>0.35833333333333334</v>
      </c>
      <c r="Y23" s="38">
        <f t="shared" si="4"/>
        <v>0.375</v>
      </c>
      <c r="Z23" s="38">
        <f t="shared" si="4"/>
        <v>0.39166666666666666</v>
      </c>
    </row>
    <row r="24" spans="2:26" ht="12">
      <c r="B24" s="10">
        <f>0.5*$C$16</f>
        <v>0.025</v>
      </c>
      <c r="C24" s="7">
        <f aca="true" t="shared" si="5" ref="C24:C39">$C$18*($D$12/400)*C$23*((1-C$23)^$D$11)*(1+5/EXP($D$14*C$23))/((1+$B24^2/$D$14)^2)</f>
        <v>0.5076749307838039</v>
      </c>
      <c r="D24" s="7">
        <f aca="true" t="shared" si="6" ref="D24:Y35">$C$18*($D$12/400)*D$23*((1-D$23)^$D$11)*(1+5/EXP($D$14*D$23))/((1+$B24^2/$D$14)^2)</f>
        <v>1.4027823577392282</v>
      </c>
      <c r="E24" s="7">
        <f t="shared" si="6"/>
        <v>2.150863069359267</v>
      </c>
      <c r="F24" s="7">
        <f t="shared" si="6"/>
        <v>2.7668568286108877</v>
      </c>
      <c r="G24" s="7">
        <f t="shared" si="6"/>
        <v>3.2646002403174528</v>
      </c>
      <c r="H24" s="7">
        <f t="shared" si="6"/>
        <v>3.6568886476155034</v>
      </c>
      <c r="I24" s="7">
        <f t="shared" si="6"/>
        <v>3.9555352655835305</v>
      </c>
      <c r="J24" s="7">
        <f t="shared" si="6"/>
        <v>4.171427657208877</v>
      </c>
      <c r="K24" s="7">
        <f t="shared" si="6"/>
        <v>4.314581653357155</v>
      </c>
      <c r="L24" s="7">
        <f t="shared" si="6"/>
        <v>4.3941928150105785</v>
      </c>
      <c r="M24" s="7">
        <f t="shared" si="6"/>
        <v>4.418685532744741</v>
      </c>
      <c r="N24" s="7">
        <f t="shared" si="6"/>
        <v>4.395759855214614</v>
      </c>
      <c r="O24" s="7">
        <f t="shared" si="6"/>
        <v>4.332436135317246</v>
      </c>
      <c r="P24" s="7">
        <f t="shared" si="6"/>
        <v>4.235097579688076</v>
      </c>
      <c r="Q24" s="7">
        <f t="shared" si="6"/>
        <v>4.109530784267153</v>
      </c>
      <c r="R24" s="7">
        <f t="shared" si="6"/>
        <v>3.960964335838617</v>
      </c>
      <c r="S24" s="7">
        <f t="shared" si="6"/>
        <v>3.7941055566985877</v>
      </c>
      <c r="T24" s="7">
        <f t="shared" si="6"/>
        <v>3.613175466941175</v>
      </c>
      <c r="U24" s="7">
        <f t="shared" si="6"/>
        <v>3.421942036266591</v>
      </c>
      <c r="V24" s="7">
        <f t="shared" si="6"/>
        <v>3.2237517947077214</v>
      </c>
      <c r="W24" s="7">
        <f t="shared" si="6"/>
        <v>3.0215598692389274</v>
      </c>
      <c r="X24" s="7">
        <f t="shared" si="6"/>
        <v>2.817958510871526</v>
      </c>
      <c r="Y24" s="7">
        <f t="shared" si="6"/>
        <v>2.6152041745518395</v>
      </c>
      <c r="Z24" s="7">
        <f aca="true" t="shared" si="7" ref="Z24:Z34">$C$18*($D$12/400)*Z$23*((1-Z$23)^$D$11)*(1+5/EXP($D$14*Z$23))/((1+$B24^2/$D$14)^2)</f>
        <v>2.415243211957783</v>
      </c>
    </row>
    <row r="25" spans="2:26" ht="12">
      <c r="B25" s="10">
        <f aca="true" t="shared" si="8" ref="B25:B35">B24+$C$16</f>
        <v>0.07500000000000001</v>
      </c>
      <c r="C25" s="7">
        <f t="shared" si="5"/>
        <v>0.5020424341450717</v>
      </c>
      <c r="D25" s="7">
        <f t="shared" si="6"/>
        <v>1.387218920516436</v>
      </c>
      <c r="E25" s="7">
        <f t="shared" si="6"/>
        <v>2.1269999075721855</v>
      </c>
      <c r="F25" s="7">
        <f t="shared" si="6"/>
        <v>2.736159406221046</v>
      </c>
      <c r="G25" s="7">
        <f t="shared" si="6"/>
        <v>3.228380508427199</v>
      </c>
      <c r="H25" s="7">
        <f t="shared" si="6"/>
        <v>3.616316596944985</v>
      </c>
      <c r="I25" s="7">
        <f t="shared" si="6"/>
        <v>3.9116498228783168</v>
      </c>
      <c r="J25" s="7">
        <f t="shared" si="6"/>
        <v>4.125146955064163</v>
      </c>
      <c r="K25" s="7">
        <f t="shared" si="6"/>
        <v>4.26671270181655</v>
      </c>
      <c r="L25" s="7">
        <f t="shared" si="6"/>
        <v>4.345440602207247</v>
      </c>
      <c r="M25" s="7">
        <f t="shared" si="6"/>
        <v>4.369661580799005</v>
      </c>
      <c r="N25" s="7">
        <f t="shared" si="6"/>
        <v>4.346990256583961</v>
      </c>
      <c r="O25" s="7">
        <f t="shared" si="6"/>
        <v>4.2843690938109384</v>
      </c>
      <c r="P25" s="7">
        <f t="shared" si="6"/>
        <v>4.188110479408242</v>
      </c>
      <c r="Q25" s="7">
        <f t="shared" si="6"/>
        <v>4.0639368088202765</v>
      </c>
      <c r="R25" s="7">
        <f t="shared" si="6"/>
        <v>3.9170186592748664</v>
      </c>
      <c r="S25" s="7">
        <f t="shared" si="6"/>
        <v>3.752011126780399</v>
      </c>
      <c r="T25" s="7">
        <f t="shared" si="6"/>
        <v>3.57308840051606</v>
      </c>
      <c r="U25" s="7">
        <f t="shared" si="6"/>
        <v>3.3839766457214036</v>
      </c>
      <c r="V25" s="7">
        <f t="shared" si="6"/>
        <v>3.187985263711668</v>
      </c>
      <c r="W25" s="7">
        <f t="shared" si="6"/>
        <v>2.988036595239676</v>
      </c>
      <c r="X25" s="7">
        <f t="shared" si="6"/>
        <v>2.786694131091997</v>
      </c>
      <c r="Y25" s="7">
        <f t="shared" si="6"/>
        <v>2.586189291543888</v>
      </c>
      <c r="Z25" s="7">
        <f t="shared" si="7"/>
        <v>2.3884468341022327</v>
      </c>
    </row>
    <row r="26" spans="2:26" ht="12">
      <c r="B26" s="10">
        <f t="shared" si="8"/>
        <v>0.125</v>
      </c>
      <c r="C26" s="7">
        <f t="shared" si="5"/>
        <v>0.49105505169277985</v>
      </c>
      <c r="D26" s="7">
        <f t="shared" si="6"/>
        <v>1.3568591266262544</v>
      </c>
      <c r="E26" s="7">
        <f t="shared" si="6"/>
        <v>2.0804497359710896</v>
      </c>
      <c r="F26" s="7">
        <f t="shared" si="6"/>
        <v>2.6762775559990004</v>
      </c>
      <c r="G26" s="7">
        <f t="shared" si="6"/>
        <v>3.157726219197608</v>
      </c>
      <c r="H26" s="7">
        <f t="shared" si="6"/>
        <v>3.537172184407691</v>
      </c>
      <c r="I26" s="7">
        <f t="shared" si="6"/>
        <v>3.8260419345798065</v>
      </c>
      <c r="J26" s="7">
        <f t="shared" si="6"/>
        <v>4.034866603873571</v>
      </c>
      <c r="K26" s="7">
        <f t="shared" si="6"/>
        <v>4.173334132435773</v>
      </c>
      <c r="L26" s="7">
        <f t="shared" si="6"/>
        <v>4.250339043906756</v>
      </c>
      <c r="M26" s="7">
        <f t="shared" si="6"/>
        <v>4.2740299375155395</v>
      </c>
      <c r="N26" s="7">
        <f t="shared" si="6"/>
        <v>4.251854783530159</v>
      </c>
      <c r="O26" s="7">
        <f t="shared" si="6"/>
        <v>4.190604107827947</v>
      </c>
      <c r="P26" s="7">
        <f t="shared" si="6"/>
        <v>4.096452148438529</v>
      </c>
      <c r="Q26" s="7">
        <f t="shared" si="6"/>
        <v>3.9749960640872293</v>
      </c>
      <c r="R26" s="7">
        <f t="shared" si="6"/>
        <v>3.8312932720264654</v>
      </c>
      <c r="S26" s="7">
        <f t="shared" si="6"/>
        <v>3.6698969897844056</v>
      </c>
      <c r="T26" s="7">
        <f t="shared" si="6"/>
        <v>3.4948900528820173</v>
      </c>
      <c r="U26" s="7">
        <f t="shared" si="6"/>
        <v>3.3099170780685614</v>
      </c>
      <c r="V26" s="7">
        <f t="shared" si="6"/>
        <v>3.118215039200031</v>
      </c>
      <c r="W26" s="7">
        <f t="shared" si="6"/>
        <v>2.9226423205321015</v>
      </c>
      <c r="X26" s="7">
        <f t="shared" si="6"/>
        <v>2.7257063099170704</v>
      </c>
      <c r="Y26" s="7">
        <f t="shared" si="6"/>
        <v>2.52958959218062</v>
      </c>
      <c r="Z26" s="7">
        <f t="shared" si="7"/>
        <v>2.3361748008070085</v>
      </c>
    </row>
    <row r="27" spans="2:26" ht="12">
      <c r="B27" s="10">
        <f t="shared" si="8"/>
        <v>0.175</v>
      </c>
      <c r="C27" s="7">
        <f t="shared" si="5"/>
        <v>0.47523814502112793</v>
      </c>
      <c r="D27" s="7">
        <f t="shared" si="6"/>
        <v>1.3131546293434253</v>
      </c>
      <c r="E27" s="7">
        <f t="shared" si="6"/>
        <v>2.0134383505969202</v>
      </c>
      <c r="F27" s="7">
        <f t="shared" si="6"/>
        <v>2.590074528080338</v>
      </c>
      <c r="G27" s="7">
        <f t="shared" si="6"/>
        <v>3.056015706839567</v>
      </c>
      <c r="H27" s="7">
        <f t="shared" si="6"/>
        <v>3.423239699384928</v>
      </c>
      <c r="I27" s="7">
        <f t="shared" si="6"/>
        <v>3.7028049411053225</v>
      </c>
      <c r="J27" s="7">
        <f t="shared" si="6"/>
        <v>3.904903357826036</v>
      </c>
      <c r="K27" s="7">
        <f t="shared" si="6"/>
        <v>4.038910840678958</v>
      </c>
      <c r="L27" s="7">
        <f t="shared" si="6"/>
        <v>4.113435420273104</v>
      </c>
      <c r="M27" s="7">
        <f t="shared" si="6"/>
        <v>4.136363229067086</v>
      </c>
      <c r="N27" s="7">
        <f t="shared" si="6"/>
        <v>4.114902337850833</v>
      </c>
      <c r="O27" s="7">
        <f t="shared" si="6"/>
        <v>4.055624549338802</v>
      </c>
      <c r="P27" s="7">
        <f t="shared" si="6"/>
        <v>3.96450522905875</v>
      </c>
      <c r="Q27" s="7">
        <f t="shared" si="6"/>
        <v>3.846961250986098</v>
      </c>
      <c r="R27" s="7">
        <f t="shared" si="6"/>
        <v>3.70788713272198</v>
      </c>
      <c r="S27" s="7">
        <f t="shared" si="6"/>
        <v>3.5516894324404844</v>
      </c>
      <c r="T27" s="7">
        <f t="shared" si="6"/>
        <v>3.3823194773354213</v>
      </c>
      <c r="U27" s="7">
        <f t="shared" si="6"/>
        <v>3.203304490876462</v>
      </c>
      <c r="V27" s="7">
        <f t="shared" si="6"/>
        <v>3.0177771838370746</v>
      </c>
      <c r="W27" s="7">
        <f t="shared" si="6"/>
        <v>2.828503871779521</v>
      </c>
      <c r="X27" s="7">
        <f t="shared" si="6"/>
        <v>2.637911179473603</v>
      </c>
      <c r="Y27" s="7">
        <f t="shared" si="6"/>
        <v>2.4481113905835117</v>
      </c>
      <c r="Z27" s="7">
        <f t="shared" si="7"/>
        <v>2.260926498879046</v>
      </c>
    </row>
    <row r="28" spans="2:26" ht="12">
      <c r="B28" s="10">
        <f t="shared" si="8"/>
        <v>0.22499999999999998</v>
      </c>
      <c r="C28" s="7">
        <f t="shared" si="5"/>
        <v>0.45531059874089225</v>
      </c>
      <c r="D28" s="7">
        <f t="shared" si="6"/>
        <v>1.2580918152080331</v>
      </c>
      <c r="E28" s="7">
        <f t="shared" si="6"/>
        <v>1.929011445193235</v>
      </c>
      <c r="F28" s="7">
        <f t="shared" si="6"/>
        <v>2.481468283888206</v>
      </c>
      <c r="G28" s="7">
        <f t="shared" si="6"/>
        <v>2.927871754025204</v>
      </c>
      <c r="H28" s="7">
        <f t="shared" si="6"/>
        <v>3.2796974179992437</v>
      </c>
      <c r="I28" s="7">
        <f t="shared" si="6"/>
        <v>3.5475400121352765</v>
      </c>
      <c r="J28" s="7">
        <f t="shared" si="6"/>
        <v>3.741164097419095</v>
      </c>
      <c r="K28" s="7">
        <f t="shared" si="6"/>
        <v>3.8695524178701213</v>
      </c>
      <c r="L28" s="7">
        <f t="shared" si="6"/>
        <v>3.9409520546867647</v>
      </c>
      <c r="M28" s="7">
        <f t="shared" si="6"/>
        <v>3.9629184613381936</v>
      </c>
      <c r="N28" s="7">
        <f t="shared" si="6"/>
        <v>3.94235746190758</v>
      </c>
      <c r="O28" s="7">
        <f t="shared" si="6"/>
        <v>3.88556529220864</v>
      </c>
      <c r="P28" s="7">
        <f t="shared" si="6"/>
        <v>3.7982667604972833</v>
      </c>
      <c r="Q28" s="7">
        <f t="shared" si="6"/>
        <v>3.685651601980775</v>
      </c>
      <c r="R28" s="7">
        <f t="shared" si="6"/>
        <v>3.552409098786125</v>
      </c>
      <c r="S28" s="7">
        <f t="shared" si="6"/>
        <v>3.402761034584636</v>
      </c>
      <c r="T28" s="7">
        <f t="shared" si="6"/>
        <v>3.24049305067906</v>
      </c>
      <c r="U28" s="7">
        <f t="shared" si="6"/>
        <v>3.0689844680407745</v>
      </c>
      <c r="V28" s="7">
        <f t="shared" si="6"/>
        <v>2.891236637535432</v>
      </c>
      <c r="W28" s="7">
        <f t="shared" si="6"/>
        <v>2.7098998783938333</v>
      </c>
      <c r="X28" s="7">
        <f t="shared" si="6"/>
        <v>2.5272990628688334</v>
      </c>
      <c r="Y28" s="7">
        <f t="shared" si="6"/>
        <v>2.345457902966569</v>
      </c>
      <c r="Z28" s="7">
        <f t="shared" si="7"/>
        <v>2.1661219931493543</v>
      </c>
    </row>
    <row r="29" spans="2:26" ht="12">
      <c r="B29" s="10">
        <f t="shared" si="8"/>
        <v>0.27499999999999997</v>
      </c>
      <c r="C29" s="7">
        <f t="shared" si="5"/>
        <v>0.4321156936716141</v>
      </c>
      <c r="D29" s="7">
        <f t="shared" si="6"/>
        <v>1.1940007962357457</v>
      </c>
      <c r="E29" s="7">
        <f t="shared" si="6"/>
        <v>1.83074174211024</v>
      </c>
      <c r="F29" s="7">
        <f t="shared" si="6"/>
        <v>2.3550547511560893</v>
      </c>
      <c r="G29" s="7">
        <f t="shared" si="6"/>
        <v>2.778717072413493</v>
      </c>
      <c r="H29" s="7">
        <f t="shared" si="6"/>
        <v>3.112619668267922</v>
      </c>
      <c r="I29" s="7">
        <f t="shared" si="6"/>
        <v>3.3668175469906205</v>
      </c>
      <c r="J29" s="7">
        <f t="shared" si="6"/>
        <v>3.5505778331674036</v>
      </c>
      <c r="K29" s="7">
        <f t="shared" si="6"/>
        <v>3.6724256625490352</v>
      </c>
      <c r="L29" s="7">
        <f t="shared" si="6"/>
        <v>3.740187984964207</v>
      </c>
      <c r="M29" s="7">
        <f t="shared" si="6"/>
        <v>3.761035356129965</v>
      </c>
      <c r="N29" s="7">
        <f t="shared" si="6"/>
        <v>3.7415217964717646</v>
      </c>
      <c r="O29" s="7">
        <f t="shared" si="6"/>
        <v>3.687622792423895</v>
      </c>
      <c r="P29" s="7">
        <f t="shared" si="6"/>
        <v>3.604771513118548</v>
      </c>
      <c r="Q29" s="7">
        <f t="shared" si="6"/>
        <v>3.497893312885848</v>
      </c>
      <c r="R29" s="7">
        <f t="shared" si="6"/>
        <v>3.3714385875758754</v>
      </c>
      <c r="S29" s="7">
        <f t="shared" si="6"/>
        <v>3.229414050374535</v>
      </c>
      <c r="T29" s="7">
        <f t="shared" si="6"/>
        <v>3.07541249051637</v>
      </c>
      <c r="U29" s="7">
        <f t="shared" si="6"/>
        <v>2.912641076096577</v>
      </c>
      <c r="V29" s="7">
        <f t="shared" si="6"/>
        <v>2.7439482600500296</v>
      </c>
      <c r="W29" s="7">
        <f t="shared" si="6"/>
        <v>2.5718493462946164</v>
      </c>
      <c r="X29" s="7">
        <f t="shared" si="6"/>
        <v>2.3985507710279976</v>
      </c>
      <c r="Y29" s="7">
        <f t="shared" si="6"/>
        <v>2.225973152218965</v>
      </c>
      <c r="Z29" s="7">
        <f t="shared" si="7"/>
        <v>2.055773158445054</v>
      </c>
    </row>
    <row r="30" spans="2:26" ht="12">
      <c r="B30" s="10">
        <f t="shared" si="8"/>
        <v>0.32499999999999996</v>
      </c>
      <c r="C30" s="7">
        <f t="shared" si="5"/>
        <v>0.40654807171973667</v>
      </c>
      <c r="D30" s="7">
        <f t="shared" si="6"/>
        <v>1.123353602867213</v>
      </c>
      <c r="E30" s="7">
        <f t="shared" si="6"/>
        <v>1.7224195648801588</v>
      </c>
      <c r="F30" s="7">
        <f t="shared" si="6"/>
        <v>2.2157097784199435</v>
      </c>
      <c r="G30" s="7">
        <f t="shared" si="6"/>
        <v>2.6143046507885415</v>
      </c>
      <c r="H30" s="7">
        <f t="shared" si="6"/>
        <v>2.928450742853399</v>
      </c>
      <c r="I30" s="7">
        <f t="shared" si="6"/>
        <v>3.1676081234888183</v>
      </c>
      <c r="J30" s="7">
        <f t="shared" si="6"/>
        <v>3.3404955957513094</v>
      </c>
      <c r="K30" s="7">
        <f t="shared" si="6"/>
        <v>3.455133876202154</v>
      </c>
      <c r="L30" s="7">
        <f t="shared" si="6"/>
        <v>3.518886806069299</v>
      </c>
      <c r="M30" s="7">
        <f t="shared" si="6"/>
        <v>3.5385006703005426</v>
      </c>
      <c r="N30" s="7">
        <f t="shared" si="6"/>
        <v>3.5201416979984206</v>
      </c>
      <c r="O30" s="7">
        <f t="shared" si="6"/>
        <v>3.469431815242049</v>
      </c>
      <c r="P30" s="7">
        <f t="shared" si="6"/>
        <v>3.3914827188903214</v>
      </c>
      <c r="Q30" s="7">
        <f t="shared" si="6"/>
        <v>3.290928337622001</v>
      </c>
      <c r="R30" s="7">
        <f t="shared" si="6"/>
        <v>3.1719557441996313</v>
      </c>
      <c r="S30" s="7">
        <f t="shared" si="6"/>
        <v>3.0383345807434106</v>
      </c>
      <c r="T30" s="7">
        <f t="shared" si="6"/>
        <v>2.893445056666675</v>
      </c>
      <c r="U30" s="7">
        <f t="shared" si="6"/>
        <v>2.7403045768539926</v>
      </c>
      <c r="V30" s="7">
        <f t="shared" si="6"/>
        <v>2.5815930556547313</v>
      </c>
      <c r="W30" s="7">
        <f t="shared" si="6"/>
        <v>2.4196769703169574</v>
      </c>
      <c r="X30" s="7">
        <f t="shared" si="6"/>
        <v>2.2566322055971573</v>
      </c>
      <c r="Y30" s="7">
        <f t="shared" si="6"/>
        <v>2.094265739448592</v>
      </c>
      <c r="Z30" s="7">
        <f t="shared" si="7"/>
        <v>1.934136217913373</v>
      </c>
    </row>
    <row r="31" spans="2:26" ht="12">
      <c r="B31" s="10">
        <f t="shared" si="8"/>
        <v>0.37499999999999994</v>
      </c>
      <c r="C31" s="7">
        <f t="shared" si="5"/>
        <v>0.3794867818037583</v>
      </c>
      <c r="D31" s="7">
        <f t="shared" si="6"/>
        <v>1.048579179766997</v>
      </c>
      <c r="E31" s="7">
        <f t="shared" si="6"/>
        <v>1.6077691743248506</v>
      </c>
      <c r="F31" s="7">
        <f t="shared" si="6"/>
        <v>2.068224231557419</v>
      </c>
      <c r="G31" s="7">
        <f t="shared" si="6"/>
        <v>2.440287207329973</v>
      </c>
      <c r="H31" s="7">
        <f t="shared" si="6"/>
        <v>2.7335226148664846</v>
      </c>
      <c r="I31" s="7">
        <f t="shared" si="6"/>
        <v>2.9567608271104655</v>
      </c>
      <c r="J31" s="7">
        <f t="shared" si="6"/>
        <v>3.1181402924847545</v>
      </c>
      <c r="K31" s="7">
        <f t="shared" si="6"/>
        <v>3.2251478400443405</v>
      </c>
      <c r="L31" s="7">
        <f t="shared" si="6"/>
        <v>3.2846571474763087</v>
      </c>
      <c r="M31" s="7">
        <f t="shared" si="6"/>
        <v>3.3029654429365847</v>
      </c>
      <c r="N31" s="7">
        <f t="shared" si="6"/>
        <v>3.285828509322103</v>
      </c>
      <c r="O31" s="7">
        <f t="shared" si="6"/>
        <v>3.238494057257287</v>
      </c>
      <c r="P31" s="7">
        <f t="shared" si="6"/>
        <v>3.1657335308233545</v>
      </c>
      <c r="Q31" s="7">
        <f t="shared" si="6"/>
        <v>3.0718724078757864</v>
      </c>
      <c r="R31" s="7">
        <f t="shared" si="6"/>
        <v>2.9608190546776774</v>
      </c>
      <c r="S31" s="7">
        <f t="shared" si="6"/>
        <v>2.836092192522415</v>
      </c>
      <c r="T31" s="7">
        <f t="shared" si="6"/>
        <v>2.700847032026702</v>
      </c>
      <c r="U31" s="7">
        <f t="shared" si="6"/>
        <v>2.5579001288421237</v>
      </c>
      <c r="V31" s="7">
        <f t="shared" si="6"/>
        <v>2.4097530126590048</v>
      </c>
      <c r="W31" s="7">
        <f t="shared" si="6"/>
        <v>2.2586146395579436</v>
      </c>
      <c r="X31" s="7">
        <f t="shared" si="6"/>
        <v>2.1064227160008158</v>
      </c>
      <c r="Y31" s="7">
        <f t="shared" si="6"/>
        <v>1.954863941042355</v>
      </c>
      <c r="Z31" s="7">
        <f t="shared" si="7"/>
        <v>1.8053932116840146</v>
      </c>
    </row>
    <row r="32" spans="2:26" ht="12">
      <c r="B32" s="10">
        <f t="shared" si="8"/>
        <v>0.42499999999999993</v>
      </c>
      <c r="C32" s="7">
        <f t="shared" si="5"/>
        <v>0.3517415654283105</v>
      </c>
      <c r="D32" s="7">
        <f t="shared" si="6"/>
        <v>0.9719149647681473</v>
      </c>
      <c r="E32" s="7">
        <f t="shared" si="6"/>
        <v>1.490221196997709</v>
      </c>
      <c r="F32" s="7">
        <f t="shared" si="6"/>
        <v>1.9170112471558194</v>
      </c>
      <c r="G32" s="7">
        <f t="shared" si="6"/>
        <v>2.2618717793569902</v>
      </c>
      <c r="H32" s="7">
        <f t="shared" si="6"/>
        <v>2.533668021628319</v>
      </c>
      <c r="I32" s="7">
        <f t="shared" si="6"/>
        <v>2.7405847365264973</v>
      </c>
      <c r="J32" s="7">
        <f t="shared" si="6"/>
        <v>2.890165350399078</v>
      </c>
      <c r="K32" s="7">
        <f t="shared" si="6"/>
        <v>2.9893493117279792</v>
      </c>
      <c r="L32" s="7">
        <f t="shared" si="6"/>
        <v>3.0445077466388937</v>
      </c>
      <c r="M32" s="7">
        <f t="shared" si="6"/>
        <v>3.0614774773760547</v>
      </c>
      <c r="N32" s="7">
        <f t="shared" si="6"/>
        <v>3.045593467325565</v>
      </c>
      <c r="O32" s="7">
        <f t="shared" si="6"/>
        <v>3.001719754020369</v>
      </c>
      <c r="P32" s="7">
        <f t="shared" si="6"/>
        <v>2.9342789294740896</v>
      </c>
      <c r="Q32" s="7">
        <f t="shared" si="6"/>
        <v>2.847280225167415</v>
      </c>
      <c r="R32" s="7">
        <f t="shared" si="6"/>
        <v>2.7443462570478987</v>
      </c>
      <c r="S32" s="7">
        <f t="shared" si="6"/>
        <v>2.628738483999982</v>
      </c>
      <c r="T32" s="7">
        <f t="shared" si="6"/>
        <v>2.503381431395274</v>
      </c>
      <c r="U32" s="7">
        <f t="shared" si="6"/>
        <v>2.3708857295416217</v>
      </c>
      <c r="V32" s="7">
        <f t="shared" si="6"/>
        <v>2.2335700151121083</v>
      </c>
      <c r="W32" s="7">
        <f t="shared" si="6"/>
        <v>2.093481741949681</v>
      </c>
      <c r="X32" s="7">
        <f t="shared" si="6"/>
        <v>1.9524169460084806</v>
      </c>
      <c r="Y32" s="7">
        <f t="shared" si="6"/>
        <v>1.811939007607312</v>
      </c>
      <c r="Z32" s="7">
        <f t="shared" si="7"/>
        <v>1.6733964526326257</v>
      </c>
    </row>
    <row r="33" spans="2:26" ht="12">
      <c r="B33" s="10">
        <f t="shared" si="8"/>
        <v>0.4749999999999999</v>
      </c>
      <c r="C33" s="7">
        <f t="shared" si="5"/>
        <v>0.3240159499980076</v>
      </c>
      <c r="D33" s="7">
        <f t="shared" si="6"/>
        <v>0.895304910135266</v>
      </c>
      <c r="E33" s="7">
        <f t="shared" si="6"/>
        <v>1.3727562628670706</v>
      </c>
      <c r="F33" s="7">
        <f t="shared" si="6"/>
        <v>1.765905089003918</v>
      </c>
      <c r="G33" s="7">
        <f t="shared" si="6"/>
        <v>2.08358239513041</v>
      </c>
      <c r="H33" s="7">
        <f t="shared" si="6"/>
        <v>2.3339546180952913</v>
      </c>
      <c r="I33" s="7">
        <f t="shared" si="6"/>
        <v>2.5245613661677324</v>
      </c>
      <c r="J33" s="7">
        <f t="shared" si="6"/>
        <v>2.662351463980575</v>
      </c>
      <c r="K33" s="7">
        <f t="shared" si="6"/>
        <v>2.7537173661463217</v>
      </c>
      <c r="L33" s="7">
        <f t="shared" si="6"/>
        <v>2.804528002262928</v>
      </c>
      <c r="M33" s="7">
        <f t="shared" si="6"/>
        <v>2.8201601139222827</v>
      </c>
      <c r="N33" s="7">
        <f t="shared" si="6"/>
        <v>2.8055281422927134</v>
      </c>
      <c r="O33" s="7">
        <f t="shared" si="6"/>
        <v>2.7651127228662005</v>
      </c>
      <c r="P33" s="7">
        <f t="shared" si="6"/>
        <v>2.7029878420395548</v>
      </c>
      <c r="Q33" s="7">
        <f t="shared" si="6"/>
        <v>2.6228467083347633</v>
      </c>
      <c r="R33" s="7">
        <f t="shared" si="6"/>
        <v>2.52802638925562</v>
      </c>
      <c r="S33" s="7">
        <f t="shared" si="6"/>
        <v>2.421531263023775</v>
      </c>
      <c r="T33" s="7">
        <f t="shared" si="6"/>
        <v>2.3060553327361353</v>
      </c>
      <c r="U33" s="7">
        <f t="shared" si="6"/>
        <v>2.1840034488352726</v>
      </c>
      <c r="V33" s="7">
        <f t="shared" si="6"/>
        <v>2.0575114841840203</v>
      </c>
      <c r="W33" s="7">
        <f t="shared" si="6"/>
        <v>1.9284655044828938</v>
      </c>
      <c r="X33" s="7">
        <f t="shared" si="6"/>
        <v>1.7985199752631498</v>
      </c>
      <c r="Y33" s="7">
        <f t="shared" si="6"/>
        <v>1.6691150452276826</v>
      </c>
      <c r="Z33" s="7">
        <f t="shared" si="7"/>
        <v>1.5414929442951064</v>
      </c>
    </row>
    <row r="34" spans="2:26" ht="12">
      <c r="B34" s="10">
        <f t="shared" si="8"/>
        <v>0.5249999999999999</v>
      </c>
      <c r="C34" s="7">
        <f t="shared" si="5"/>
        <v>0.29688737452535097</v>
      </c>
      <c r="D34" s="7">
        <f t="shared" si="6"/>
        <v>0.8203445668997125</v>
      </c>
      <c r="E34" s="7">
        <f t="shared" si="6"/>
        <v>1.2578208040324659</v>
      </c>
      <c r="F34" s="7">
        <f t="shared" si="6"/>
        <v>1.618052832086054</v>
      </c>
      <c r="G34" s="7">
        <f t="shared" si="6"/>
        <v>1.9091322723505235</v>
      </c>
      <c r="H34" s="7">
        <f t="shared" si="6"/>
        <v>2.1385418181786733</v>
      </c>
      <c r="I34" s="7">
        <f t="shared" si="6"/>
        <v>2.3131898162244173</v>
      </c>
      <c r="J34" s="7">
        <f t="shared" si="6"/>
        <v>2.439443293485329</v>
      </c>
      <c r="K34" s="7">
        <f t="shared" si="6"/>
        <v>2.5231594896025125</v>
      </c>
      <c r="L34" s="7">
        <f t="shared" si="6"/>
        <v>2.5697159518838135</v>
      </c>
      <c r="M34" s="7">
        <f t="shared" si="6"/>
        <v>2.5840392485883785</v>
      </c>
      <c r="N34" s="7">
        <f t="shared" si="6"/>
        <v>2.570632354139945</v>
      </c>
      <c r="O34" s="7">
        <f t="shared" si="6"/>
        <v>2.53360075812144</v>
      </c>
      <c r="P34" s="7">
        <f t="shared" si="6"/>
        <v>2.4766773481428985</v>
      </c>
      <c r="Q34" s="7">
        <f t="shared" si="6"/>
        <v>2.4032461149667323</v>
      </c>
      <c r="R34" s="7">
        <f t="shared" si="6"/>
        <v>2.3163647266176834</v>
      </c>
      <c r="S34" s="7">
        <f t="shared" si="6"/>
        <v>2.2187860165976594</v>
      </c>
      <c r="T34" s="7">
        <f t="shared" si="6"/>
        <v>2.1129784297668857</v>
      </c>
      <c r="U34" s="7">
        <f t="shared" si="6"/>
        <v>2.0011454679407072</v>
      </c>
      <c r="V34" s="7">
        <f t="shared" si="6"/>
        <v>1.8852441757848901</v>
      </c>
      <c r="W34" s="7">
        <f t="shared" si="6"/>
        <v>1.7670027061697222</v>
      </c>
      <c r="X34" s="7">
        <f t="shared" si="6"/>
        <v>1.647937002763472</v>
      </c>
      <c r="Y34" s="7">
        <f t="shared" si="6"/>
        <v>1.5293666363074294</v>
      </c>
      <c r="Z34" s="7">
        <f t="shared" si="7"/>
        <v>1.4124298297165352</v>
      </c>
    </row>
    <row r="35" spans="2:26" ht="12">
      <c r="B35" s="10">
        <f t="shared" si="8"/>
        <v>0.575</v>
      </c>
      <c r="C35" s="7">
        <f t="shared" si="5"/>
        <v>0.270802127640406</v>
      </c>
      <c r="D35" s="7">
        <f t="shared" si="6"/>
        <v>0.7482670978173247</v>
      </c>
      <c r="E35" s="7">
        <f t="shared" si="6"/>
        <v>1.147305608623221</v>
      </c>
      <c r="F35" s="7">
        <f t="shared" si="6"/>
        <v>1.4758867744511408</v>
      </c>
      <c r="G35" s="7">
        <f t="shared" si="6"/>
        <v>1.7413912670622471</v>
      </c>
      <c r="H35" s="7">
        <f t="shared" si="6"/>
        <v>1.950644332170199</v>
      </c>
      <c r="I35" s="7">
        <f t="shared" si="6"/>
        <v>2.109947332287796</v>
      </c>
      <c r="J35" s="7">
        <f t="shared" si="6"/>
        <v>2.225107871933227</v>
      </c>
      <c r="K35" s="7">
        <f t="shared" si="6"/>
        <v>2.3014685594253748</v>
      </c>
      <c r="L35" s="7">
        <f t="shared" si="6"/>
        <v>2.343934457685087</v>
      </c>
      <c r="M35" s="7">
        <f t="shared" si="6"/>
        <v>2.3569992747007054</v>
      </c>
      <c r="N35" s="7">
        <f t="shared" si="6"/>
        <v>2.3447703426099062</v>
      </c>
      <c r="O35" s="7">
        <f t="shared" si="6"/>
        <v>2.3109924326945257</v>
      </c>
      <c r="P35" s="7">
        <f t="shared" si="6"/>
        <v>2.259070451979176</v>
      </c>
      <c r="Q35" s="7">
        <f aca="true" t="shared" si="9" ref="Q35:Z39">$C$18*($D$12/400)*Q$23*((1-Q$23)^$D$11)*(1+5/EXP($D$14*Q$23))/((1+$B35^2/$D$14)^2)</f>
        <v>2.1920910655665464</v>
      </c>
      <c r="R35" s="7">
        <f t="shared" si="9"/>
        <v>2.1128432873311476</v>
      </c>
      <c r="S35" s="7">
        <f t="shared" si="9"/>
        <v>2.0238380801273217</v>
      </c>
      <c r="T35" s="7">
        <f t="shared" si="9"/>
        <v>1.927327005245544</v>
      </c>
      <c r="U35" s="7">
        <f t="shared" si="9"/>
        <v>1.8253199594717888</v>
      </c>
      <c r="V35" s="7">
        <f t="shared" si="9"/>
        <v>1.719602036767105</v>
      </c>
      <c r="W35" s="7">
        <f t="shared" si="9"/>
        <v>1.6117495502869776</v>
      </c>
      <c r="X35" s="7">
        <f t="shared" si="9"/>
        <v>1.5031452492015476</v>
      </c>
      <c r="Y35" s="7">
        <f t="shared" si="9"/>
        <v>1.394992763557005</v>
      </c>
      <c r="Z35" s="7">
        <f t="shared" si="9"/>
        <v>1.288330309234331</v>
      </c>
    </row>
    <row r="36" spans="2:26" ht="12">
      <c r="B36" s="10">
        <f>B35+$C$16</f>
        <v>0.625</v>
      </c>
      <c r="C36" s="7">
        <f t="shared" si="5"/>
        <v>0.24608155161214576</v>
      </c>
      <c r="D36" s="7">
        <f aca="true" t="shared" si="10" ref="D36:P39">$C$18*($D$12/400)*D$23*((1-D$23)^$D$11)*(1+5/EXP($D$14*D$23))/((1+$B36^2/$D$14)^2)</f>
        <v>0.679960420014551</v>
      </c>
      <c r="E36" s="7">
        <f t="shared" si="10"/>
        <v>1.0425721053352361</v>
      </c>
      <c r="F36" s="7">
        <f t="shared" si="10"/>
        <v>1.3411582494767331</v>
      </c>
      <c r="G36" s="7">
        <f t="shared" si="10"/>
        <v>1.5824257685727976</v>
      </c>
      <c r="H36" s="7">
        <f t="shared" si="10"/>
        <v>1.772576855604652</v>
      </c>
      <c r="I36" s="7">
        <f t="shared" si="10"/>
        <v>1.9173376438118375</v>
      </c>
      <c r="J36" s="7">
        <f t="shared" si="10"/>
        <v>2.021985581874091</v>
      </c>
      <c r="K36" s="7">
        <f t="shared" si="10"/>
        <v>2.0913755701432755</v>
      </c>
      <c r="L36" s="7">
        <f t="shared" si="10"/>
        <v>2.1299649055573235</v>
      </c>
      <c r="M36" s="7">
        <f t="shared" si="10"/>
        <v>2.1418370812700687</v>
      </c>
      <c r="N36" s="7">
        <f t="shared" si="10"/>
        <v>2.130724485480351</v>
      </c>
      <c r="O36" s="7">
        <f t="shared" si="10"/>
        <v>2.1000300424395277</v>
      </c>
      <c r="P36" s="7">
        <f t="shared" si="10"/>
        <v>2.052847837157243</v>
      </c>
      <c r="Q36" s="7">
        <f t="shared" si="9"/>
        <v>1.9919827639096055</v>
      </c>
      <c r="R36" s="7">
        <f t="shared" si="9"/>
        <v>1.9199692372807533</v>
      </c>
      <c r="S36" s="7">
        <f t="shared" si="9"/>
        <v>1.8390890031366476</v>
      </c>
      <c r="T36" s="7">
        <f t="shared" si="9"/>
        <v>1.7513880856379471</v>
      </c>
      <c r="U36" s="7">
        <f t="shared" si="9"/>
        <v>1.6586929051454606</v>
      </c>
      <c r="V36" s="7">
        <f t="shared" si="9"/>
        <v>1.5626256006561594</v>
      </c>
      <c r="W36" s="7">
        <f t="shared" si="9"/>
        <v>1.4646185892286108</v>
      </c>
      <c r="X36" s="7">
        <f t="shared" si="9"/>
        <v>1.365928393713073</v>
      </c>
      <c r="Y36" s="7">
        <f t="shared" si="9"/>
        <v>1.2676487689921767</v>
      </c>
      <c r="Z36" s="7">
        <f t="shared" si="9"/>
        <v>1.170723155862072</v>
      </c>
    </row>
    <row r="37" spans="2:26" ht="12">
      <c r="B37" s="10">
        <f>B36+$C$16</f>
        <v>0.675</v>
      </c>
      <c r="C37" s="7">
        <f t="shared" si="5"/>
        <v>0.22293563816910997</v>
      </c>
      <c r="D37" s="7">
        <f t="shared" si="10"/>
        <v>0.6160047722902855</v>
      </c>
      <c r="E37" s="7">
        <f t="shared" si="10"/>
        <v>0.9445099647557311</v>
      </c>
      <c r="F37" s="7">
        <f t="shared" si="10"/>
        <v>1.2150117238536815</v>
      </c>
      <c r="G37" s="7">
        <f t="shared" si="10"/>
        <v>1.4335861272853294</v>
      </c>
      <c r="H37" s="7">
        <f t="shared" si="10"/>
        <v>1.6058520027980556</v>
      </c>
      <c r="I37" s="7">
        <f t="shared" si="10"/>
        <v>1.7369968955761108</v>
      </c>
      <c r="J37" s="7">
        <f t="shared" si="10"/>
        <v>1.8318018685704314</v>
      </c>
      <c r="K37" s="7">
        <f t="shared" si="10"/>
        <v>1.894665180411538</v>
      </c>
      <c r="L37" s="7">
        <f t="shared" si="10"/>
        <v>1.9296248840573111</v>
      </c>
      <c r="M37" s="7">
        <f t="shared" si="10"/>
        <v>1.9403803878796706</v>
      </c>
      <c r="N37" s="7">
        <f t="shared" si="10"/>
        <v>1.9303130194895333</v>
      </c>
      <c r="O37" s="7">
        <f t="shared" si="10"/>
        <v>1.9025056312366484</v>
      </c>
      <c r="P37" s="7">
        <f t="shared" si="10"/>
        <v>1.859761284998899</v>
      </c>
      <c r="Q37" s="7">
        <f t="shared" si="9"/>
        <v>1.8046210525931068</v>
      </c>
      <c r="R37" s="7">
        <f t="shared" si="9"/>
        <v>1.7393809668953581</v>
      </c>
      <c r="S37" s="7">
        <f t="shared" si="9"/>
        <v>1.6661081575520458</v>
      </c>
      <c r="T37" s="7">
        <f t="shared" si="9"/>
        <v>1.586656203992337</v>
      </c>
      <c r="U37" s="7">
        <f t="shared" si="9"/>
        <v>1.5026797373173222</v>
      </c>
      <c r="V37" s="7">
        <f t="shared" si="9"/>
        <v>1.415648321539905</v>
      </c>
      <c r="W37" s="7">
        <f t="shared" si="9"/>
        <v>1.3268596435812874</v>
      </c>
      <c r="X37" s="7">
        <f t="shared" si="9"/>
        <v>1.2374520403938376</v>
      </c>
      <c r="Y37" s="7">
        <f t="shared" si="9"/>
        <v>1.148416390575169</v>
      </c>
      <c r="Z37" s="7">
        <f t="shared" si="9"/>
        <v>1.0606073968634044</v>
      </c>
    </row>
    <row r="38" spans="2:26" ht="12">
      <c r="B38" s="10">
        <f>B37+$C$16</f>
        <v>0.7250000000000001</v>
      </c>
      <c r="C38" s="7">
        <f t="shared" si="5"/>
        <v>0.20148051346261533</v>
      </c>
      <c r="D38" s="7">
        <f t="shared" si="10"/>
        <v>0.5567210287048008</v>
      </c>
      <c r="E38" s="7">
        <f t="shared" si="10"/>
        <v>0.8536111777928805</v>
      </c>
      <c r="F38" s="7">
        <f t="shared" si="10"/>
        <v>1.0980800916156834</v>
      </c>
      <c r="G38" s="7">
        <f t="shared" si="10"/>
        <v>1.2956190916376873</v>
      </c>
      <c r="H38" s="7">
        <f t="shared" si="10"/>
        <v>1.451306254692626</v>
      </c>
      <c r="I38" s="7">
        <f t="shared" si="10"/>
        <v>1.569829881295918</v>
      </c>
      <c r="J38" s="7">
        <f t="shared" si="10"/>
        <v>1.6555109092131124</v>
      </c>
      <c r="K38" s="7">
        <f t="shared" si="10"/>
        <v>1.7123243126318113</v>
      </c>
      <c r="L38" s="7">
        <f t="shared" si="10"/>
        <v>1.7439195259359674</v>
      </c>
      <c r="M38" s="7">
        <f t="shared" si="10"/>
        <v>1.7536399297730352</v>
      </c>
      <c r="N38" s="7">
        <f t="shared" si="10"/>
        <v>1.7445414358349616</v>
      </c>
      <c r="O38" s="7">
        <f t="shared" si="10"/>
        <v>1.719410205542407</v>
      </c>
      <c r="P38" s="7">
        <f t="shared" si="10"/>
        <v>1.680779536626777</v>
      </c>
      <c r="Q38" s="7">
        <f t="shared" si="9"/>
        <v>1.6309459504455508</v>
      </c>
      <c r="R38" s="7">
        <f t="shared" si="9"/>
        <v>1.5719845117420788</v>
      </c>
      <c r="S38" s="7">
        <f t="shared" si="9"/>
        <v>1.5057634114703482</v>
      </c>
      <c r="T38" s="7">
        <f t="shared" si="9"/>
        <v>1.4339578422473829</v>
      </c>
      <c r="U38" s="7">
        <f t="shared" si="9"/>
        <v>1.3580631949697517</v>
      </c>
      <c r="V38" s="7">
        <f t="shared" si="9"/>
        <v>1.2794076041354547</v>
      </c>
      <c r="W38" s="7">
        <f t="shared" si="9"/>
        <v>1.1991638684470447</v>
      </c>
      <c r="X38" s="7">
        <f t="shared" si="9"/>
        <v>1.1183607723354911</v>
      </c>
      <c r="Y38" s="7">
        <f t="shared" si="9"/>
        <v>1.0378938331360472</v>
      </c>
      <c r="Z38" s="7">
        <f t="shared" si="9"/>
        <v>0.9585354977663493</v>
      </c>
    </row>
    <row r="39" spans="2:26" ht="12">
      <c r="B39" s="10">
        <f>B38+$C$16</f>
        <v>0.7750000000000001</v>
      </c>
      <c r="C39" s="7">
        <f t="shared" si="5"/>
        <v>0.18175705061974184</v>
      </c>
      <c r="D39" s="7">
        <f t="shared" si="10"/>
        <v>0.5022221278691978</v>
      </c>
      <c r="E39" s="7">
        <f t="shared" si="10"/>
        <v>0.7700489113577034</v>
      </c>
      <c r="F39" s="7">
        <f t="shared" si="10"/>
        <v>0.9905861135963169</v>
      </c>
      <c r="G39" s="7">
        <f t="shared" si="10"/>
        <v>1.1687874959996556</v>
      </c>
      <c r="H39" s="7">
        <f t="shared" si="10"/>
        <v>1.309234028966582</v>
      </c>
      <c r="I39" s="7">
        <f t="shared" si="10"/>
        <v>1.416155062817169</v>
      </c>
      <c r="J39" s="7">
        <f t="shared" si="10"/>
        <v>1.4934485472373713</v>
      </c>
      <c r="K39" s="7">
        <f t="shared" si="10"/>
        <v>1.5447003356291469</v>
      </c>
      <c r="L39" s="7">
        <f t="shared" si="10"/>
        <v>1.573202609547218</v>
      </c>
      <c r="M39" s="7">
        <f t="shared" si="10"/>
        <v>1.5819714572233285</v>
      </c>
      <c r="N39" s="7">
        <f t="shared" si="10"/>
        <v>1.573763639033642</v>
      </c>
      <c r="O39" s="7">
        <f t="shared" si="10"/>
        <v>1.5510925716538788</v>
      </c>
      <c r="P39" s="7">
        <f t="shared" si="10"/>
        <v>1.5162435615689631</v>
      </c>
      <c r="Q39" s="7">
        <f t="shared" si="9"/>
        <v>1.471288317558306</v>
      </c>
      <c r="R39" s="7">
        <f t="shared" si="9"/>
        <v>1.418098770763607</v>
      </c>
      <c r="S39" s="7">
        <f t="shared" si="9"/>
        <v>1.3583602299621549</v>
      </c>
      <c r="T39" s="7">
        <f t="shared" si="9"/>
        <v>1.2935838987143218</v>
      </c>
      <c r="U39" s="7">
        <f t="shared" si="9"/>
        <v>1.225118780128214</v>
      </c>
      <c r="V39" s="7">
        <f t="shared" si="9"/>
        <v>1.1541629940866638</v>
      </c>
      <c r="W39" s="7">
        <f t="shared" si="9"/>
        <v>1.0817745309108353</v>
      </c>
      <c r="X39" s="7">
        <f t="shared" si="9"/>
        <v>1.0088814645900341</v>
      </c>
      <c r="Y39" s="7">
        <f t="shared" si="9"/>
        <v>0.9362916478879699</v>
      </c>
      <c r="Z39" s="7">
        <f t="shared" si="9"/>
        <v>0.8647019108409428</v>
      </c>
    </row>
    <row r="48" ht="12">
      <c r="B48" t="s">
        <v>85</v>
      </c>
    </row>
    <row r="49" spans="2:28" ht="12">
      <c r="B49" t="s">
        <v>86</v>
      </c>
      <c r="C49" s="7">
        <f>SUM(C24:D47)</f>
        <v>21.61995379583709</v>
      </c>
      <c r="E49" s="7">
        <f>SUM(E24:F47)</f>
        <v>55.652056506942245</v>
      </c>
      <c r="G49" s="7">
        <f>SUM(G24:H47)</f>
        <v>78.32798506120923</v>
      </c>
      <c r="I49" s="7">
        <f>SUM(I24:J47)</f>
        <v>91.96989848806807</v>
      </c>
      <c r="K49" s="7">
        <f>SUM(K24:L47)</f>
        <v>98.55404920883484</v>
      </c>
      <c r="M49" s="7">
        <f>SUM(M24:N47)</f>
        <v>99.74988876665124</v>
      </c>
      <c r="O49" s="7">
        <f>SUM(O24:P47)</f>
        <v>96.95567871391248</v>
      </c>
      <c r="Q49" s="7">
        <f>SUM(Q24:R47)</f>
        <v>91.33087279910255</v>
      </c>
      <c r="S49" s="7">
        <f>SUM(S24:T47)</f>
        <v>83.82551886709811</v>
      </c>
      <c r="U49" s="7">
        <f>SUM(U24:V47)</f>
        <v>75.20691220373861</v>
      </c>
      <c r="W49" s="7">
        <f>SUM(W24:X47)</f>
        <v>66.08371635752871</v>
      </c>
      <c r="Y49" s="7">
        <f>SUM(Y24:Z47)</f>
        <v>56.92775270197636</v>
      </c>
      <c r="AA49" s="7">
        <f>SUM(C49:Z49)</f>
        <v>916.2042834708996</v>
      </c>
      <c r="AB49" t="s">
        <v>84</v>
      </c>
    </row>
    <row r="51" spans="26:29" ht="12">
      <c r="Z51" t="s">
        <v>80</v>
      </c>
      <c r="AA51" s="7">
        <f>MIN(C24:Z47)</f>
        <v>0.18175705061974184</v>
      </c>
      <c r="AB51" s="7">
        <f>10000/AA51</f>
        <v>55018.49840709196</v>
      </c>
      <c r="AC51" t="s">
        <v>81</v>
      </c>
    </row>
    <row r="52" spans="28:29" ht="12">
      <c r="AB52" s="7">
        <f>AB51*3*3/3600</f>
        <v>137.5462460177299</v>
      </c>
      <c r="AC52" t="s">
        <v>82</v>
      </c>
    </row>
    <row r="53" spans="28:29" ht="12">
      <c r="AB53" s="7">
        <f>60*AB51</f>
        <v>3301109.9044255177</v>
      </c>
      <c r="AC53" t="s">
        <v>64</v>
      </c>
    </row>
    <row r="54" spans="28:29" ht="12">
      <c r="AB54" s="7">
        <f>AA49*AB51</f>
        <v>50408183.910714515</v>
      </c>
      <c r="AC54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Hartouni</dc:creator>
  <cp:keywords/>
  <dc:description/>
  <cp:lastModifiedBy>raja</cp:lastModifiedBy>
  <cp:lastPrinted>2004-09-30T16:45:23Z</cp:lastPrinted>
  <dcterms:created xsi:type="dcterms:W3CDTF">2000-05-20T18:32:04Z</dcterms:created>
  <dcterms:modified xsi:type="dcterms:W3CDTF">2004-10-15T16:58:42Z</dcterms:modified>
  <cp:category/>
  <cp:version/>
  <cp:contentType/>
  <cp:contentStatus/>
</cp:coreProperties>
</file>