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50" windowHeight="8490" firstSheet="1" activeTab="2"/>
  </bookViews>
  <sheets>
    <sheet name="I-129 Low Infiltration" sheetId="1" r:id="rId1"/>
    <sheet name="TCE_Short" sheetId="2" r:id="rId2"/>
    <sheet name="TCE" sheetId="3" r:id="rId3"/>
  </sheets>
  <definedNames/>
  <calcPr fullCalcOnLoad="1"/>
</workbook>
</file>

<file path=xl/sharedStrings.xml><?xml version="1.0" encoding="utf-8"?>
<sst xmlns="http://schemas.openxmlformats.org/spreadsheetml/2006/main" count="627" uniqueCount="210">
  <si>
    <t>PARAMETER</t>
  </si>
  <si>
    <t>SYMBOL</t>
  </si>
  <si>
    <t>UNITS</t>
  </si>
  <si>
    <t>VALUE</t>
  </si>
  <si>
    <t>Distance</t>
  </si>
  <si>
    <t>x</t>
  </si>
  <si>
    <t>cm</t>
  </si>
  <si>
    <t>Darcy Velocity</t>
  </si>
  <si>
    <t>vd</t>
  </si>
  <si>
    <t>cm/yr</t>
  </si>
  <si>
    <t>Effective Porosity</t>
  </si>
  <si>
    <t>theta</t>
  </si>
  <si>
    <t>fraction</t>
  </si>
  <si>
    <t>Pore Water Velocity</t>
  </si>
  <si>
    <t>vp</t>
  </si>
  <si>
    <t>Bulk Density</t>
  </si>
  <si>
    <t>Bd</t>
  </si>
  <si>
    <t>g/cm^3</t>
  </si>
  <si>
    <t>Distribution Coefficient</t>
  </si>
  <si>
    <t>Kd</t>
  </si>
  <si>
    <t>mL/g</t>
  </si>
  <si>
    <t>Half Life</t>
  </si>
  <si>
    <t>t 1/2</t>
  </si>
  <si>
    <t>yr</t>
  </si>
  <si>
    <t>x-Dispersivity</t>
  </si>
  <si>
    <t>alpha</t>
  </si>
  <si>
    <t>Dispersion Coefficient</t>
  </si>
  <si>
    <t>D</t>
  </si>
  <si>
    <t>cm^2/yr</t>
  </si>
  <si>
    <t>Retardation Factor</t>
  </si>
  <si>
    <t>Rf</t>
  </si>
  <si>
    <t>dimensionless</t>
  </si>
  <si>
    <t>Contaminant Velocity</t>
  </si>
  <si>
    <t>vp/Rf = vc</t>
  </si>
  <si>
    <t>Normalized Dispersion</t>
  </si>
  <si>
    <t>D/Rf</t>
  </si>
  <si>
    <t>1st Order Decay Rate</t>
  </si>
  <si>
    <t>lambda</t>
  </si>
  <si>
    <t>1/yr</t>
  </si>
  <si>
    <t>Time to Peak</t>
  </si>
  <si>
    <t>tp</t>
  </si>
  <si>
    <t>SATURATED ZONE CALCULATIONS</t>
  </si>
  <si>
    <t>Porosity</t>
  </si>
  <si>
    <t>n</t>
  </si>
  <si>
    <t>L</t>
  </si>
  <si>
    <t>i</t>
  </si>
  <si>
    <t>Particle Density</t>
  </si>
  <si>
    <t>rho s</t>
  </si>
  <si>
    <t>cm/d</t>
  </si>
  <si>
    <t>C</t>
  </si>
  <si>
    <t>Volume of Water Released</t>
  </si>
  <si>
    <t>Vw</t>
  </si>
  <si>
    <t>Mass Released</t>
  </si>
  <si>
    <t>Mc</t>
  </si>
  <si>
    <t>Concentration</t>
  </si>
  <si>
    <t>Length</t>
  </si>
  <si>
    <t>Width</t>
  </si>
  <si>
    <t>W</t>
  </si>
  <si>
    <t>m</t>
  </si>
  <si>
    <t>Duration of Release</t>
  </si>
  <si>
    <t>td</t>
  </si>
  <si>
    <t>Infiltration Rate</t>
  </si>
  <si>
    <t>Q</t>
  </si>
  <si>
    <t>m^3/yr</t>
  </si>
  <si>
    <t>Contaminant Discharge</t>
  </si>
  <si>
    <t>Qc</t>
  </si>
  <si>
    <t>pCi/yr</t>
  </si>
  <si>
    <t>pCi/L</t>
  </si>
  <si>
    <t>Upper</t>
  </si>
  <si>
    <t>Lower</t>
  </si>
  <si>
    <t>Distribution</t>
  </si>
  <si>
    <t>Std Dev</t>
  </si>
  <si>
    <t>Calculated</t>
  </si>
  <si>
    <t>Ci</t>
  </si>
  <si>
    <t>Initial Water Discharge</t>
  </si>
  <si>
    <t>Given</t>
  </si>
  <si>
    <t>uCi/cm^3</t>
  </si>
  <si>
    <t>m^3</t>
  </si>
  <si>
    <t>Assumed</t>
  </si>
  <si>
    <t>ft/d</t>
  </si>
  <si>
    <t>I-129</t>
  </si>
  <si>
    <t>loam-like</t>
  </si>
  <si>
    <t>ft</t>
  </si>
  <si>
    <t>y-Dispersivity</t>
  </si>
  <si>
    <t>z-Dispersivity</t>
  </si>
  <si>
    <t>beta</t>
  </si>
  <si>
    <t>zeta</t>
  </si>
  <si>
    <t>Water Concentrations and Time to Peak Calculations (Calvert Cliffs)</t>
  </si>
  <si>
    <t>SURFACE WATER CALCULATIONS</t>
  </si>
  <si>
    <t>Velocity</t>
  </si>
  <si>
    <t>Depth</t>
  </si>
  <si>
    <t>Area</t>
  </si>
  <si>
    <t>Discharge</t>
  </si>
  <si>
    <t>v</t>
  </si>
  <si>
    <t>d</t>
  </si>
  <si>
    <t>w</t>
  </si>
  <si>
    <t>A</t>
  </si>
  <si>
    <t>ft/s</t>
  </si>
  <si>
    <t>ft^2</t>
  </si>
  <si>
    <t>ft^3/s</t>
  </si>
  <si>
    <t>(= Q / v)</t>
  </si>
  <si>
    <t>SOURCE TERM</t>
  </si>
  <si>
    <t>Soil Type</t>
  </si>
  <si>
    <t>Aquifer Thickness</t>
  </si>
  <si>
    <t>(Square root of area)</t>
  </si>
  <si>
    <t>STATISTICAL ANALYSES</t>
  </si>
  <si>
    <t>m^2</t>
  </si>
  <si>
    <t>Equivalent source term thickness</t>
  </si>
  <si>
    <t>Th</t>
  </si>
  <si>
    <t>H</t>
  </si>
  <si>
    <t>Fraction of Source to Aquifer Thickness</t>
  </si>
  <si>
    <t>Fraction</t>
  </si>
  <si>
    <t>Th/H</t>
  </si>
  <si>
    <t>Equivalent source term Width</t>
  </si>
  <si>
    <t>Calcualted</t>
  </si>
  <si>
    <t>When Th/H &lt; 1.0, Set equal to W</t>
  </si>
  <si>
    <t>When Th/H &gt; 1.0, Set equal to H</t>
  </si>
  <si>
    <t>Fixed</t>
  </si>
  <si>
    <t>When Th/H &gt; 1.0.  Calculated</t>
  </si>
  <si>
    <t>Not used</t>
  </si>
  <si>
    <t>EQUIVALENT THICKNESS AND WIDTH CALCULATION</t>
  </si>
  <si>
    <t>Source Term, Groundwater, Surface Water, and Time to Peak Calculations</t>
  </si>
  <si>
    <t>Inter-related Mathematical Relationships</t>
  </si>
  <si>
    <t>vp = vd / ne</t>
  </si>
  <si>
    <t>ne</t>
  </si>
  <si>
    <t>rhoS</t>
  </si>
  <si>
    <t>n = 1 - (Bd / rhoS)</t>
  </si>
  <si>
    <t>Dx = vp alphaX</t>
  </si>
  <si>
    <t>alphaX</t>
  </si>
  <si>
    <t>alphaY</t>
  </si>
  <si>
    <t>alphaZ</t>
  </si>
  <si>
    <t>Rf = 1 + (Bd Kd / ne)</t>
  </si>
  <si>
    <t>vc</t>
  </si>
  <si>
    <t>vc = vp / Rf</t>
  </si>
  <si>
    <t>Normalized x-Dispersion</t>
  </si>
  <si>
    <t>Dx*</t>
  </si>
  <si>
    <t>Dx</t>
  </si>
  <si>
    <t>Dx* = Dx / Rf</t>
  </si>
  <si>
    <t>lambda = -[Ln(0.5] / t1/2</t>
  </si>
  <si>
    <t>t1/2</t>
  </si>
  <si>
    <t>derivative to the X1 Green's Function, solving for tp</t>
  </si>
  <si>
    <t>Frac</t>
  </si>
  <si>
    <t>Frac = Th / H</t>
  </si>
  <si>
    <t>Set</t>
  </si>
  <si>
    <t>rhoS = Bd / (1-n)</t>
  </si>
  <si>
    <t>L = A / W</t>
  </si>
  <si>
    <t>Thickness</t>
  </si>
  <si>
    <t>g</t>
  </si>
  <si>
    <t>g/yr</t>
  </si>
  <si>
    <t>McT</t>
  </si>
  <si>
    <t>Initial Mass in Water</t>
  </si>
  <si>
    <t>Mcw</t>
  </si>
  <si>
    <t>nT</t>
  </si>
  <si>
    <t>1 + Bd Kd / nT</t>
  </si>
  <si>
    <t>Total Volume</t>
  </si>
  <si>
    <t>VT</t>
  </si>
  <si>
    <t>VT = L W Th</t>
  </si>
  <si>
    <t>Total Porosity</t>
  </si>
  <si>
    <t>Initial Total Mass in system</t>
  </si>
  <si>
    <t>Total Concentraton (by total volume)</t>
  </si>
  <si>
    <t>CT</t>
  </si>
  <si>
    <t>Cw</t>
  </si>
  <si>
    <t>Cw = CT / (nT + Bd Kd) = CT / (nT Rf)</t>
  </si>
  <si>
    <t>Mw = Cw Vw = Cw nT VT</t>
  </si>
  <si>
    <t>Initial Disssoved Concentration</t>
  </si>
  <si>
    <t>Initial Contaminant Discharge thru y-z plane</t>
  </si>
  <si>
    <t>Initial Water Discharge thru y-z plane</t>
  </si>
  <si>
    <t>Q = i W Th</t>
  </si>
  <si>
    <t>TCE</t>
  </si>
  <si>
    <t>vd = vp ne</t>
  </si>
  <si>
    <t>x = distance</t>
  </si>
  <si>
    <t>Th &lt;= H</t>
  </si>
  <si>
    <t>For an y-z Source Term</t>
  </si>
  <si>
    <t>mg/L</t>
  </si>
  <si>
    <t>i = Qc / Cw / W / Th</t>
  </si>
  <si>
    <t>Qc = Q Cw</t>
  </si>
  <si>
    <t>McT = CT * VT</t>
  </si>
  <si>
    <t>1/day</t>
  </si>
  <si>
    <t>day</t>
  </si>
  <si>
    <t>ft/day</t>
  </si>
  <si>
    <t>A = W Th</t>
  </si>
  <si>
    <t>1st Order Leaching Rate</t>
  </si>
  <si>
    <t>Combined 1st order Decay &amp; Leach Rate</t>
  </si>
  <si>
    <t>lambda1</t>
  </si>
  <si>
    <t>lambda2</t>
  </si>
  <si>
    <t>lambdaT</t>
  </si>
  <si>
    <t>lambda1 = -[Ln(0.5] / t1/2</t>
  </si>
  <si>
    <t>lambda2 = i / (nT Rf L)</t>
  </si>
  <si>
    <t>lambdaT = lambda1 + lambda2</t>
  </si>
  <si>
    <t>Adjusted 1st Order Decay Rate</t>
  </si>
  <si>
    <t>Adjusted Half Decay half life</t>
  </si>
  <si>
    <t>lambdaA</t>
  </si>
  <si>
    <t>lambdaA = lambda1 - lambda2</t>
  </si>
  <si>
    <t>ta1/2 = -[Ln(0.5] / lambdaA</t>
  </si>
  <si>
    <t>CT = Cw nT Rf = M / VT</t>
  </si>
  <si>
    <t>SOURCE TERM -- Vertical (y-z plane) Flux Plane Calculations</t>
  </si>
  <si>
    <t>Set this value so lambdaT equals lambda1</t>
  </si>
  <si>
    <t>DCE Half Life</t>
  </si>
  <si>
    <t>DCE Distribution Coefficient</t>
  </si>
  <si>
    <t>VC Half Life</t>
  </si>
  <si>
    <t>VC Distribution Coefficient</t>
  </si>
  <si>
    <t>Other Constituent Properties:  Half Life and Distribution Coefficient</t>
  </si>
  <si>
    <t>Estimate (Actual is 10.7 yr)</t>
  </si>
  <si>
    <t>Darcian Flow Rate</t>
  </si>
  <si>
    <t>1st Order Loss Rate</t>
  </si>
  <si>
    <t>x = flow path distance</t>
  </si>
  <si>
    <t>anaerobic</t>
  </si>
  <si>
    <t>aerobic</t>
  </si>
  <si>
    <t>half</t>
  </si>
  <si>
    <t>lives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</si>
</sst>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E+00"/>
    <numFmt numFmtId="166" formatCode="0.0000"/>
    <numFmt numFmtId="167" formatCode="0.00000"/>
    <numFmt numFmtId="168" formatCode="0.000000"/>
    <numFmt numFmtId="169" formatCode="0.000E+00"/>
    <numFmt numFmtId="170" formatCode="0.0"/>
    <numFmt numFmtId="171" formatCode="0.000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7.5"/>
      <color indexed="5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7.5"/>
      <color indexed="12"/>
      <name val="Arial"/>
      <family val="2"/>
    </font>
    <font>
      <sz val="7.5"/>
      <color indexed="8"/>
      <name val="Arial"/>
      <family val="2"/>
    </font>
    <font>
      <sz val="7.5"/>
      <color indexed="10"/>
      <name val="Arial"/>
      <family val="2"/>
    </font>
    <font>
      <b/>
      <sz val="8"/>
      <color indexed="5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1" fontId="7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1" fontId="7" fillId="0" borderId="4" xfId="0" applyNumberFormat="1" applyFont="1" applyFill="1" applyBorder="1" applyAlignment="1">
      <alignment horizontal="center" vertical="center"/>
    </xf>
    <xf numFmtId="11" fontId="7" fillId="0" borderId="13" xfId="0" applyNumberFormat="1" applyFont="1" applyFill="1" applyBorder="1" applyAlignment="1">
      <alignment horizontal="center" vertical="center"/>
    </xf>
    <xf numFmtId="11" fontId="7" fillId="0" borderId="14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1" fontId="9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1" fontId="7" fillId="0" borderId="10" xfId="0" applyNumberFormat="1" applyFont="1" applyFill="1" applyBorder="1" applyAlignment="1">
      <alignment horizontal="center" vertical="center"/>
    </xf>
    <xf numFmtId="11" fontId="7" fillId="0" borderId="11" xfId="0" applyNumberFormat="1" applyFont="1" applyFill="1" applyBorder="1" applyAlignment="1">
      <alignment horizontal="center" vertical="center"/>
    </xf>
    <xf numFmtId="11" fontId="7" fillId="0" borderId="12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11" fontId="7" fillId="0" borderId="16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1" fontId="7" fillId="0" borderId="3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165" fontId="9" fillId="0" borderId="6" xfId="0" applyNumberFormat="1" applyFont="1" applyFill="1" applyBorder="1" applyAlignment="1">
      <alignment horizontal="centerContinuous" vertical="center" shrinkToFit="1"/>
    </xf>
    <xf numFmtId="165" fontId="9" fillId="0" borderId="17" xfId="0" applyNumberFormat="1" applyFont="1" applyFill="1" applyBorder="1" applyAlignment="1">
      <alignment horizontal="centerContinuous" vertical="center" shrinkToFit="1"/>
    </xf>
    <xf numFmtId="165" fontId="9" fillId="0" borderId="7" xfId="0" applyNumberFormat="1" applyFont="1" applyFill="1" applyBorder="1" applyAlignment="1">
      <alignment horizontal="centerContinuous" vertical="center" shrinkToFit="1"/>
    </xf>
    <xf numFmtId="11" fontId="9" fillId="0" borderId="8" xfId="0" applyNumberFormat="1" applyFont="1" applyFill="1" applyBorder="1" applyAlignment="1">
      <alignment horizontal="centerContinuous" vertical="center" shrinkToFit="1"/>
    </xf>
    <xf numFmtId="0" fontId="7" fillId="0" borderId="0" xfId="0" applyFont="1" applyAlignment="1">
      <alignment horizontal="left" vertical="center"/>
    </xf>
    <xf numFmtId="11" fontId="7" fillId="0" borderId="5" xfId="0" applyNumberFormat="1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Continuous" vertical="center" shrinkToFi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9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shrinkToFit="1"/>
    </xf>
    <xf numFmtId="1" fontId="7" fillId="0" borderId="20" xfId="0" applyNumberFormat="1" applyFont="1" applyFill="1" applyBorder="1" applyAlignment="1">
      <alignment horizontal="center" vertical="center" shrinkToFit="1"/>
    </xf>
    <xf numFmtId="165" fontId="7" fillId="0" borderId="0" xfId="0" applyNumberFormat="1" applyFont="1" applyFill="1" applyBorder="1" applyAlignment="1">
      <alignment horizontal="center" vertical="center" shrinkToFit="1"/>
    </xf>
    <xf numFmtId="1" fontId="7" fillId="0" borderId="18" xfId="0" applyNumberFormat="1" applyFont="1" applyFill="1" applyBorder="1" applyAlignment="1">
      <alignment horizontal="center" vertical="center" shrinkToFit="1"/>
    </xf>
    <xf numFmtId="1" fontId="7" fillId="0" borderId="21" xfId="0" applyNumberFormat="1" applyFont="1" applyFill="1" applyBorder="1" applyAlignment="1">
      <alignment horizontal="center" vertical="center" shrinkToFit="1"/>
    </xf>
    <xf numFmtId="165" fontId="7" fillId="0" borderId="21" xfId="0" applyNumberFormat="1" applyFont="1" applyFill="1" applyBorder="1" applyAlignment="1">
      <alignment horizontal="center" vertical="center" shrinkToFit="1"/>
    </xf>
    <xf numFmtId="165" fontId="7" fillId="0" borderId="22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Continuous" vertical="center" shrinkToFit="1"/>
    </xf>
    <xf numFmtId="0" fontId="7" fillId="0" borderId="11" xfId="0" applyFont="1" applyBorder="1" applyAlignment="1">
      <alignment horizontal="center"/>
    </xf>
    <xf numFmtId="2" fontId="7" fillId="0" borderId="12" xfId="0" applyNumberFormat="1" applyFont="1" applyFill="1" applyBorder="1" applyAlignment="1">
      <alignment horizontal="centerContinuous" vertical="center" shrinkToFi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shrinkToFit="1"/>
    </xf>
    <xf numFmtId="169" fontId="7" fillId="0" borderId="22" xfId="0" applyNumberFormat="1" applyFont="1" applyFill="1" applyBorder="1" applyAlignment="1">
      <alignment horizontal="center" vertical="center" shrinkToFit="1"/>
    </xf>
    <xf numFmtId="2" fontId="7" fillId="0" borderId="26" xfId="0" applyNumberFormat="1" applyFont="1" applyFill="1" applyBorder="1" applyAlignment="1">
      <alignment horizontal="center" vertical="center" shrinkToFit="1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165" fontId="7" fillId="0" borderId="11" xfId="0" applyNumberFormat="1" applyFont="1" applyFill="1" applyBorder="1" applyAlignment="1">
      <alignment horizontal="center" vertical="center" shrinkToFit="1"/>
    </xf>
    <xf numFmtId="165" fontId="7" fillId="0" borderId="12" xfId="0" applyNumberFormat="1" applyFont="1" applyFill="1" applyBorder="1" applyAlignment="1">
      <alignment horizontal="center" vertical="center" shrinkToFit="1"/>
    </xf>
    <xf numFmtId="2" fontId="7" fillId="0" borderId="12" xfId="0" applyNumberFormat="1" applyFont="1" applyFill="1" applyBorder="1" applyAlignment="1">
      <alignment horizontal="center" vertical="center" shrinkToFit="1"/>
    </xf>
    <xf numFmtId="164" fontId="7" fillId="0" borderId="0" xfId="0" applyNumberFormat="1" applyFont="1" applyFill="1" applyBorder="1" applyAlignment="1">
      <alignment horizontal="center" vertical="center" shrinkToFit="1"/>
    </xf>
    <xf numFmtId="2" fontId="7" fillId="0" borderId="10" xfId="0" applyNumberFormat="1" applyFont="1" applyFill="1" applyBorder="1" applyAlignment="1">
      <alignment horizontal="center" vertical="center" shrinkToFit="1"/>
    </xf>
    <xf numFmtId="2" fontId="7" fillId="0" borderId="11" xfId="0" applyNumberFormat="1" applyFont="1" applyFill="1" applyBorder="1" applyAlignment="1">
      <alignment horizontal="center" vertical="center" shrinkToFit="1"/>
    </xf>
    <xf numFmtId="11" fontId="7" fillId="0" borderId="23" xfId="0" applyNumberFormat="1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165" fontId="7" fillId="0" borderId="10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64" fontId="7" fillId="0" borderId="12" xfId="0" applyNumberFormat="1" applyFont="1" applyFill="1" applyBorder="1" applyAlignment="1">
      <alignment horizontal="center" vertical="center" shrinkToFit="1"/>
    </xf>
    <xf numFmtId="2" fontId="11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2" fontId="7" fillId="0" borderId="0" xfId="0" applyNumberFormat="1" applyFont="1" applyFill="1" applyBorder="1" applyAlignment="1">
      <alignment horizontal="center" vertical="center" shrinkToFit="1"/>
    </xf>
    <xf numFmtId="164" fontId="7" fillId="2" borderId="12" xfId="0" applyNumberFormat="1" applyFont="1" applyFill="1" applyBorder="1" applyAlignment="1">
      <alignment horizontal="center" vertical="center" shrinkToFit="1"/>
    </xf>
    <xf numFmtId="164" fontId="7" fillId="0" borderId="10" xfId="0" applyNumberFormat="1" applyFont="1" applyFill="1" applyBorder="1" applyAlignment="1">
      <alignment horizontal="center" vertical="center" shrinkToFit="1"/>
    </xf>
    <xf numFmtId="164" fontId="7" fillId="0" borderId="11" xfId="0" applyNumberFormat="1" applyFont="1" applyFill="1" applyBorder="1" applyAlignment="1">
      <alignment horizontal="center" vertical="center" shrinkToFit="1"/>
    </xf>
    <xf numFmtId="11" fontId="7" fillId="2" borderId="12" xfId="0" applyNumberFormat="1" applyFont="1" applyFill="1" applyBorder="1" applyAlignment="1">
      <alignment horizontal="center" vertical="center" shrinkToFit="1"/>
    </xf>
    <xf numFmtId="11" fontId="7" fillId="0" borderId="0" xfId="0" applyNumberFormat="1" applyFont="1" applyFill="1" applyBorder="1" applyAlignment="1">
      <alignment horizontal="center" vertical="center" shrinkToFit="1"/>
    </xf>
    <xf numFmtId="11" fontId="7" fillId="0" borderId="10" xfId="0" applyNumberFormat="1" applyFont="1" applyFill="1" applyBorder="1" applyAlignment="1">
      <alignment horizontal="center" vertical="center" shrinkToFit="1"/>
    </xf>
    <xf numFmtId="11" fontId="7" fillId="0" borderId="11" xfId="0" applyNumberFormat="1" applyFont="1" applyFill="1" applyBorder="1" applyAlignment="1">
      <alignment horizontal="center" vertical="center" shrinkToFit="1"/>
    </xf>
    <xf numFmtId="1" fontId="9" fillId="0" borderId="12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/>
    </xf>
    <xf numFmtId="1" fontId="7" fillId="0" borderId="0" xfId="0" applyNumberFormat="1" applyFont="1" applyFill="1" applyBorder="1" applyAlignment="1">
      <alignment horizontal="center" vertical="center" shrinkToFit="1"/>
    </xf>
    <xf numFmtId="2" fontId="9" fillId="0" borderId="12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shrinkToFit="1"/>
    </xf>
    <xf numFmtId="2" fontId="7" fillId="0" borderId="12" xfId="0" applyNumberFormat="1" applyFont="1" applyBorder="1" applyAlignment="1">
      <alignment horizontal="center" vertical="center" shrinkToFit="1"/>
    </xf>
    <xf numFmtId="11" fontId="7" fillId="0" borderId="12" xfId="0" applyNumberFormat="1" applyFont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 shrinkToFit="1"/>
    </xf>
    <xf numFmtId="2" fontId="7" fillId="4" borderId="3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2" fontId="7" fillId="0" borderId="1" xfId="0" applyNumberFormat="1" applyFont="1" applyFill="1" applyBorder="1" applyAlignment="1">
      <alignment horizontal="center" vertical="center" shrinkToFit="1"/>
    </xf>
    <xf numFmtId="2" fontId="7" fillId="0" borderId="2" xfId="0" applyNumberFormat="1" applyFont="1" applyFill="1" applyBorder="1" applyAlignment="1">
      <alignment horizontal="center" vertical="center" shrinkToFit="1"/>
    </xf>
    <xf numFmtId="2" fontId="7" fillId="0" borderId="3" xfId="0" applyNumberFormat="1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2" fontId="7" fillId="3" borderId="14" xfId="0" applyNumberFormat="1" applyFont="1" applyFill="1" applyBorder="1" applyAlignment="1">
      <alignment horizontal="center" vertical="center" shrinkToFit="1"/>
    </xf>
    <xf numFmtId="11" fontId="7" fillId="0" borderId="4" xfId="0" applyNumberFormat="1" applyFont="1" applyFill="1" applyBorder="1" applyAlignment="1">
      <alignment horizontal="center" vertical="center" shrinkToFit="1"/>
    </xf>
    <xf numFmtId="11" fontId="7" fillId="0" borderId="13" xfId="0" applyNumberFormat="1" applyFont="1" applyFill="1" applyBorder="1" applyAlignment="1">
      <alignment horizontal="center" vertical="center" shrinkToFit="1"/>
    </xf>
    <xf numFmtId="11" fontId="7" fillId="0" borderId="14" xfId="0" applyNumberFormat="1" applyFont="1" applyFill="1" applyBorder="1" applyAlignment="1">
      <alignment horizontal="center" vertical="center" shrinkToFit="1"/>
    </xf>
    <xf numFmtId="164" fontId="7" fillId="0" borderId="12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shrinkToFit="1"/>
    </xf>
    <xf numFmtId="11" fontId="7" fillId="0" borderId="3" xfId="0" applyNumberFormat="1" applyFont="1" applyBorder="1" applyAlignment="1">
      <alignment horizontal="center" vertical="center" shrinkToFit="1"/>
    </xf>
    <xf numFmtId="11" fontId="7" fillId="0" borderId="1" xfId="0" applyNumberFormat="1" applyFont="1" applyFill="1" applyBorder="1" applyAlignment="1">
      <alignment horizontal="center" vertical="center" shrinkToFit="1"/>
    </xf>
    <xf numFmtId="11" fontId="7" fillId="0" borderId="2" xfId="0" applyNumberFormat="1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1" fontId="7" fillId="2" borderId="1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169" fontId="7" fillId="5" borderId="12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69" fontId="11" fillId="0" borderId="12" xfId="0" applyNumberFormat="1" applyFont="1" applyFill="1" applyBorder="1" applyAlignment="1">
      <alignment horizontal="center" vertical="center"/>
    </xf>
    <xf numFmtId="169" fontId="11" fillId="2" borderId="2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4" fontId="10" fillId="5" borderId="12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 shrinkToFit="1"/>
    </xf>
    <xf numFmtId="11" fontId="7" fillId="0" borderId="22" xfId="0" applyNumberFormat="1" applyFont="1" applyBorder="1" applyAlignment="1">
      <alignment horizontal="center" vertical="center" shrinkToFit="1"/>
    </xf>
    <xf numFmtId="2" fontId="13" fillId="0" borderId="12" xfId="0" applyNumberFormat="1" applyFont="1" applyBorder="1" applyAlignment="1">
      <alignment horizontal="center" vertical="center" shrinkToFit="1"/>
    </xf>
    <xf numFmtId="2" fontId="15" fillId="0" borderId="12" xfId="0" applyNumberFormat="1" applyFont="1" applyFill="1" applyBorder="1" applyAlignment="1">
      <alignment horizontal="center" vertical="center" shrinkToFit="1"/>
    </xf>
    <xf numFmtId="164" fontId="16" fillId="0" borderId="11" xfId="0" applyNumberFormat="1" applyFont="1" applyBorder="1" applyAlignment="1">
      <alignment horizontal="center" vertical="center" shrinkToFit="1"/>
    </xf>
    <xf numFmtId="0" fontId="13" fillId="0" borderId="12" xfId="0" applyNumberFormat="1" applyFont="1" applyFill="1" applyBorder="1" applyAlignment="1">
      <alignment horizontal="center" vertical="center" shrinkToFit="1"/>
    </xf>
    <xf numFmtId="0" fontId="12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shrinkToFit="1"/>
    </xf>
    <xf numFmtId="0" fontId="14" fillId="5" borderId="26" xfId="0" applyNumberFormat="1" applyFont="1" applyFill="1" applyBorder="1" applyAlignment="1">
      <alignment horizontal="left" vertical="center"/>
    </xf>
    <xf numFmtId="0" fontId="14" fillId="5" borderId="27" xfId="0" applyNumberFormat="1" applyFont="1" applyFill="1" applyBorder="1" applyAlignment="1">
      <alignment horizontal="center" vertical="center" shrinkToFit="1"/>
    </xf>
    <xf numFmtId="0" fontId="14" fillId="5" borderId="15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Alignment="1">
      <alignment horizontal="center" vertical="center"/>
    </xf>
    <xf numFmtId="0" fontId="13" fillId="3" borderId="28" xfId="0" applyNumberFormat="1" applyFont="1" applyFill="1" applyBorder="1" applyAlignment="1">
      <alignment horizontal="left" vertical="center"/>
    </xf>
    <xf numFmtId="0" fontId="13" fillId="0" borderId="18" xfId="0" applyNumberFormat="1" applyFont="1" applyFill="1" applyBorder="1" applyAlignment="1">
      <alignment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left" vertical="center"/>
    </xf>
    <xf numFmtId="0" fontId="13" fillId="0" borderId="29" xfId="0" applyNumberFormat="1" applyFont="1" applyFill="1" applyBorder="1" applyAlignment="1">
      <alignment horizontal="left" vertical="center" shrinkToFit="1"/>
    </xf>
    <xf numFmtId="0" fontId="13" fillId="0" borderId="21" xfId="0" applyNumberFormat="1" applyFont="1" applyFill="1" applyBorder="1" applyAlignment="1">
      <alignment horizontal="center" vertical="center" shrinkToFit="1"/>
    </xf>
    <xf numFmtId="0" fontId="13" fillId="0" borderId="10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29" xfId="0" applyNumberFormat="1" applyFont="1" applyBorder="1" applyAlignment="1">
      <alignment vertical="center" shrinkToFit="1"/>
    </xf>
    <xf numFmtId="0" fontId="13" fillId="0" borderId="11" xfId="0" applyNumberFormat="1" applyFont="1" applyFill="1" applyBorder="1" applyAlignment="1">
      <alignment horizontal="center" vertical="center" shrinkToFit="1"/>
    </xf>
    <xf numFmtId="0" fontId="15" fillId="0" borderId="29" xfId="0" applyNumberFormat="1" applyFont="1" applyFill="1" applyBorder="1" applyAlignment="1">
      <alignment horizontal="left" vertical="center" shrinkToFit="1"/>
    </xf>
    <xf numFmtId="0" fontId="13" fillId="0" borderId="10" xfId="0" applyNumberFormat="1" applyFont="1" applyFill="1" applyBorder="1" applyAlignment="1">
      <alignment horizontal="left" vertical="center"/>
    </xf>
    <xf numFmtId="0" fontId="13" fillId="0" borderId="25" xfId="0" applyNumberFormat="1" applyFont="1" applyBorder="1" applyAlignment="1">
      <alignment vertical="center"/>
    </xf>
    <xf numFmtId="0" fontId="13" fillId="0" borderId="10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 shrinkToFit="1"/>
    </xf>
    <xf numFmtId="0" fontId="13" fillId="0" borderId="25" xfId="0" applyNumberFormat="1" applyFont="1" applyFill="1" applyBorder="1" applyAlignment="1">
      <alignment horizontal="left" vertical="center" shrinkToFit="1"/>
    </xf>
    <xf numFmtId="0" fontId="13" fillId="0" borderId="29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vertical="center"/>
    </xf>
    <xf numFmtId="0" fontId="13" fillId="3" borderId="30" xfId="0" applyNumberFormat="1" applyFont="1" applyFill="1" applyBorder="1" applyAlignment="1">
      <alignment vertical="center"/>
    </xf>
    <xf numFmtId="0" fontId="13" fillId="3" borderId="31" xfId="0" applyNumberFormat="1" applyFont="1" applyFill="1" applyBorder="1" applyAlignment="1">
      <alignment vertical="center" shrinkToFit="1"/>
    </xf>
    <xf numFmtId="0" fontId="13" fillId="0" borderId="18" xfId="0" applyNumberFormat="1" applyFont="1" applyFill="1" applyBorder="1" applyAlignment="1">
      <alignment horizontal="left" vertical="center"/>
    </xf>
    <xf numFmtId="0" fontId="13" fillId="0" borderId="21" xfId="0" applyNumberFormat="1" applyFont="1" applyFill="1" applyBorder="1" applyAlignment="1">
      <alignment horizontal="centerContinuous" vertical="center" shrinkToFit="1"/>
    </xf>
    <xf numFmtId="0" fontId="13" fillId="0" borderId="19" xfId="0" applyNumberFormat="1" applyFont="1" applyFill="1" applyBorder="1" applyAlignment="1">
      <alignment horizontal="center" vertical="center" shrinkToFit="1"/>
    </xf>
    <xf numFmtId="0" fontId="13" fillId="0" borderId="11" xfId="0" applyNumberFormat="1" applyFont="1" applyFill="1" applyBorder="1" applyAlignment="1">
      <alignment horizontal="centerContinuous" vertical="center" shrinkToFit="1"/>
    </xf>
    <xf numFmtId="0" fontId="13" fillId="0" borderId="32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vertical="center"/>
    </xf>
    <xf numFmtId="0" fontId="15" fillId="0" borderId="25" xfId="0" applyNumberFormat="1" applyFont="1" applyFill="1" applyBorder="1" applyAlignment="1">
      <alignment vertical="center"/>
    </xf>
    <xf numFmtId="0" fontId="13" fillId="0" borderId="12" xfId="0" applyNumberFormat="1" applyFont="1" applyBorder="1" applyAlignment="1">
      <alignment horizontal="center" vertical="center" shrinkToFit="1"/>
    </xf>
    <xf numFmtId="0" fontId="13" fillId="4" borderId="6" xfId="0" applyNumberFormat="1" applyFont="1" applyFill="1" applyBorder="1" applyAlignment="1">
      <alignment horizontal="left" vertical="center"/>
    </xf>
    <xf numFmtId="0" fontId="13" fillId="4" borderId="7" xfId="0" applyNumberFormat="1" applyFont="1" applyFill="1" applyBorder="1" applyAlignment="1">
      <alignment horizontal="center" vertical="center" shrinkToFit="1"/>
    </xf>
    <xf numFmtId="0" fontId="13" fillId="0" borderId="33" xfId="0" applyNumberFormat="1" applyFont="1" applyFill="1" applyBorder="1" applyAlignment="1">
      <alignment horizontal="left" vertical="center" shrinkToFit="1"/>
    </xf>
    <xf numFmtId="0" fontId="13" fillId="0" borderId="34" xfId="0" applyNumberFormat="1" applyFont="1" applyFill="1" applyBorder="1" applyAlignment="1">
      <alignment vertical="center" shrinkToFit="1"/>
    </xf>
    <xf numFmtId="0" fontId="13" fillId="0" borderId="35" xfId="0" applyNumberFormat="1" applyFont="1" applyFill="1" applyBorder="1" applyAlignment="1">
      <alignment horizontal="left" vertical="center" shrinkToFit="1"/>
    </xf>
    <xf numFmtId="0" fontId="13" fillId="0" borderId="36" xfId="0" applyNumberFormat="1" applyFont="1" applyFill="1" applyBorder="1" applyAlignment="1">
      <alignment vertical="center"/>
    </xf>
    <xf numFmtId="0" fontId="13" fillId="0" borderId="37" xfId="0" applyNumberFormat="1" applyFont="1" applyFill="1" applyBorder="1" applyAlignment="1">
      <alignment horizontal="left" vertical="center" shrinkToFit="1"/>
    </xf>
    <xf numFmtId="0" fontId="13" fillId="0" borderId="1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 horizontal="left" vertical="center"/>
    </xf>
    <xf numFmtId="2" fontId="13" fillId="0" borderId="22" xfId="0" applyNumberFormat="1" applyFont="1" applyFill="1" applyBorder="1" applyAlignment="1">
      <alignment horizontal="center" vertical="center" shrinkToFit="1"/>
    </xf>
    <xf numFmtId="1" fontId="13" fillId="0" borderId="12" xfId="0" applyNumberFormat="1" applyFont="1" applyFill="1" applyBorder="1" applyAlignment="1">
      <alignment horizontal="center" vertical="center" shrinkToFit="1"/>
    </xf>
    <xf numFmtId="1" fontId="13" fillId="0" borderId="12" xfId="0" applyNumberFormat="1" applyFont="1" applyBorder="1" applyAlignment="1">
      <alignment horizontal="center" vertical="center" shrinkToFit="1"/>
    </xf>
    <xf numFmtId="2" fontId="13" fillId="4" borderId="8" xfId="0" applyNumberFormat="1" applyFont="1" applyFill="1" applyBorder="1" applyAlignment="1">
      <alignment horizontal="center" vertical="center" shrinkToFit="1"/>
    </xf>
    <xf numFmtId="164" fontId="13" fillId="0" borderId="11" xfId="0" applyNumberFormat="1" applyFont="1" applyBorder="1" applyAlignment="1">
      <alignment horizontal="center" vertical="center" shrinkToFit="1"/>
    </xf>
    <xf numFmtId="164" fontId="15" fillId="0" borderId="12" xfId="0" applyNumberFormat="1" applyFont="1" applyBorder="1" applyAlignment="1">
      <alignment horizontal="center" vertical="center" shrinkToFit="1"/>
    </xf>
    <xf numFmtId="0" fontId="13" fillId="0" borderId="0" xfId="0" applyNumberFormat="1" applyFont="1" applyFill="1" applyAlignment="1">
      <alignment horizontal="left" vertical="center"/>
    </xf>
    <xf numFmtId="0" fontId="13" fillId="5" borderId="6" xfId="0" applyNumberFormat="1" applyFont="1" applyFill="1" applyBorder="1" applyAlignment="1">
      <alignment horizontal="left" vertical="center"/>
    </xf>
    <xf numFmtId="0" fontId="13" fillId="5" borderId="7" xfId="0" applyNumberFormat="1" applyFont="1" applyFill="1" applyBorder="1" applyAlignment="1">
      <alignment horizontal="center" vertical="center" shrinkToFit="1"/>
    </xf>
    <xf numFmtId="0" fontId="13" fillId="5" borderId="11" xfId="0" applyNumberFormat="1" applyFont="1" applyFill="1" applyBorder="1" applyAlignment="1">
      <alignment horizontal="center" vertical="center" shrinkToFit="1"/>
    </xf>
    <xf numFmtId="164" fontId="15" fillId="5" borderId="8" xfId="0" applyNumberFormat="1" applyFont="1" applyFill="1" applyBorder="1" applyAlignment="1">
      <alignment horizontal="center" vertical="center" shrinkToFit="1"/>
    </xf>
    <xf numFmtId="0" fontId="13" fillId="5" borderId="25" xfId="0" applyNumberFormat="1" applyFont="1" applyFill="1" applyBorder="1" applyAlignment="1">
      <alignment horizontal="left" vertical="center" shrinkToFit="1"/>
    </xf>
    <xf numFmtId="0" fontId="13" fillId="5" borderId="29" xfId="0" applyNumberFormat="1" applyFont="1" applyFill="1" applyBorder="1" applyAlignment="1">
      <alignment vertical="center" shrinkToFit="1"/>
    </xf>
    <xf numFmtId="166" fontId="15" fillId="5" borderId="8" xfId="0" applyNumberFormat="1" applyFont="1" applyFill="1" applyBorder="1" applyAlignment="1">
      <alignment horizontal="center" vertical="center" shrinkToFit="1"/>
    </xf>
    <xf numFmtId="169" fontId="15" fillId="0" borderId="22" xfId="0" applyNumberFormat="1" applyFont="1" applyFill="1" applyBorder="1" applyAlignment="1">
      <alignment horizontal="center" vertical="center" shrinkToFit="1"/>
    </xf>
    <xf numFmtId="164" fontId="15" fillId="0" borderId="22" xfId="0" applyNumberFormat="1" applyFont="1" applyFill="1" applyBorder="1" applyAlignment="1">
      <alignment horizontal="center" vertical="center" shrinkToFit="1"/>
    </xf>
    <xf numFmtId="169" fontId="15" fillId="0" borderId="12" xfId="0" applyNumberFormat="1" applyFont="1" applyFill="1" applyBorder="1" applyAlignment="1">
      <alignment horizontal="center" vertical="center" shrinkToFit="1"/>
    </xf>
    <xf numFmtId="11" fontId="15" fillId="0" borderId="22" xfId="0" applyNumberFormat="1" applyFont="1" applyFill="1" applyBorder="1" applyAlignment="1">
      <alignment horizontal="center" vertical="center" shrinkToFit="1"/>
    </xf>
    <xf numFmtId="2" fontId="15" fillId="0" borderId="22" xfId="0" applyNumberFormat="1" applyFont="1" applyFill="1" applyBorder="1" applyAlignment="1">
      <alignment horizontal="center" vertical="center" shrinkToFit="1"/>
    </xf>
    <xf numFmtId="11" fontId="13" fillId="0" borderId="0" xfId="0" applyNumberFormat="1" applyFont="1" applyFill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 shrinkToFit="1"/>
    </xf>
    <xf numFmtId="0" fontId="13" fillId="0" borderId="16" xfId="0" applyNumberFormat="1" applyFont="1" applyFill="1" applyBorder="1" applyAlignment="1">
      <alignment horizontal="left" vertical="center"/>
    </xf>
    <xf numFmtId="0" fontId="13" fillId="0" borderId="12" xfId="0" applyNumberFormat="1" applyFont="1" applyFill="1" applyBorder="1" applyAlignment="1">
      <alignment vertical="center" shrinkToFit="1"/>
    </xf>
    <xf numFmtId="0" fontId="13" fillId="0" borderId="1" xfId="0" applyNumberFormat="1" applyFont="1" applyFill="1" applyBorder="1" applyAlignment="1">
      <alignment vertical="center"/>
    </xf>
    <xf numFmtId="0" fontId="13" fillId="0" borderId="2" xfId="0" applyNumberFormat="1" applyFont="1" applyFill="1" applyBorder="1" applyAlignment="1">
      <alignment horizontal="center" vertical="center"/>
    </xf>
    <xf numFmtId="169" fontId="15" fillId="0" borderId="3" xfId="0" applyNumberFormat="1" applyFont="1" applyFill="1" applyBorder="1" applyAlignment="1">
      <alignment horizontal="center" vertical="center" shrinkToFit="1"/>
    </xf>
    <xf numFmtId="0" fontId="13" fillId="0" borderId="38" xfId="0" applyNumberFormat="1" applyFont="1" applyFill="1" applyBorder="1" applyAlignment="1">
      <alignment horizontal="left" vertical="center" shrinkToFit="1"/>
    </xf>
    <xf numFmtId="0" fontId="13" fillId="0" borderId="3" xfId="0" applyNumberFormat="1" applyFont="1" applyFill="1" applyBorder="1" applyAlignment="1">
      <alignment vertical="center" shrinkToFit="1"/>
    </xf>
    <xf numFmtId="0" fontId="13" fillId="0" borderId="2" xfId="0" applyNumberFormat="1" applyFont="1" applyBorder="1" applyAlignment="1">
      <alignment horizontal="center" vertical="center" shrinkToFit="1"/>
    </xf>
    <xf numFmtId="0" fontId="13" fillId="0" borderId="4" xfId="0" applyNumberFormat="1" applyFont="1" applyFill="1" applyBorder="1" applyAlignment="1">
      <alignment horizontal="left" vertical="center"/>
    </xf>
    <xf numFmtId="0" fontId="13" fillId="0" borderId="13" xfId="0" applyNumberFormat="1" applyFont="1" applyFill="1" applyBorder="1" applyAlignment="1">
      <alignment horizontal="center" vertical="center" shrinkToFit="1"/>
    </xf>
    <xf numFmtId="164" fontId="15" fillId="0" borderId="14" xfId="0" applyNumberFormat="1" applyFont="1" applyFill="1" applyBorder="1" applyAlignment="1">
      <alignment horizontal="center" vertical="center" shrinkToFit="1"/>
    </xf>
    <xf numFmtId="0" fontId="13" fillId="0" borderId="39" xfId="0" applyNumberFormat="1" applyFont="1" applyFill="1" applyBorder="1" applyAlignment="1">
      <alignment vertical="center"/>
    </xf>
    <xf numFmtId="0" fontId="13" fillId="0" borderId="40" xfId="0" applyNumberFormat="1" applyFont="1" applyFill="1" applyBorder="1" applyAlignment="1">
      <alignment vertical="center" shrinkToFit="1"/>
    </xf>
    <xf numFmtId="0" fontId="13" fillId="0" borderId="41" xfId="0" applyNumberFormat="1" applyFont="1" applyFill="1" applyBorder="1" applyAlignment="1">
      <alignment vertical="center"/>
    </xf>
    <xf numFmtId="0" fontId="13" fillId="0" borderId="42" xfId="0" applyNumberFormat="1" applyFont="1" applyFill="1" applyBorder="1" applyAlignment="1">
      <alignment horizontal="center" vertical="center"/>
    </xf>
    <xf numFmtId="2" fontId="15" fillId="0" borderId="43" xfId="0" applyNumberFormat="1" applyFont="1" applyFill="1" applyBorder="1" applyAlignment="1">
      <alignment horizontal="center" vertical="center" shrinkToFit="1"/>
    </xf>
    <xf numFmtId="0" fontId="13" fillId="0" borderId="44" xfId="0" applyNumberFormat="1" applyFont="1" applyFill="1" applyBorder="1" applyAlignment="1">
      <alignment horizontal="left" vertical="center"/>
    </xf>
    <xf numFmtId="2" fontId="13" fillId="0" borderId="12" xfId="0" applyNumberFormat="1" applyFont="1" applyFill="1" applyBorder="1" applyAlignment="1">
      <alignment horizontal="centerContinuous" vertical="center" shrinkToFit="1"/>
    </xf>
    <xf numFmtId="2" fontId="13" fillId="0" borderId="12" xfId="0" applyNumberFormat="1" applyFont="1" applyFill="1" applyBorder="1" applyAlignment="1">
      <alignment horizontal="center" vertical="center" shrinkToFit="1"/>
    </xf>
    <xf numFmtId="2" fontId="13" fillId="0" borderId="2" xfId="0" applyNumberFormat="1" applyFont="1" applyBorder="1" applyAlignment="1">
      <alignment horizontal="center" vertical="center" shrinkToFit="1"/>
    </xf>
    <xf numFmtId="170" fontId="13" fillId="0" borderId="0" xfId="0" applyNumberFormat="1" applyFont="1" applyFill="1" applyAlignment="1">
      <alignment horizontal="center" vertical="center"/>
    </xf>
    <xf numFmtId="0" fontId="13" fillId="0" borderId="21" xfId="0" applyNumberFormat="1" applyFont="1" applyBorder="1" applyAlignment="1">
      <alignment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left" vertical="center" shrinkToFit="1"/>
    </xf>
    <xf numFmtId="0" fontId="13" fillId="0" borderId="37" xfId="0" applyNumberFormat="1" applyFont="1" applyFill="1" applyBorder="1" applyAlignment="1">
      <alignment vertical="center" shrinkToFit="1"/>
    </xf>
    <xf numFmtId="1" fontId="15" fillId="0" borderId="22" xfId="0" applyNumberFormat="1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3" fillId="3" borderId="45" xfId="0" applyNumberFormat="1" applyFont="1" applyFill="1" applyBorder="1" applyAlignment="1">
      <alignment horizontal="left" vertical="center"/>
    </xf>
    <xf numFmtId="0" fontId="13" fillId="0" borderId="46" xfId="0" applyNumberFormat="1" applyFont="1" applyBorder="1" applyAlignment="1">
      <alignment vertical="center"/>
    </xf>
    <xf numFmtId="0" fontId="13" fillId="0" borderId="47" xfId="0" applyNumberFormat="1" applyFont="1" applyBorder="1" applyAlignment="1">
      <alignment vertical="center"/>
    </xf>
    <xf numFmtId="0" fontId="14" fillId="5" borderId="23" xfId="0" applyNumberFormat="1" applyFont="1" applyFill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3" fillId="3" borderId="28" xfId="0" applyNumberFormat="1" applyFont="1" applyFill="1" applyBorder="1" applyAlignment="1">
      <alignment horizontal="left" vertical="center"/>
    </xf>
    <xf numFmtId="0" fontId="13" fillId="0" borderId="30" xfId="0" applyNumberFormat="1" applyFont="1" applyBorder="1" applyAlignment="1">
      <alignment vertical="center"/>
    </xf>
    <xf numFmtId="0" fontId="13" fillId="0" borderId="31" xfId="0" applyNumberFormat="1" applyFont="1" applyBorder="1" applyAlignment="1">
      <alignment vertical="center"/>
    </xf>
    <xf numFmtId="0" fontId="13" fillId="6" borderId="10" xfId="0" applyNumberFormat="1" applyFont="1" applyFill="1" applyBorder="1" applyAlignment="1">
      <alignment horizontal="left" vertical="center"/>
    </xf>
    <xf numFmtId="0" fontId="13" fillId="6" borderId="11" xfId="0" applyNumberFormat="1" applyFont="1" applyFill="1" applyBorder="1" applyAlignment="1">
      <alignment vertical="center"/>
    </xf>
    <xf numFmtId="0" fontId="13" fillId="6" borderId="12" xfId="0" applyNumberFormat="1" applyFont="1" applyFill="1" applyBorder="1" applyAlignment="1">
      <alignment vertical="center"/>
    </xf>
    <xf numFmtId="0" fontId="13" fillId="0" borderId="48" xfId="0" applyNumberFormat="1" applyFont="1" applyFill="1" applyBorder="1" applyAlignment="1">
      <alignment horizontal="center" vertical="center"/>
    </xf>
    <xf numFmtId="0" fontId="13" fillId="0" borderId="49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vertical="center"/>
    </xf>
    <xf numFmtId="0" fontId="13" fillId="0" borderId="50" xfId="0" applyNumberFormat="1" applyFont="1" applyFill="1" applyBorder="1" applyAlignment="1">
      <alignment horizontal="center" vertical="center"/>
    </xf>
    <xf numFmtId="0" fontId="13" fillId="0" borderId="51" xfId="0" applyNumberFormat="1" applyFont="1" applyBorder="1" applyAlignment="1">
      <alignment horizontal="center" vertical="center"/>
    </xf>
    <xf numFmtId="0" fontId="14" fillId="0" borderId="52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59"/>
  <sheetViews>
    <sheetView zoomScale="90" zoomScaleNormal="90" workbookViewId="0" topLeftCell="A22">
      <selection activeCell="A22" sqref="A1:IV16384"/>
    </sheetView>
  </sheetViews>
  <sheetFormatPr defaultColWidth="9.140625" defaultRowHeight="12.75"/>
  <cols>
    <col min="1" max="1" width="32.421875" style="52" customWidth="1"/>
    <col min="2" max="4" width="8.421875" style="2" customWidth="1"/>
    <col min="5" max="5" width="8.421875" style="3" customWidth="1"/>
    <col min="6" max="7" width="8.00390625" style="3" customWidth="1"/>
    <col min="8" max="9" width="8.00390625" style="4" customWidth="1"/>
    <col min="10" max="13" width="9.421875" style="2" customWidth="1"/>
    <col min="14" max="16384" width="9.140625" style="3" customWidth="1"/>
  </cols>
  <sheetData>
    <row r="1" spans="1:13" ht="9">
      <c r="A1" s="1" t="s">
        <v>87</v>
      </c>
      <c r="J1" s="262" t="s">
        <v>105</v>
      </c>
      <c r="K1" s="263"/>
      <c r="L1" s="263"/>
      <c r="M1" s="264"/>
    </row>
    <row r="2" spans="1:13" ht="9.75" thickBot="1">
      <c r="A2" s="1" t="s">
        <v>80</v>
      </c>
      <c r="J2" s="5" t="s">
        <v>68</v>
      </c>
      <c r="K2" s="6" t="s">
        <v>69</v>
      </c>
      <c r="L2" s="6" t="s">
        <v>70</v>
      </c>
      <c r="M2" s="7" t="s">
        <v>71</v>
      </c>
    </row>
    <row r="3" spans="1:13" ht="9">
      <c r="A3" s="259" t="s">
        <v>101</v>
      </c>
      <c r="B3" s="260"/>
      <c r="C3" s="260"/>
      <c r="D3" s="261"/>
      <c r="E3" s="9"/>
      <c r="F3" s="10"/>
      <c r="G3" s="2"/>
      <c r="H3" s="11"/>
      <c r="I3" s="11"/>
      <c r="J3" s="12"/>
      <c r="K3" s="12"/>
      <c r="L3" s="12"/>
      <c r="M3" s="12"/>
    </row>
    <row r="4" spans="1:13" ht="9.75" thickBot="1">
      <c r="A4" s="13" t="s">
        <v>0</v>
      </c>
      <c r="B4" s="14" t="s">
        <v>1</v>
      </c>
      <c r="C4" s="14" t="s">
        <v>2</v>
      </c>
      <c r="D4" s="15" t="s">
        <v>3</v>
      </c>
      <c r="H4" s="16"/>
      <c r="I4" s="16"/>
      <c r="J4" s="17"/>
      <c r="K4" s="17"/>
      <c r="L4" s="17"/>
      <c r="M4" s="17"/>
    </row>
    <row r="5" spans="1:13" ht="9.75" thickBot="1">
      <c r="A5" s="18" t="s">
        <v>52</v>
      </c>
      <c r="B5" s="19" t="s">
        <v>53</v>
      </c>
      <c r="C5" s="19" t="s">
        <v>73</v>
      </c>
      <c r="D5" s="150">
        <v>4.232E-06</v>
      </c>
      <c r="E5" s="151" t="s">
        <v>117</v>
      </c>
      <c r="F5" s="21"/>
      <c r="G5" s="2"/>
      <c r="H5" s="11"/>
      <c r="I5" s="11"/>
      <c r="J5" s="22"/>
      <c r="K5" s="23"/>
      <c r="L5" s="23"/>
      <c r="M5" s="24"/>
    </row>
    <row r="6" spans="1:13" ht="9.75" thickBot="1">
      <c r="A6" s="18" t="s">
        <v>50</v>
      </c>
      <c r="B6" s="19" t="s">
        <v>51</v>
      </c>
      <c r="C6" s="19" t="s">
        <v>44</v>
      </c>
      <c r="D6" s="152">
        <f>E6*1000</f>
        <v>10</v>
      </c>
      <c r="E6" s="153">
        <v>0.01</v>
      </c>
      <c r="F6" s="26" t="s">
        <v>77</v>
      </c>
      <c r="G6" s="11"/>
      <c r="H6" s="11"/>
      <c r="I6" s="11"/>
      <c r="J6" s="27"/>
      <c r="K6" s="28"/>
      <c r="L6" s="28"/>
      <c r="M6" s="25"/>
    </row>
    <row r="7" spans="1:13" ht="9.75" thickBot="1">
      <c r="A7" s="18" t="s">
        <v>54</v>
      </c>
      <c r="B7" s="19" t="s">
        <v>49</v>
      </c>
      <c r="C7" s="19" t="s">
        <v>67</v>
      </c>
      <c r="D7" s="154">
        <f>E7*1000000000</f>
        <v>46</v>
      </c>
      <c r="E7" s="155">
        <v>4.6E-08</v>
      </c>
      <c r="F7" s="29" t="s">
        <v>76</v>
      </c>
      <c r="G7" s="11" t="s">
        <v>75</v>
      </c>
      <c r="H7" s="156" t="s">
        <v>119</v>
      </c>
      <c r="I7" s="11"/>
      <c r="J7" s="27"/>
      <c r="K7" s="28"/>
      <c r="L7" s="28"/>
      <c r="M7" s="25"/>
    </row>
    <row r="8" spans="1:13" ht="9">
      <c r="A8" s="18" t="s">
        <v>59</v>
      </c>
      <c r="B8" s="19" t="s">
        <v>60</v>
      </c>
      <c r="C8" s="19" t="s">
        <v>23</v>
      </c>
      <c r="D8" s="30">
        <v>20</v>
      </c>
      <c r="E8" s="31" t="s">
        <v>78</v>
      </c>
      <c r="F8" s="21"/>
      <c r="G8" s="2"/>
      <c r="H8" s="11"/>
      <c r="I8" s="11"/>
      <c r="J8" s="32"/>
      <c r="K8" s="33"/>
      <c r="L8" s="33"/>
      <c r="M8" s="34"/>
    </row>
    <row r="9" spans="1:13" ht="9.75" thickBot="1">
      <c r="A9" s="18" t="s">
        <v>55</v>
      </c>
      <c r="B9" s="19" t="s">
        <v>44</v>
      </c>
      <c r="C9" s="19" t="s">
        <v>58</v>
      </c>
      <c r="D9" s="157">
        <f>D11/D10</f>
        <v>6.174110859178568</v>
      </c>
      <c r="E9" s="9" t="s">
        <v>72</v>
      </c>
      <c r="F9" s="21"/>
      <c r="G9" s="2"/>
      <c r="H9" s="11"/>
      <c r="I9" s="11"/>
      <c r="J9" s="35"/>
      <c r="K9" s="36"/>
      <c r="L9" s="36"/>
      <c r="M9" s="34"/>
    </row>
    <row r="10" spans="1:13" ht="9">
      <c r="A10" s="18" t="s">
        <v>56</v>
      </c>
      <c r="B10" s="19" t="s">
        <v>57</v>
      </c>
      <c r="C10" s="19" t="s">
        <v>58</v>
      </c>
      <c r="D10" s="157">
        <f>E10/(3.2808)</f>
        <v>6.174103877103145</v>
      </c>
      <c r="E10" s="37">
        <v>20.256</v>
      </c>
      <c r="F10" s="38" t="s">
        <v>82</v>
      </c>
      <c r="G10" s="2"/>
      <c r="H10" s="11"/>
      <c r="I10" s="11"/>
      <c r="J10" s="35"/>
      <c r="K10" s="36"/>
      <c r="L10" s="36"/>
      <c r="M10" s="34"/>
    </row>
    <row r="11" spans="1:13" ht="9.75" thickBot="1">
      <c r="A11" s="18" t="s">
        <v>91</v>
      </c>
      <c r="B11" s="19" t="s">
        <v>96</v>
      </c>
      <c r="C11" s="19" t="s">
        <v>106</v>
      </c>
      <c r="D11" s="157">
        <f>E11/(3.2808)^2</f>
        <v>38.11960179331903</v>
      </c>
      <c r="E11" s="39">
        <v>410.306</v>
      </c>
      <c r="F11" s="40" t="s">
        <v>82</v>
      </c>
      <c r="G11" s="2"/>
      <c r="H11" s="11"/>
      <c r="I11" s="11"/>
      <c r="J11" s="35"/>
      <c r="K11" s="36"/>
      <c r="L11" s="36"/>
      <c r="M11" s="34"/>
    </row>
    <row r="12" spans="1:13" ht="9">
      <c r="A12" s="18" t="s">
        <v>61</v>
      </c>
      <c r="B12" s="41" t="s">
        <v>45</v>
      </c>
      <c r="C12" s="41" t="s">
        <v>9</v>
      </c>
      <c r="D12" s="25">
        <f>D6/D8/D9/D10/10</f>
        <v>0.0013116611309607951</v>
      </c>
      <c r="E12" s="9" t="s">
        <v>72</v>
      </c>
      <c r="F12" s="21"/>
      <c r="G12" s="2"/>
      <c r="H12" s="11"/>
      <c r="I12" s="11"/>
      <c r="J12" s="32"/>
      <c r="K12" s="33"/>
      <c r="L12" s="33"/>
      <c r="M12" s="20"/>
    </row>
    <row r="13" spans="1:13" ht="9">
      <c r="A13" s="18" t="s">
        <v>74</v>
      </c>
      <c r="B13" s="19" t="s">
        <v>62</v>
      </c>
      <c r="C13" s="19" t="s">
        <v>63</v>
      </c>
      <c r="D13" s="20">
        <f>D6/D8/1000</f>
        <v>0.0005</v>
      </c>
      <c r="E13" s="9" t="s">
        <v>72</v>
      </c>
      <c r="F13" s="21"/>
      <c r="G13" s="2"/>
      <c r="H13" s="11"/>
      <c r="I13" s="11"/>
      <c r="J13" s="32"/>
      <c r="K13" s="33"/>
      <c r="L13" s="42"/>
      <c r="M13" s="43"/>
    </row>
    <row r="14" spans="1:13" ht="9.75" thickBot="1">
      <c r="A14" s="44" t="s">
        <v>64</v>
      </c>
      <c r="B14" s="45" t="s">
        <v>65</v>
      </c>
      <c r="C14" s="45" t="s">
        <v>66</v>
      </c>
      <c r="D14" s="46">
        <f>1000000000000*D5/D8</f>
        <v>211600</v>
      </c>
      <c r="E14" s="47" t="s">
        <v>72</v>
      </c>
      <c r="F14" s="21"/>
      <c r="G14" s="11"/>
      <c r="H14" s="11"/>
      <c r="I14" s="11"/>
      <c r="J14" s="48"/>
      <c r="K14" s="49"/>
      <c r="L14" s="50"/>
      <c r="M14" s="51"/>
    </row>
    <row r="15" spans="5:13" ht="9.75" thickBot="1">
      <c r="E15" s="52"/>
      <c r="J15" s="12"/>
      <c r="K15" s="12"/>
      <c r="L15" s="12"/>
      <c r="M15" s="53"/>
    </row>
    <row r="16" spans="1:13" ht="9">
      <c r="A16" s="8" t="s">
        <v>41</v>
      </c>
      <c r="B16" s="54"/>
      <c r="C16" s="54"/>
      <c r="D16" s="55"/>
      <c r="H16" s="16"/>
      <c r="I16" s="16"/>
      <c r="J16" s="16"/>
      <c r="K16" s="16"/>
      <c r="L16" s="16"/>
      <c r="M16" s="16"/>
    </row>
    <row r="17" spans="1:13" ht="9.75" thickBot="1">
      <c r="A17" s="13" t="s">
        <v>0</v>
      </c>
      <c r="B17" s="14" t="s">
        <v>1</v>
      </c>
      <c r="C17" s="14" t="s">
        <v>2</v>
      </c>
      <c r="D17" s="15" t="s">
        <v>3</v>
      </c>
      <c r="H17" s="16"/>
      <c r="I17" s="16"/>
      <c r="J17" s="56"/>
      <c r="K17" s="56"/>
      <c r="L17" s="56"/>
      <c r="M17" s="56"/>
    </row>
    <row r="18" spans="1:13" ht="9.75" thickBot="1">
      <c r="A18" s="57" t="s">
        <v>102</v>
      </c>
      <c r="B18" s="58"/>
      <c r="C18" s="59"/>
      <c r="D18" s="60" t="s">
        <v>81</v>
      </c>
      <c r="E18" s="61" t="s">
        <v>75</v>
      </c>
      <c r="H18" s="3"/>
      <c r="I18" s="3"/>
      <c r="J18" s="62"/>
      <c r="K18" s="62"/>
      <c r="L18" s="62"/>
      <c r="M18" s="62"/>
    </row>
    <row r="19" spans="1:13" ht="9.75" thickBot="1">
      <c r="A19" s="63" t="s">
        <v>4</v>
      </c>
      <c r="B19" s="64" t="s">
        <v>5</v>
      </c>
      <c r="C19" s="64" t="s">
        <v>6</v>
      </c>
      <c r="D19" s="65">
        <v>31700</v>
      </c>
      <c r="E19" s="3" t="s">
        <v>75</v>
      </c>
      <c r="H19" s="66"/>
      <c r="I19" s="66"/>
      <c r="J19" s="67"/>
      <c r="K19" s="68"/>
      <c r="L19" s="69"/>
      <c r="M19" s="70"/>
    </row>
    <row r="20" spans="1:13" ht="9.75" thickBot="1">
      <c r="A20" s="71" t="s">
        <v>103</v>
      </c>
      <c r="B20" s="72" t="s">
        <v>109</v>
      </c>
      <c r="C20" s="73" t="s">
        <v>58</v>
      </c>
      <c r="D20" s="74">
        <f>E20/3.2808</f>
        <v>6.522799317239697</v>
      </c>
      <c r="E20" s="75">
        <v>21.4</v>
      </c>
      <c r="F20" s="76" t="s">
        <v>82</v>
      </c>
      <c r="G20" s="77" t="s">
        <v>75</v>
      </c>
      <c r="H20" s="3"/>
      <c r="I20" s="3"/>
      <c r="J20" s="18"/>
      <c r="K20" s="78"/>
      <c r="L20" s="78"/>
      <c r="M20" s="79"/>
    </row>
    <row r="21" spans="1:13" ht="9.75" thickBot="1">
      <c r="A21" s="71" t="s">
        <v>7</v>
      </c>
      <c r="B21" s="80" t="s">
        <v>8</v>
      </c>
      <c r="C21" s="80" t="s">
        <v>9</v>
      </c>
      <c r="D21" s="81">
        <f>E21*365.25</f>
        <v>2816.0775</v>
      </c>
      <c r="E21" s="82">
        <v>7.71</v>
      </c>
      <c r="F21" s="83" t="s">
        <v>48</v>
      </c>
      <c r="G21" s="84">
        <v>0.253</v>
      </c>
      <c r="H21" s="85" t="s">
        <v>79</v>
      </c>
      <c r="I21" s="86" t="s">
        <v>75</v>
      </c>
      <c r="J21" s="87"/>
      <c r="K21" s="88"/>
      <c r="L21" s="89"/>
      <c r="M21" s="90"/>
    </row>
    <row r="22" spans="1:13" ht="9.75" thickBot="1">
      <c r="A22" s="71" t="s">
        <v>10</v>
      </c>
      <c r="B22" s="41" t="s">
        <v>11</v>
      </c>
      <c r="C22" s="41" t="s">
        <v>12</v>
      </c>
      <c r="D22" s="91">
        <v>0.37</v>
      </c>
      <c r="E22" s="3" t="s">
        <v>75</v>
      </c>
      <c r="H22" s="92"/>
      <c r="I22" s="92"/>
      <c r="J22" s="93"/>
      <c r="K22" s="94"/>
      <c r="L22" s="89"/>
      <c r="M22" s="90"/>
    </row>
    <row r="23" spans="1:13" ht="9.75" thickBot="1">
      <c r="A23" s="71" t="s">
        <v>13</v>
      </c>
      <c r="B23" s="41" t="s">
        <v>14</v>
      </c>
      <c r="C23" s="41" t="s">
        <v>9</v>
      </c>
      <c r="D23" s="90">
        <f>D21/D22</f>
        <v>7611.02027027027</v>
      </c>
      <c r="E23" s="95">
        <f>D23/365.25</f>
        <v>20.83783783783784</v>
      </c>
      <c r="F23" s="96" t="s">
        <v>48</v>
      </c>
      <c r="G23" s="4" t="s">
        <v>72</v>
      </c>
      <c r="H23" s="66"/>
      <c r="I23" s="66"/>
      <c r="J23" s="97"/>
      <c r="K23" s="89"/>
      <c r="L23" s="89"/>
      <c r="M23" s="90"/>
    </row>
    <row r="24" spans="1:13" ht="9">
      <c r="A24" s="71" t="s">
        <v>15</v>
      </c>
      <c r="B24" s="41" t="s">
        <v>16</v>
      </c>
      <c r="C24" s="41" t="s">
        <v>17</v>
      </c>
      <c r="D24" s="98">
        <v>1.91</v>
      </c>
      <c r="E24" s="4" t="s">
        <v>75</v>
      </c>
      <c r="F24" s="4"/>
      <c r="G24" s="4"/>
      <c r="H24" s="56"/>
      <c r="I24" s="56"/>
      <c r="J24" s="93"/>
      <c r="K24" s="94"/>
      <c r="L24" s="41"/>
      <c r="M24" s="99"/>
    </row>
    <row r="25" spans="1:13" ht="9">
      <c r="A25" s="71" t="s">
        <v>46</v>
      </c>
      <c r="B25" s="41" t="s">
        <v>47</v>
      </c>
      <c r="C25" s="41" t="s">
        <v>17</v>
      </c>
      <c r="D25" s="100">
        <f>D24/(1-D26)</f>
        <v>3.5501858736059475</v>
      </c>
      <c r="E25" s="101" t="s">
        <v>72</v>
      </c>
      <c r="F25" s="4"/>
      <c r="G25" s="4"/>
      <c r="H25" s="56"/>
      <c r="I25" s="56"/>
      <c r="J25" s="93"/>
      <c r="K25" s="94"/>
      <c r="L25" s="41"/>
      <c r="M25" s="98"/>
    </row>
    <row r="26" spans="1:13" ht="9">
      <c r="A26" s="71" t="s">
        <v>42</v>
      </c>
      <c r="B26" s="41" t="s">
        <v>43</v>
      </c>
      <c r="C26" s="41" t="s">
        <v>12</v>
      </c>
      <c r="D26" s="99">
        <v>0.462</v>
      </c>
      <c r="E26" s="3" t="s">
        <v>75</v>
      </c>
      <c r="H26" s="102"/>
      <c r="I26" s="102"/>
      <c r="J26" s="93"/>
      <c r="K26" s="94"/>
      <c r="L26" s="94"/>
      <c r="M26" s="91"/>
    </row>
    <row r="27" spans="1:13" s="4" customFormat="1" ht="9">
      <c r="A27" s="71" t="s">
        <v>18</v>
      </c>
      <c r="B27" s="41" t="s">
        <v>19</v>
      </c>
      <c r="C27" s="41" t="s">
        <v>20</v>
      </c>
      <c r="D27" s="103">
        <v>0</v>
      </c>
      <c r="E27" s="3" t="s">
        <v>75</v>
      </c>
      <c r="F27" s="3"/>
      <c r="G27" s="3"/>
      <c r="H27" s="102"/>
      <c r="I27" s="102"/>
      <c r="J27" s="104"/>
      <c r="K27" s="105"/>
      <c r="L27" s="105"/>
      <c r="M27" s="34"/>
    </row>
    <row r="28" spans="1:13" ht="9">
      <c r="A28" s="71" t="s">
        <v>21</v>
      </c>
      <c r="B28" s="41" t="s">
        <v>22</v>
      </c>
      <c r="C28" s="41" t="s">
        <v>23</v>
      </c>
      <c r="D28" s="106">
        <v>15700000</v>
      </c>
      <c r="E28" s="3" t="s">
        <v>75</v>
      </c>
      <c r="H28" s="107"/>
      <c r="I28" s="107"/>
      <c r="J28" s="108"/>
      <c r="K28" s="109"/>
      <c r="L28" s="109"/>
      <c r="M28" s="34"/>
    </row>
    <row r="29" spans="1:13" ht="9">
      <c r="A29" s="71" t="s">
        <v>24</v>
      </c>
      <c r="B29" s="41" t="s">
        <v>25</v>
      </c>
      <c r="C29" s="41" t="s">
        <v>6</v>
      </c>
      <c r="D29" s="110">
        <f>0.1*D19</f>
        <v>3170</v>
      </c>
      <c r="E29" s="111" t="s">
        <v>78</v>
      </c>
      <c r="F29" s="4"/>
      <c r="G29" s="4"/>
      <c r="H29" s="112"/>
      <c r="I29" s="112"/>
      <c r="J29" s="87"/>
      <c r="K29" s="88"/>
      <c r="L29" s="88"/>
      <c r="M29" s="43"/>
    </row>
    <row r="30" spans="1:13" ht="9">
      <c r="A30" s="71" t="s">
        <v>83</v>
      </c>
      <c r="B30" s="41" t="s">
        <v>85</v>
      </c>
      <c r="C30" s="41" t="s">
        <v>6</v>
      </c>
      <c r="D30" s="110">
        <f>0.33*D29</f>
        <v>1046.1000000000001</v>
      </c>
      <c r="E30" s="111" t="s">
        <v>78</v>
      </c>
      <c r="F30" s="4"/>
      <c r="G30" s="4"/>
      <c r="H30" s="112"/>
      <c r="I30" s="112"/>
      <c r="J30" s="87"/>
      <c r="K30" s="88"/>
      <c r="L30" s="88"/>
      <c r="M30" s="43"/>
    </row>
    <row r="31" spans="1:13" ht="9">
      <c r="A31" s="71" t="s">
        <v>84</v>
      </c>
      <c r="B31" s="41" t="s">
        <v>86</v>
      </c>
      <c r="C31" s="41" t="s">
        <v>6</v>
      </c>
      <c r="D31" s="113">
        <f>0.0025*D29</f>
        <v>7.925</v>
      </c>
      <c r="E31" s="111" t="s">
        <v>78</v>
      </c>
      <c r="F31" s="4"/>
      <c r="G31" s="4"/>
      <c r="H31" s="112"/>
      <c r="I31" s="112"/>
      <c r="J31" s="87"/>
      <c r="K31" s="88"/>
      <c r="L31" s="88"/>
      <c r="M31" s="43"/>
    </row>
    <row r="32" spans="1:13" ht="9">
      <c r="A32" s="71" t="s">
        <v>26</v>
      </c>
      <c r="B32" s="41" t="s">
        <v>27</v>
      </c>
      <c r="C32" s="41" t="s">
        <v>28</v>
      </c>
      <c r="D32" s="34">
        <f>D23*D29</f>
        <v>24126934.256756756</v>
      </c>
      <c r="E32" s="101" t="s">
        <v>72</v>
      </c>
      <c r="H32" s="107"/>
      <c r="I32" s="107"/>
      <c r="J32" s="108"/>
      <c r="K32" s="109"/>
      <c r="L32" s="109"/>
      <c r="M32" s="34"/>
    </row>
    <row r="33" spans="1:13" ht="9">
      <c r="A33" s="114" t="s">
        <v>29</v>
      </c>
      <c r="B33" s="115" t="s">
        <v>30</v>
      </c>
      <c r="C33" s="115" t="s">
        <v>31</v>
      </c>
      <c r="D33" s="116">
        <f>1+(D24*D27/D22)</f>
        <v>1</v>
      </c>
      <c r="E33" s="101" t="s">
        <v>72</v>
      </c>
      <c r="H33" s="102"/>
      <c r="I33" s="102"/>
      <c r="J33" s="93"/>
      <c r="K33" s="94"/>
      <c r="L33" s="94"/>
      <c r="M33" s="91"/>
    </row>
    <row r="34" spans="1:13" ht="9">
      <c r="A34" s="114" t="s">
        <v>32</v>
      </c>
      <c r="B34" s="115" t="s">
        <v>33</v>
      </c>
      <c r="C34" s="115" t="s">
        <v>9</v>
      </c>
      <c r="D34" s="117">
        <f>D23/D33</f>
        <v>7611.02027027027</v>
      </c>
      <c r="E34" s="101" t="s">
        <v>72</v>
      </c>
      <c r="H34" s="107"/>
      <c r="I34" s="107"/>
      <c r="J34" s="108"/>
      <c r="K34" s="109"/>
      <c r="L34" s="109"/>
      <c r="M34" s="34"/>
    </row>
    <row r="35" spans="1:13" ht="9">
      <c r="A35" s="114" t="s">
        <v>34</v>
      </c>
      <c r="B35" s="115" t="s">
        <v>35</v>
      </c>
      <c r="C35" s="115" t="s">
        <v>28</v>
      </c>
      <c r="D35" s="117">
        <f>D32/D33</f>
        <v>24126934.256756756</v>
      </c>
      <c r="E35" s="101" t="s">
        <v>72</v>
      </c>
      <c r="H35" s="107"/>
      <c r="I35" s="107"/>
      <c r="J35" s="108"/>
      <c r="K35" s="109"/>
      <c r="L35" s="109"/>
      <c r="M35" s="34"/>
    </row>
    <row r="36" spans="1:13" s="4" customFormat="1" ht="9">
      <c r="A36" s="114" t="s">
        <v>36</v>
      </c>
      <c r="B36" s="115" t="s">
        <v>37</v>
      </c>
      <c r="C36" s="115" t="s">
        <v>38</v>
      </c>
      <c r="D36" s="117">
        <f>(-(LN(0.5)))/D28</f>
        <v>4.414950194649333E-08</v>
      </c>
      <c r="E36" s="101" t="s">
        <v>72</v>
      </c>
      <c r="F36" s="3"/>
      <c r="G36" s="3"/>
      <c r="H36" s="107"/>
      <c r="I36" s="107"/>
      <c r="J36" s="108"/>
      <c r="K36" s="109"/>
      <c r="L36" s="109"/>
      <c r="M36" s="34"/>
    </row>
    <row r="37" spans="1:13" ht="9.75" thickBot="1">
      <c r="A37" s="118" t="s">
        <v>39</v>
      </c>
      <c r="B37" s="119" t="s">
        <v>40</v>
      </c>
      <c r="C37" s="119" t="s">
        <v>23</v>
      </c>
      <c r="D37" s="120">
        <f>(SQRT(((D19*D34)^2)+(4*D36*D35*D19^2)+D35^2)-D35)/((4*D36*D35)+D34^2)</f>
        <v>3.769285030147964</v>
      </c>
      <c r="E37" s="47"/>
      <c r="F37" s="121"/>
      <c r="H37" s="102"/>
      <c r="I37" s="102"/>
      <c r="J37" s="122"/>
      <c r="K37" s="123"/>
      <c r="L37" s="123"/>
      <c r="M37" s="124"/>
    </row>
    <row r="38" spans="1:13" s="4" customFormat="1" ht="9.75" thickBot="1">
      <c r="A38" s="9"/>
      <c r="B38" s="56"/>
      <c r="C38" s="56"/>
      <c r="D38" s="102"/>
      <c r="E38" s="47"/>
      <c r="F38" s="121"/>
      <c r="H38" s="102"/>
      <c r="I38" s="102"/>
      <c r="J38" s="102"/>
      <c r="K38" s="102"/>
      <c r="L38" s="102"/>
      <c r="M38" s="102"/>
    </row>
    <row r="39" spans="1:13" s="4" customFormat="1" ht="9.75" thickBot="1">
      <c r="A39" s="8" t="s">
        <v>120</v>
      </c>
      <c r="B39" s="125"/>
      <c r="C39" s="125"/>
      <c r="D39" s="126"/>
      <c r="E39" s="47"/>
      <c r="F39" s="121"/>
      <c r="H39" s="102"/>
      <c r="I39" s="102"/>
      <c r="J39" s="102"/>
      <c r="K39" s="102"/>
      <c r="L39" s="102"/>
      <c r="M39" s="102"/>
    </row>
    <row r="40" spans="1:13" s="4" customFormat="1" ht="9">
      <c r="A40" s="158" t="s">
        <v>107</v>
      </c>
      <c r="B40" s="159" t="s">
        <v>108</v>
      </c>
      <c r="C40" s="159" t="s">
        <v>58</v>
      </c>
      <c r="D40" s="160">
        <f>D12/D21*D9</f>
        <v>2.875752259029621E-06</v>
      </c>
      <c r="E40" s="101" t="s">
        <v>72</v>
      </c>
      <c r="F40" s="3"/>
      <c r="G40" s="3"/>
      <c r="H40" s="107"/>
      <c r="I40" s="107"/>
      <c r="J40" s="127"/>
      <c r="K40" s="128"/>
      <c r="L40" s="128"/>
      <c r="M40" s="129"/>
    </row>
    <row r="41" spans="1:13" s="4" customFormat="1" ht="9">
      <c r="A41" s="114" t="s">
        <v>110</v>
      </c>
      <c r="B41" s="115" t="s">
        <v>112</v>
      </c>
      <c r="C41" s="115" t="s">
        <v>111</v>
      </c>
      <c r="D41" s="130">
        <f>D40/D20</f>
        <v>4.40877009879644E-07</v>
      </c>
      <c r="E41" s="101" t="s">
        <v>114</v>
      </c>
      <c r="F41" s="3"/>
      <c r="G41" s="3"/>
      <c r="H41" s="107"/>
      <c r="I41" s="107"/>
      <c r="J41" s="108"/>
      <c r="K41" s="109"/>
      <c r="L41" s="109"/>
      <c r="M41" s="34"/>
    </row>
    <row r="42" spans="1:13" s="4" customFormat="1" ht="9">
      <c r="A42" s="114" t="s">
        <v>113</v>
      </c>
      <c r="B42" s="115" t="s">
        <v>57</v>
      </c>
      <c r="C42" s="115" t="s">
        <v>58</v>
      </c>
      <c r="D42" s="117">
        <f>D10</f>
        <v>6.174103877103145</v>
      </c>
      <c r="E42" s="9" t="s">
        <v>115</v>
      </c>
      <c r="F42" s="3"/>
      <c r="G42" s="3"/>
      <c r="H42" s="107"/>
      <c r="I42" s="107"/>
      <c r="J42" s="108"/>
      <c r="K42" s="109"/>
      <c r="L42" s="109"/>
      <c r="M42" s="34"/>
    </row>
    <row r="43" spans="1:13" s="4" customFormat="1" ht="9">
      <c r="A43" s="114" t="s">
        <v>107</v>
      </c>
      <c r="B43" s="115" t="s">
        <v>108</v>
      </c>
      <c r="C43" s="115" t="s">
        <v>58</v>
      </c>
      <c r="D43" s="117">
        <f>D20</f>
        <v>6.522799317239697</v>
      </c>
      <c r="E43" s="9" t="s">
        <v>116</v>
      </c>
      <c r="F43" s="3"/>
      <c r="G43" s="3"/>
      <c r="H43" s="107"/>
      <c r="I43" s="107"/>
      <c r="J43" s="108"/>
      <c r="K43" s="109"/>
      <c r="L43" s="109"/>
      <c r="M43" s="34"/>
    </row>
    <row r="44" spans="1:13" s="4" customFormat="1" ht="9.75" thickBot="1">
      <c r="A44" s="131" t="s">
        <v>113</v>
      </c>
      <c r="B44" s="132" t="s">
        <v>57</v>
      </c>
      <c r="C44" s="132" t="s">
        <v>58</v>
      </c>
      <c r="D44" s="133">
        <f>D41*D10</f>
        <v>2.7220204560235518E-06</v>
      </c>
      <c r="E44" s="9" t="s">
        <v>118</v>
      </c>
      <c r="F44" s="3"/>
      <c r="G44" s="3"/>
      <c r="H44" s="107"/>
      <c r="I44" s="107"/>
      <c r="J44" s="134"/>
      <c r="K44" s="135"/>
      <c r="L44" s="135"/>
      <c r="M44" s="46"/>
    </row>
    <row r="45" spans="5:6" ht="9.75" thickBot="1">
      <c r="E45" s="47"/>
      <c r="F45" s="121"/>
    </row>
    <row r="46" spans="1:13" ht="9">
      <c r="A46" s="8" t="s">
        <v>88</v>
      </c>
      <c r="B46" s="54"/>
      <c r="C46" s="54"/>
      <c r="D46" s="55"/>
      <c r="H46" s="16"/>
      <c r="I46" s="16"/>
      <c r="J46" s="16"/>
      <c r="K46" s="16"/>
      <c r="L46" s="16"/>
      <c r="M46" s="16"/>
    </row>
    <row r="47" spans="1:13" ht="9.75" thickBot="1">
      <c r="A47" s="118" t="s">
        <v>0</v>
      </c>
      <c r="B47" s="119" t="s">
        <v>1</v>
      </c>
      <c r="C47" s="119" t="s">
        <v>2</v>
      </c>
      <c r="D47" s="136" t="s">
        <v>3</v>
      </c>
      <c r="H47" s="16"/>
      <c r="I47" s="16"/>
      <c r="J47" s="56"/>
      <c r="K47" s="56"/>
      <c r="L47" s="56"/>
      <c r="M47" s="56"/>
    </row>
    <row r="48" spans="1:13" ht="9">
      <c r="A48" s="137" t="s">
        <v>89</v>
      </c>
      <c r="B48" s="138" t="s">
        <v>93</v>
      </c>
      <c r="C48" s="138" t="s">
        <v>97</v>
      </c>
      <c r="D48" s="139">
        <v>2.5</v>
      </c>
      <c r="E48" s="140" t="s">
        <v>78</v>
      </c>
      <c r="I48" s="11"/>
      <c r="J48" s="141"/>
      <c r="K48" s="138"/>
      <c r="L48" s="138"/>
      <c r="M48" s="142"/>
    </row>
    <row r="49" spans="1:13" ht="9">
      <c r="A49" s="114" t="s">
        <v>90</v>
      </c>
      <c r="B49" s="143" t="s">
        <v>94</v>
      </c>
      <c r="C49" s="143" t="s">
        <v>82</v>
      </c>
      <c r="D49" s="144">
        <v>1</v>
      </c>
      <c r="E49" s="3" t="s">
        <v>72</v>
      </c>
      <c r="F49" s="3" t="s">
        <v>104</v>
      </c>
      <c r="I49" s="11"/>
      <c r="J49" s="145"/>
      <c r="K49" s="143"/>
      <c r="L49" s="143"/>
      <c r="M49" s="146"/>
    </row>
    <row r="50" spans="1:13" ht="9">
      <c r="A50" s="114" t="s">
        <v>56</v>
      </c>
      <c r="B50" s="143" t="s">
        <v>95</v>
      </c>
      <c r="C50" s="143" t="s">
        <v>82</v>
      </c>
      <c r="D50" s="144">
        <v>1</v>
      </c>
      <c r="E50" s="3" t="s">
        <v>72</v>
      </c>
      <c r="F50" s="3" t="s">
        <v>104</v>
      </c>
      <c r="I50" s="11"/>
      <c r="J50" s="145"/>
      <c r="K50" s="143"/>
      <c r="L50" s="143"/>
      <c r="M50" s="146"/>
    </row>
    <row r="51" spans="1:13" ht="9">
      <c r="A51" s="114" t="s">
        <v>91</v>
      </c>
      <c r="B51" s="143" t="s">
        <v>96</v>
      </c>
      <c r="C51" s="143" t="s">
        <v>98</v>
      </c>
      <c r="D51" s="144">
        <v>1</v>
      </c>
      <c r="E51" s="3" t="s">
        <v>72</v>
      </c>
      <c r="F51" s="3" t="s">
        <v>100</v>
      </c>
      <c r="I51" s="11"/>
      <c r="J51" s="145"/>
      <c r="K51" s="143"/>
      <c r="L51" s="143"/>
      <c r="M51" s="146"/>
    </row>
    <row r="52" spans="1:13" ht="9.75" thickBot="1">
      <c r="A52" s="131" t="s">
        <v>92</v>
      </c>
      <c r="B52" s="147" t="s">
        <v>62</v>
      </c>
      <c r="C52" s="147" t="s">
        <v>99</v>
      </c>
      <c r="D52" s="7">
        <v>2.5</v>
      </c>
      <c r="E52" s="3" t="s">
        <v>75</v>
      </c>
      <c r="I52" s="11"/>
      <c r="J52" s="148"/>
      <c r="K52" s="147"/>
      <c r="L52" s="147"/>
      <c r="M52" s="149"/>
    </row>
    <row r="53" spans="2:9" ht="9">
      <c r="B53" s="3"/>
      <c r="C53" s="3"/>
      <c r="D53" s="3"/>
      <c r="I53" s="11"/>
    </row>
    <row r="54" spans="5:9" ht="9">
      <c r="E54" s="2"/>
      <c r="F54" s="2"/>
      <c r="G54" s="2"/>
      <c r="H54" s="11"/>
      <c r="I54" s="11"/>
    </row>
    <row r="55" spans="5:9" ht="9">
      <c r="E55" s="2"/>
      <c r="F55" s="2"/>
      <c r="G55" s="2"/>
      <c r="H55" s="11"/>
      <c r="I55" s="11"/>
    </row>
    <row r="56" spans="5:9" ht="9">
      <c r="E56" s="2"/>
      <c r="F56" s="2"/>
      <c r="G56" s="2"/>
      <c r="H56" s="11"/>
      <c r="I56" s="11"/>
    </row>
    <row r="57" spans="5:9" ht="9">
      <c r="E57" s="2"/>
      <c r="F57" s="2"/>
      <c r="G57" s="2"/>
      <c r="H57" s="11"/>
      <c r="I57" s="11"/>
    </row>
    <row r="58" spans="5:9" ht="9">
      <c r="E58" s="2"/>
      <c r="F58" s="2"/>
      <c r="G58" s="2"/>
      <c r="H58" s="11"/>
      <c r="I58" s="11"/>
    </row>
    <row r="59" spans="5:9" ht="9">
      <c r="E59" s="2"/>
      <c r="F59" s="2"/>
      <c r="G59" s="2"/>
      <c r="H59" s="11"/>
      <c r="I59" s="11"/>
    </row>
  </sheetData>
  <mergeCells count="2">
    <mergeCell ref="A3:D3"/>
    <mergeCell ref="J1:M1"/>
  </mergeCells>
  <printOptions gridLines="1"/>
  <pageMargins left="0.2" right="0.2" top="0.23" bottom="0.41" header="0.17" footer="0.16"/>
  <pageSetup horizontalDpi="300" verticalDpi="3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25">
      <selection activeCell="E48" sqref="E48"/>
    </sheetView>
  </sheetViews>
  <sheetFormatPr defaultColWidth="9.140625" defaultRowHeight="12.75"/>
  <cols>
    <col min="1" max="1" width="32.421875" style="211" customWidth="1"/>
    <col min="2" max="4" width="8.421875" style="166" customWidth="1"/>
    <col min="5" max="5" width="10.8515625" style="167" customWidth="1"/>
    <col min="6" max="6" width="29.8515625" style="168" customWidth="1"/>
    <col min="7" max="7" width="7.140625" style="166" customWidth="1"/>
    <col min="8" max="8" width="5.8515625" style="166" customWidth="1"/>
    <col min="9" max="16384" width="9.140625" style="167" customWidth="1"/>
  </cols>
  <sheetData>
    <row r="1" ht="11.25">
      <c r="A1" s="165" t="s">
        <v>121</v>
      </c>
    </row>
    <row r="2" ht="12" thickBot="1">
      <c r="A2" s="165" t="s">
        <v>168</v>
      </c>
    </row>
    <row r="3" spans="1:7" ht="12" thickBot="1">
      <c r="A3" s="169" t="s">
        <v>0</v>
      </c>
      <c r="B3" s="170" t="s">
        <v>1</v>
      </c>
      <c r="C3" s="170" t="s">
        <v>2</v>
      </c>
      <c r="D3" s="171" t="s">
        <v>3</v>
      </c>
      <c r="E3" s="268" t="s">
        <v>122</v>
      </c>
      <c r="F3" s="269"/>
      <c r="G3" s="172"/>
    </row>
    <row r="4" spans="1:6" ht="11.25">
      <c r="A4" s="270" t="s">
        <v>195</v>
      </c>
      <c r="B4" s="271"/>
      <c r="C4" s="271"/>
      <c r="D4" s="271"/>
      <c r="E4" s="271"/>
      <c r="F4" s="272"/>
    </row>
    <row r="5" spans="1:6" ht="11.25">
      <c r="A5" s="174" t="s">
        <v>158</v>
      </c>
      <c r="B5" s="175" t="s">
        <v>149</v>
      </c>
      <c r="C5" s="175" t="s">
        <v>147</v>
      </c>
      <c r="D5" s="258">
        <f>D7*D17*1000000</f>
        <v>691239.3032276599</v>
      </c>
      <c r="E5" s="176" t="s">
        <v>72</v>
      </c>
      <c r="F5" s="177" t="s">
        <v>176</v>
      </c>
    </row>
    <row r="6" spans="1:6" ht="11.25">
      <c r="A6" s="174" t="s">
        <v>150</v>
      </c>
      <c r="B6" s="175" t="s">
        <v>151</v>
      </c>
      <c r="C6" s="175" t="s">
        <v>147</v>
      </c>
      <c r="D6" s="226">
        <f>D8*D9*D17*1000000</f>
        <v>171098.8374325891</v>
      </c>
      <c r="E6" s="176" t="s">
        <v>72</v>
      </c>
      <c r="F6" s="177" t="s">
        <v>163</v>
      </c>
    </row>
    <row r="7" spans="1:6" ht="11.25">
      <c r="A7" s="174" t="s">
        <v>159</v>
      </c>
      <c r="B7" s="175" t="s">
        <v>160</v>
      </c>
      <c r="C7" s="175" t="s">
        <v>17</v>
      </c>
      <c r="D7" s="226">
        <f>D8*D9*D12</f>
        <v>1.4544E-05</v>
      </c>
      <c r="E7" s="176" t="s">
        <v>72</v>
      </c>
      <c r="F7" s="177" t="s">
        <v>194</v>
      </c>
    </row>
    <row r="8" spans="1:8" ht="11.25">
      <c r="A8" s="174" t="s">
        <v>164</v>
      </c>
      <c r="B8" s="175" t="s">
        <v>161</v>
      </c>
      <c r="C8" s="175" t="s">
        <v>17</v>
      </c>
      <c r="D8" s="229">
        <f>G8/1000/1000</f>
        <v>1.2E-05</v>
      </c>
      <c r="E8" s="176" t="s">
        <v>75</v>
      </c>
      <c r="F8" s="177" t="s">
        <v>162</v>
      </c>
      <c r="G8" s="190">
        <v>12</v>
      </c>
      <c r="H8" s="166" t="s">
        <v>173</v>
      </c>
    </row>
    <row r="9" spans="1:7" ht="11.25">
      <c r="A9" s="174" t="s">
        <v>157</v>
      </c>
      <c r="B9" s="175" t="s">
        <v>152</v>
      </c>
      <c r="C9" s="175" t="s">
        <v>12</v>
      </c>
      <c r="D9" s="230">
        <v>0.3</v>
      </c>
      <c r="E9" s="176" t="s">
        <v>75</v>
      </c>
      <c r="F9" s="177"/>
      <c r="G9" s="190"/>
    </row>
    <row r="10" spans="1:7" ht="11.25">
      <c r="A10" s="174" t="s">
        <v>15</v>
      </c>
      <c r="B10" s="175" t="s">
        <v>16</v>
      </c>
      <c r="C10" s="175" t="s">
        <v>17</v>
      </c>
      <c r="D10" s="230">
        <v>1.6</v>
      </c>
      <c r="E10" s="176" t="s">
        <v>75</v>
      </c>
      <c r="F10" s="177"/>
      <c r="G10" s="190"/>
    </row>
    <row r="11" spans="1:7" ht="11.25">
      <c r="A11" s="174" t="s">
        <v>18</v>
      </c>
      <c r="B11" s="175" t="s">
        <v>19</v>
      </c>
      <c r="C11" s="175" t="s">
        <v>20</v>
      </c>
      <c r="D11" s="230">
        <v>0.57</v>
      </c>
      <c r="E11" s="176" t="s">
        <v>75</v>
      </c>
      <c r="F11" s="177"/>
      <c r="G11" s="231"/>
    </row>
    <row r="12" spans="1:7" ht="11.25">
      <c r="A12" s="174" t="s">
        <v>29</v>
      </c>
      <c r="B12" s="175" t="s">
        <v>30</v>
      </c>
      <c r="C12" s="178" t="s">
        <v>31</v>
      </c>
      <c r="D12" s="227">
        <f>1+(D10*D11)/D9</f>
        <v>4.04</v>
      </c>
      <c r="E12" s="176" t="s">
        <v>72</v>
      </c>
      <c r="F12" s="177" t="s">
        <v>153</v>
      </c>
      <c r="G12" s="190"/>
    </row>
    <row r="13" spans="1:8" ht="11.25">
      <c r="A13" s="179" t="s">
        <v>55</v>
      </c>
      <c r="B13" s="180" t="s">
        <v>44</v>
      </c>
      <c r="C13" s="180" t="s">
        <v>58</v>
      </c>
      <c r="D13" s="162">
        <f>G13/3.2808</f>
        <v>37.00316995854669</v>
      </c>
      <c r="E13" s="176" t="s">
        <v>75</v>
      </c>
      <c r="F13" s="189" t="s">
        <v>145</v>
      </c>
      <c r="G13" s="190">
        <v>121.4</v>
      </c>
      <c r="H13" s="166" t="s">
        <v>82</v>
      </c>
    </row>
    <row r="14" spans="1:8" ht="11.25">
      <c r="A14" s="179" t="s">
        <v>56</v>
      </c>
      <c r="B14" s="180" t="s">
        <v>57</v>
      </c>
      <c r="C14" s="180" t="s">
        <v>58</v>
      </c>
      <c r="D14" s="162">
        <f>G14/3.2808</f>
        <v>213.362594489149</v>
      </c>
      <c r="E14" s="199" t="s">
        <v>75</v>
      </c>
      <c r="F14" s="189"/>
      <c r="G14" s="190">
        <v>700</v>
      </c>
      <c r="H14" s="166" t="s">
        <v>82</v>
      </c>
    </row>
    <row r="15" spans="1:8" ht="11.25">
      <c r="A15" s="179" t="s">
        <v>146</v>
      </c>
      <c r="B15" s="180" t="s">
        <v>108</v>
      </c>
      <c r="C15" s="180" t="s">
        <v>58</v>
      </c>
      <c r="D15" s="162">
        <f>G15/3.2808</f>
        <v>6.019873201658132</v>
      </c>
      <c r="E15" s="199" t="s">
        <v>75</v>
      </c>
      <c r="F15" s="189"/>
      <c r="G15" s="190">
        <v>19.75</v>
      </c>
      <c r="H15" s="166" t="s">
        <v>82</v>
      </c>
    </row>
    <row r="16" spans="1:7" ht="11.25">
      <c r="A16" s="179" t="s">
        <v>91</v>
      </c>
      <c r="B16" s="180" t="s">
        <v>96</v>
      </c>
      <c r="C16" s="180" t="s">
        <v>106</v>
      </c>
      <c r="D16" s="228">
        <f>D14*D15</f>
        <v>1284.4157648014789</v>
      </c>
      <c r="E16" s="199" t="s">
        <v>72</v>
      </c>
      <c r="F16" s="189" t="s">
        <v>180</v>
      </c>
      <c r="G16" s="190"/>
    </row>
    <row r="17" spans="1:7" ht="11.25">
      <c r="A17" s="179" t="s">
        <v>154</v>
      </c>
      <c r="B17" s="180" t="s">
        <v>155</v>
      </c>
      <c r="C17" s="180" t="s">
        <v>77</v>
      </c>
      <c r="D17" s="228">
        <f>D13*D14*D15</f>
        <v>47527.45484238586</v>
      </c>
      <c r="E17" s="199" t="s">
        <v>72</v>
      </c>
      <c r="F17" s="189" t="s">
        <v>156</v>
      </c>
      <c r="G17" s="190"/>
    </row>
    <row r="18" spans="1:7" ht="11.25">
      <c r="A18" s="179" t="s">
        <v>203</v>
      </c>
      <c r="B18" s="182" t="s">
        <v>45</v>
      </c>
      <c r="C18" s="182" t="s">
        <v>9</v>
      </c>
      <c r="D18" s="228">
        <f>D26</f>
        <v>317.5968547362318</v>
      </c>
      <c r="E18" s="176" t="s">
        <v>75</v>
      </c>
      <c r="F18" s="183" t="s">
        <v>174</v>
      </c>
      <c r="G18" s="190"/>
    </row>
    <row r="19" spans="1:7" ht="11.25">
      <c r="A19" s="184" t="s">
        <v>21</v>
      </c>
      <c r="B19" s="182" t="s">
        <v>139</v>
      </c>
      <c r="C19" s="182" t="s">
        <v>23</v>
      </c>
      <c r="D19" s="232">
        <v>10.7</v>
      </c>
      <c r="E19" s="199" t="s">
        <v>75</v>
      </c>
      <c r="F19" s="189"/>
      <c r="G19" s="190"/>
    </row>
    <row r="20" spans="1:8" s="191" customFormat="1" ht="11.25">
      <c r="A20" s="186" t="s">
        <v>204</v>
      </c>
      <c r="B20" s="187" t="s">
        <v>183</v>
      </c>
      <c r="C20" s="187" t="s">
        <v>38</v>
      </c>
      <c r="D20" s="217">
        <f>(-(LN(0.5)))/D19</f>
        <v>0.06478011033270517</v>
      </c>
      <c r="E20" s="188" t="s">
        <v>72</v>
      </c>
      <c r="F20" s="189" t="s">
        <v>186</v>
      </c>
      <c r="G20" s="190"/>
      <c r="H20" s="190"/>
    </row>
    <row r="21" spans="1:6" ht="11.25">
      <c r="A21" s="179" t="s">
        <v>166</v>
      </c>
      <c r="B21" s="180" t="s">
        <v>62</v>
      </c>
      <c r="C21" s="180" t="s">
        <v>63</v>
      </c>
      <c r="D21" s="228">
        <f>D18*D14*D15/100</f>
        <v>4079.2640707458136</v>
      </c>
      <c r="E21" s="176" t="s">
        <v>72</v>
      </c>
      <c r="F21" s="189" t="s">
        <v>167</v>
      </c>
    </row>
    <row r="22" spans="1:6" ht="12" thickBot="1">
      <c r="A22" s="235" t="s">
        <v>165</v>
      </c>
      <c r="B22" s="236" t="s">
        <v>65</v>
      </c>
      <c r="C22" s="236" t="s">
        <v>148</v>
      </c>
      <c r="D22" s="237">
        <f>D8*D21*1000000</f>
        <v>48951.16884894976</v>
      </c>
      <c r="E22" s="256" t="s">
        <v>72</v>
      </c>
      <c r="F22" s="257" t="s">
        <v>175</v>
      </c>
    </row>
    <row r="23" spans="1:6" ht="11.25">
      <c r="A23" s="173" t="s">
        <v>41</v>
      </c>
      <c r="B23" s="192"/>
      <c r="C23" s="192"/>
      <c r="D23" s="192"/>
      <c r="E23" s="192"/>
      <c r="F23" s="193"/>
    </row>
    <row r="24" spans="1:8" ht="11.25">
      <c r="A24" s="194" t="s">
        <v>4</v>
      </c>
      <c r="B24" s="196" t="s">
        <v>5</v>
      </c>
      <c r="C24" s="196" t="s">
        <v>6</v>
      </c>
      <c r="D24" s="250">
        <f>100*G24/3.2808</f>
        <v>1524.0185320653497</v>
      </c>
      <c r="E24" s="185" t="s">
        <v>75</v>
      </c>
      <c r="F24" s="181" t="s">
        <v>205</v>
      </c>
      <c r="G24" s="166">
        <v>50</v>
      </c>
      <c r="H24" s="166" t="s">
        <v>82</v>
      </c>
    </row>
    <row r="25" spans="1:8" ht="11.25">
      <c r="A25" s="184" t="s">
        <v>103</v>
      </c>
      <c r="B25" s="197" t="s">
        <v>109</v>
      </c>
      <c r="C25" s="209" t="s">
        <v>58</v>
      </c>
      <c r="D25" s="250">
        <f>G25/3.2808</f>
        <v>18.21202145818093</v>
      </c>
      <c r="E25" s="185" t="s">
        <v>75</v>
      </c>
      <c r="F25" s="181"/>
      <c r="G25" s="166">
        <f>40+G15</f>
        <v>59.75</v>
      </c>
      <c r="H25" s="166" t="s">
        <v>82</v>
      </c>
    </row>
    <row r="26" spans="1:6" ht="11.25">
      <c r="A26" s="184" t="s">
        <v>7</v>
      </c>
      <c r="B26" s="178" t="s">
        <v>8</v>
      </c>
      <c r="C26" s="178" t="s">
        <v>9</v>
      </c>
      <c r="D26" s="212">
        <f>D27*D28</f>
        <v>317.5968547362318</v>
      </c>
      <c r="E26" s="185" t="s">
        <v>72</v>
      </c>
      <c r="F26" s="181" t="s">
        <v>169</v>
      </c>
    </row>
    <row r="27" spans="1:6" ht="11.25">
      <c r="A27" s="184" t="s">
        <v>10</v>
      </c>
      <c r="B27" s="182" t="s">
        <v>124</v>
      </c>
      <c r="C27" s="182" t="s">
        <v>12</v>
      </c>
      <c r="D27" s="164">
        <v>0.3</v>
      </c>
      <c r="E27" s="185" t="s">
        <v>75</v>
      </c>
      <c r="F27" s="181"/>
    </row>
    <row r="28" spans="1:8" ht="11.25">
      <c r="A28" s="184" t="s">
        <v>13</v>
      </c>
      <c r="B28" s="182" t="s">
        <v>14</v>
      </c>
      <c r="C28" s="182" t="s">
        <v>9</v>
      </c>
      <c r="D28" s="251">
        <f>G28*365.25*12*2.54</f>
        <v>1058.656182454106</v>
      </c>
      <c r="E28" s="185" t="s">
        <v>75</v>
      </c>
      <c r="F28" s="181" t="s">
        <v>123</v>
      </c>
      <c r="G28" s="198">
        <v>0.0950932632032231</v>
      </c>
      <c r="H28" s="166" t="s">
        <v>179</v>
      </c>
    </row>
    <row r="29" spans="1:6" ht="11.25">
      <c r="A29" s="184" t="s">
        <v>15</v>
      </c>
      <c r="B29" s="182" t="s">
        <v>16</v>
      </c>
      <c r="C29" s="182" t="s">
        <v>17</v>
      </c>
      <c r="D29" s="164">
        <f>D10</f>
        <v>1.6</v>
      </c>
      <c r="E29" s="199" t="s">
        <v>75</v>
      </c>
      <c r="F29" s="181"/>
    </row>
    <row r="30" spans="1:6" ht="11.25">
      <c r="A30" s="184" t="s">
        <v>46</v>
      </c>
      <c r="B30" s="182" t="s">
        <v>125</v>
      </c>
      <c r="C30" s="182" t="s">
        <v>17</v>
      </c>
      <c r="D30" s="162">
        <f>D29/(1-D31)</f>
        <v>2.285714285714286</v>
      </c>
      <c r="E30" s="188" t="s">
        <v>72</v>
      </c>
      <c r="F30" s="181" t="s">
        <v>144</v>
      </c>
    </row>
    <row r="31" spans="1:6" ht="11.25">
      <c r="A31" s="184" t="s">
        <v>42</v>
      </c>
      <c r="B31" s="182" t="s">
        <v>43</v>
      </c>
      <c r="C31" s="182" t="s">
        <v>12</v>
      </c>
      <c r="D31" s="164">
        <v>0.3</v>
      </c>
      <c r="E31" s="185" t="s">
        <v>75</v>
      </c>
      <c r="F31" s="181" t="s">
        <v>126</v>
      </c>
    </row>
    <row r="32" spans="1:8" s="191" customFormat="1" ht="11.25">
      <c r="A32" s="184" t="s">
        <v>18</v>
      </c>
      <c r="B32" s="182" t="s">
        <v>19</v>
      </c>
      <c r="C32" s="182" t="s">
        <v>20</v>
      </c>
      <c r="D32" s="164">
        <v>0.57</v>
      </c>
      <c r="E32" s="199" t="s">
        <v>75</v>
      </c>
      <c r="F32" s="189"/>
      <c r="G32" s="190"/>
      <c r="H32" s="190"/>
    </row>
    <row r="33" spans="1:9" ht="11.25">
      <c r="A33" s="184" t="s">
        <v>21</v>
      </c>
      <c r="B33" s="182" t="s">
        <v>139</v>
      </c>
      <c r="C33" s="182" t="s">
        <v>23</v>
      </c>
      <c r="D33" s="251">
        <f>G33/365.25</f>
        <v>4.744333744010952</v>
      </c>
      <c r="E33" s="185" t="s">
        <v>75</v>
      </c>
      <c r="F33" s="181"/>
      <c r="G33" s="190">
        <v>1732.8679</v>
      </c>
      <c r="H33" s="166" t="s">
        <v>178</v>
      </c>
      <c r="I33" s="166"/>
    </row>
    <row r="34" spans="1:8" ht="11.25">
      <c r="A34" s="184" t="s">
        <v>24</v>
      </c>
      <c r="B34" s="182" t="s">
        <v>128</v>
      </c>
      <c r="C34" s="182" t="s">
        <v>6</v>
      </c>
      <c r="D34" s="250">
        <f>100*G34/3.2808</f>
        <v>609.6074128261399</v>
      </c>
      <c r="E34" s="200" t="s">
        <v>75</v>
      </c>
      <c r="F34" s="181"/>
      <c r="G34" s="166">
        <v>20</v>
      </c>
      <c r="H34" s="166" t="s">
        <v>82</v>
      </c>
    </row>
    <row r="35" spans="1:8" ht="11.25">
      <c r="A35" s="184" t="s">
        <v>83</v>
      </c>
      <c r="B35" s="182" t="s">
        <v>129</v>
      </c>
      <c r="C35" s="182" t="s">
        <v>6</v>
      </c>
      <c r="D35" s="250">
        <f>100*G35/3.2808</f>
        <v>60.960741282613995</v>
      </c>
      <c r="E35" s="200" t="s">
        <v>75</v>
      </c>
      <c r="F35" s="181"/>
      <c r="G35" s="166">
        <f>0.1*G34</f>
        <v>2</v>
      </c>
      <c r="H35" s="166" t="s">
        <v>82</v>
      </c>
    </row>
    <row r="36" spans="1:8" ht="11.25">
      <c r="A36" s="184" t="s">
        <v>84</v>
      </c>
      <c r="B36" s="182" t="s">
        <v>130</v>
      </c>
      <c r="C36" s="182" t="s">
        <v>6</v>
      </c>
      <c r="D36" s="250">
        <f>100*G36/3.2808</f>
        <v>6.0960741282613995</v>
      </c>
      <c r="E36" s="200" t="s">
        <v>75</v>
      </c>
      <c r="F36" s="181"/>
      <c r="G36" s="166">
        <f>0.01*G34</f>
        <v>0.2</v>
      </c>
      <c r="H36" s="166" t="s">
        <v>82</v>
      </c>
    </row>
    <row r="37" spans="1:8" s="191" customFormat="1" ht="12" thickBot="1">
      <c r="A37" s="265" t="s">
        <v>201</v>
      </c>
      <c r="B37" s="266"/>
      <c r="C37" s="266"/>
      <c r="D37" s="266"/>
      <c r="E37" s="266"/>
      <c r="F37" s="267"/>
      <c r="G37" s="190"/>
      <c r="H37" s="190"/>
    </row>
    <row r="38" spans="1:8" ht="11.25">
      <c r="A38" s="241" t="s">
        <v>197</v>
      </c>
      <c r="B38" s="242" t="s">
        <v>139</v>
      </c>
      <c r="C38" s="242" t="s">
        <v>23</v>
      </c>
      <c r="D38" s="243">
        <f>G38/365.25</f>
        <v>3.795482546201232</v>
      </c>
      <c r="E38" s="244" t="s">
        <v>75</v>
      </c>
      <c r="F38" s="245"/>
      <c r="G38" s="190">
        <v>1386.3</v>
      </c>
      <c r="H38" s="166" t="s">
        <v>178</v>
      </c>
    </row>
    <row r="39" spans="1:7" ht="11.25">
      <c r="A39" s="174" t="s">
        <v>198</v>
      </c>
      <c r="B39" s="175" t="s">
        <v>19</v>
      </c>
      <c r="C39" s="175" t="s">
        <v>20</v>
      </c>
      <c r="D39" s="230">
        <v>0.25</v>
      </c>
      <c r="E39" s="176" t="s">
        <v>75</v>
      </c>
      <c r="F39" s="177"/>
      <c r="G39" s="231"/>
    </row>
    <row r="40" spans="1:8" ht="11.25">
      <c r="A40" s="184" t="s">
        <v>199</v>
      </c>
      <c r="B40" s="182" t="s">
        <v>139</v>
      </c>
      <c r="C40" s="182" t="s">
        <v>23</v>
      </c>
      <c r="D40" s="232">
        <f>G40/365.25</f>
        <v>9.488569472963723</v>
      </c>
      <c r="E40" s="199" t="s">
        <v>75</v>
      </c>
      <c r="F40" s="189"/>
      <c r="G40" s="190">
        <v>3465.7</v>
      </c>
      <c r="H40" s="166" t="s">
        <v>178</v>
      </c>
    </row>
    <row r="41" spans="1:7" ht="12" thickBot="1">
      <c r="A41" s="246" t="s">
        <v>200</v>
      </c>
      <c r="B41" s="247" t="s">
        <v>19</v>
      </c>
      <c r="C41" s="247" t="s">
        <v>20</v>
      </c>
      <c r="D41" s="248">
        <v>0.17</v>
      </c>
      <c r="E41" s="249" t="s">
        <v>75</v>
      </c>
      <c r="F41" s="208"/>
      <c r="G41" s="231"/>
    </row>
  </sheetData>
  <mergeCells count="3">
    <mergeCell ref="A37:F37"/>
    <mergeCell ref="E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7"/>
  <sheetViews>
    <sheetView tabSelected="1" workbookViewId="0" topLeftCell="A22">
      <selection activeCell="K47" sqref="K47"/>
    </sheetView>
  </sheetViews>
  <sheetFormatPr defaultColWidth="9.140625" defaultRowHeight="12.75"/>
  <cols>
    <col min="1" max="1" width="32.421875" style="211" customWidth="1"/>
    <col min="2" max="4" width="8.421875" style="166" customWidth="1"/>
    <col min="5" max="5" width="10.8515625" style="167" customWidth="1"/>
    <col min="6" max="6" width="29.8515625" style="168" customWidth="1"/>
    <col min="7" max="7" width="7.140625" style="166" customWidth="1"/>
    <col min="8" max="8" width="5.8515625" style="166" customWidth="1"/>
    <col min="9" max="16384" width="9.140625" style="167" customWidth="1"/>
  </cols>
  <sheetData>
    <row r="1" ht="11.25">
      <c r="A1" s="165" t="s">
        <v>121</v>
      </c>
    </row>
    <row r="2" ht="12" thickBot="1">
      <c r="A2" s="165" t="s">
        <v>168</v>
      </c>
    </row>
    <row r="3" spans="1:7" ht="12" thickBot="1">
      <c r="A3" s="169" t="s">
        <v>0</v>
      </c>
      <c r="B3" s="170" t="s">
        <v>1</v>
      </c>
      <c r="C3" s="170" t="s">
        <v>2</v>
      </c>
      <c r="D3" s="171" t="s">
        <v>3</v>
      </c>
      <c r="E3" s="268" t="s">
        <v>122</v>
      </c>
      <c r="F3" s="269"/>
      <c r="G3" s="172"/>
    </row>
    <row r="4" spans="1:6" ht="11.25">
      <c r="A4" s="270" t="s">
        <v>195</v>
      </c>
      <c r="B4" s="271"/>
      <c r="C4" s="271"/>
      <c r="D4" s="271"/>
      <c r="E4" s="271"/>
      <c r="F4" s="272"/>
    </row>
    <row r="5" spans="1:6" ht="11.25">
      <c r="A5" s="174" t="s">
        <v>158</v>
      </c>
      <c r="B5" s="175" t="s">
        <v>149</v>
      </c>
      <c r="C5" s="175" t="s">
        <v>147</v>
      </c>
      <c r="D5" s="226">
        <f>D7*D17*1000000</f>
        <v>691239.3032276599</v>
      </c>
      <c r="E5" s="176" t="s">
        <v>72</v>
      </c>
      <c r="F5" s="177" t="s">
        <v>176</v>
      </c>
    </row>
    <row r="6" spans="1:6" ht="11.25">
      <c r="A6" s="174" t="s">
        <v>150</v>
      </c>
      <c r="B6" s="175" t="s">
        <v>151</v>
      </c>
      <c r="C6" s="175" t="s">
        <v>147</v>
      </c>
      <c r="D6" s="226">
        <f>D8*D9*D17*1000000</f>
        <v>171098.8374325891</v>
      </c>
      <c r="E6" s="176" t="s">
        <v>72</v>
      </c>
      <c r="F6" s="177" t="s">
        <v>163</v>
      </c>
    </row>
    <row r="7" spans="1:6" ht="11.25">
      <c r="A7" s="174" t="s">
        <v>159</v>
      </c>
      <c r="B7" s="175" t="s">
        <v>160</v>
      </c>
      <c r="C7" s="175" t="s">
        <v>17</v>
      </c>
      <c r="D7" s="226">
        <f>D8*D9*D12</f>
        <v>1.4544E-05</v>
      </c>
      <c r="E7" s="176" t="s">
        <v>72</v>
      </c>
      <c r="F7" s="177" t="s">
        <v>194</v>
      </c>
    </row>
    <row r="8" spans="1:8" ht="11.25">
      <c r="A8" s="174" t="s">
        <v>164</v>
      </c>
      <c r="B8" s="175" t="s">
        <v>161</v>
      </c>
      <c r="C8" s="175" t="s">
        <v>17</v>
      </c>
      <c r="D8" s="229">
        <f>G8/1000/1000</f>
        <v>1.2E-05</v>
      </c>
      <c r="E8" s="176" t="s">
        <v>75</v>
      </c>
      <c r="F8" s="177" t="s">
        <v>162</v>
      </c>
      <c r="G8" s="190">
        <v>12</v>
      </c>
      <c r="H8" s="166" t="s">
        <v>173</v>
      </c>
    </row>
    <row r="9" spans="1:7" ht="11.25">
      <c r="A9" s="174" t="s">
        <v>157</v>
      </c>
      <c r="B9" s="175" t="s">
        <v>152</v>
      </c>
      <c r="C9" s="175" t="s">
        <v>12</v>
      </c>
      <c r="D9" s="230">
        <v>0.3</v>
      </c>
      <c r="E9" s="176" t="s">
        <v>75</v>
      </c>
      <c r="F9" s="177"/>
      <c r="G9" s="190"/>
    </row>
    <row r="10" spans="1:7" ht="11.25">
      <c r="A10" s="174" t="s">
        <v>15</v>
      </c>
      <c r="B10" s="175" t="s">
        <v>16</v>
      </c>
      <c r="C10" s="175" t="s">
        <v>17</v>
      </c>
      <c r="D10" s="230">
        <v>1.6</v>
      </c>
      <c r="E10" s="176" t="s">
        <v>75</v>
      </c>
      <c r="F10" s="177"/>
      <c r="G10" s="190"/>
    </row>
    <row r="11" spans="1:7" ht="11.25">
      <c r="A11" s="174" t="s">
        <v>18</v>
      </c>
      <c r="B11" s="175" t="s">
        <v>19</v>
      </c>
      <c r="C11" s="175" t="s">
        <v>20</v>
      </c>
      <c r="D11" s="230">
        <v>0.57</v>
      </c>
      <c r="E11" s="176" t="s">
        <v>75</v>
      </c>
      <c r="F11" s="177"/>
      <c r="G11" s="231"/>
    </row>
    <row r="12" spans="1:7" ht="11.25">
      <c r="A12" s="174" t="s">
        <v>29</v>
      </c>
      <c r="B12" s="175" t="s">
        <v>30</v>
      </c>
      <c r="C12" s="178" t="s">
        <v>31</v>
      </c>
      <c r="D12" s="227">
        <f>1+(D10*D11)/D9</f>
        <v>4.04</v>
      </c>
      <c r="E12" s="176" t="s">
        <v>72</v>
      </c>
      <c r="F12" s="177" t="s">
        <v>153</v>
      </c>
      <c r="G12" s="190"/>
    </row>
    <row r="13" spans="1:8" ht="11.25">
      <c r="A13" s="179" t="s">
        <v>55</v>
      </c>
      <c r="B13" s="180" t="s">
        <v>44</v>
      </c>
      <c r="C13" s="180" t="s">
        <v>58</v>
      </c>
      <c r="D13" s="162">
        <f>G13/3.2808</f>
        <v>37.00316995854669</v>
      </c>
      <c r="E13" s="176" t="s">
        <v>75</v>
      </c>
      <c r="F13" s="189" t="s">
        <v>145</v>
      </c>
      <c r="G13" s="190">
        <v>121.4</v>
      </c>
      <c r="H13" s="166" t="s">
        <v>82</v>
      </c>
    </row>
    <row r="14" spans="1:8" ht="11.25">
      <c r="A14" s="179" t="s">
        <v>56</v>
      </c>
      <c r="B14" s="180" t="s">
        <v>57</v>
      </c>
      <c r="C14" s="180" t="s">
        <v>58</v>
      </c>
      <c r="D14" s="162">
        <f>G14/3.2808</f>
        <v>213.362594489149</v>
      </c>
      <c r="E14" s="199" t="s">
        <v>75</v>
      </c>
      <c r="F14" s="189"/>
      <c r="G14" s="190">
        <v>700</v>
      </c>
      <c r="H14" s="166" t="s">
        <v>82</v>
      </c>
    </row>
    <row r="15" spans="1:8" ht="11.25">
      <c r="A15" s="179" t="s">
        <v>146</v>
      </c>
      <c r="B15" s="180" t="s">
        <v>108</v>
      </c>
      <c r="C15" s="180" t="s">
        <v>58</v>
      </c>
      <c r="D15" s="162">
        <f>G15/3.2808</f>
        <v>6.019873201658132</v>
      </c>
      <c r="E15" s="199" t="s">
        <v>75</v>
      </c>
      <c r="F15" s="189"/>
      <c r="G15" s="190">
        <v>19.75</v>
      </c>
      <c r="H15" s="166" t="s">
        <v>82</v>
      </c>
    </row>
    <row r="16" spans="1:7" ht="11.25">
      <c r="A16" s="179" t="s">
        <v>91</v>
      </c>
      <c r="B16" s="180" t="s">
        <v>96</v>
      </c>
      <c r="C16" s="180" t="s">
        <v>106</v>
      </c>
      <c r="D16" s="228">
        <f>D14*D15</f>
        <v>1284.4157648014789</v>
      </c>
      <c r="E16" s="199" t="s">
        <v>72</v>
      </c>
      <c r="F16" s="189" t="s">
        <v>180</v>
      </c>
      <c r="G16" s="190"/>
    </row>
    <row r="17" spans="1:7" ht="11.25">
      <c r="A17" s="179" t="s">
        <v>154</v>
      </c>
      <c r="B17" s="180" t="s">
        <v>155</v>
      </c>
      <c r="C17" s="180" t="s">
        <v>77</v>
      </c>
      <c r="D17" s="228">
        <f>D13*D14*D15</f>
        <v>47527.45484238586</v>
      </c>
      <c r="E17" s="199" t="s">
        <v>72</v>
      </c>
      <c r="F17" s="189" t="s">
        <v>156</v>
      </c>
      <c r="G17" s="190"/>
    </row>
    <row r="18" spans="1:7" ht="11.25">
      <c r="A18" s="179" t="s">
        <v>203</v>
      </c>
      <c r="B18" s="182" t="s">
        <v>45</v>
      </c>
      <c r="C18" s="182" t="s">
        <v>9</v>
      </c>
      <c r="D18" s="228">
        <f>D31</f>
        <v>317.5968547362318</v>
      </c>
      <c r="E18" s="176" t="s">
        <v>75</v>
      </c>
      <c r="F18" s="183" t="s">
        <v>174</v>
      </c>
      <c r="G18" s="190"/>
    </row>
    <row r="19" spans="1:8" ht="11.25">
      <c r="A19" s="184" t="s">
        <v>21</v>
      </c>
      <c r="B19" s="182" t="s">
        <v>139</v>
      </c>
      <c r="C19" s="182" t="s">
        <v>23</v>
      </c>
      <c r="D19" s="232">
        <f>G19/365.25</f>
        <v>4.744333884736108</v>
      </c>
      <c r="E19" s="199" t="s">
        <v>75</v>
      </c>
      <c r="F19" s="189"/>
      <c r="G19" s="190">
        <f>-LN(0.5)/G20</f>
        <v>1732.8679513998632</v>
      </c>
      <c r="H19" s="166" t="s">
        <v>178</v>
      </c>
    </row>
    <row r="20" spans="1:8" s="191" customFormat="1" ht="11.25">
      <c r="A20" s="186" t="s">
        <v>36</v>
      </c>
      <c r="B20" s="187" t="s">
        <v>183</v>
      </c>
      <c r="C20" s="187" t="s">
        <v>38</v>
      </c>
      <c r="D20" s="217">
        <f>(-(LN(0.5)))/D19</f>
        <v>0.14609999999999998</v>
      </c>
      <c r="E20" s="188" t="s">
        <v>72</v>
      </c>
      <c r="F20" s="189" t="s">
        <v>186</v>
      </c>
      <c r="G20" s="190">
        <v>0.0004</v>
      </c>
      <c r="H20" s="190" t="s">
        <v>177</v>
      </c>
    </row>
    <row r="21" spans="1:8" s="191" customFormat="1" ht="11.25">
      <c r="A21" s="219" t="s">
        <v>181</v>
      </c>
      <c r="B21" s="220" t="s">
        <v>184</v>
      </c>
      <c r="C21" s="221" t="s">
        <v>38</v>
      </c>
      <c r="D21" s="222">
        <f>D18/D9/D12/D13/100</f>
        <v>0.07081652999240363</v>
      </c>
      <c r="E21" s="223" t="s">
        <v>72</v>
      </c>
      <c r="F21" s="224" t="s">
        <v>187</v>
      </c>
      <c r="G21" s="190"/>
      <c r="H21" s="190"/>
    </row>
    <row r="22" spans="1:8" s="191" customFormat="1" ht="11.25">
      <c r="A22" s="219" t="s">
        <v>182</v>
      </c>
      <c r="B22" s="220" t="s">
        <v>185</v>
      </c>
      <c r="C22" s="221" t="s">
        <v>38</v>
      </c>
      <c r="D22" s="225">
        <f>D20+D21</f>
        <v>0.21691652999240363</v>
      </c>
      <c r="E22" s="223" t="s">
        <v>72</v>
      </c>
      <c r="F22" s="224" t="s">
        <v>188</v>
      </c>
      <c r="G22" s="190"/>
      <c r="H22" s="190"/>
    </row>
    <row r="23" spans="1:8" s="191" customFormat="1" ht="11.25">
      <c r="A23" s="219" t="s">
        <v>189</v>
      </c>
      <c r="B23" s="220" t="s">
        <v>191</v>
      </c>
      <c r="C23" s="221" t="s">
        <v>38</v>
      </c>
      <c r="D23" s="225">
        <f>D20-D21</f>
        <v>0.07528347000759635</v>
      </c>
      <c r="E23" s="223" t="s">
        <v>72</v>
      </c>
      <c r="F23" s="224" t="s">
        <v>192</v>
      </c>
      <c r="G23" s="218" t="s">
        <v>196</v>
      </c>
      <c r="H23" s="190"/>
    </row>
    <row r="24" spans="1:8" s="191" customFormat="1" ht="11.25">
      <c r="A24" s="219" t="s">
        <v>190</v>
      </c>
      <c r="B24" s="221" t="s">
        <v>139</v>
      </c>
      <c r="C24" s="221" t="s">
        <v>23</v>
      </c>
      <c r="D24" s="225">
        <f>(-LN(0.5))/D23</f>
        <v>9.20716301320867</v>
      </c>
      <c r="E24" s="223" t="s">
        <v>72</v>
      </c>
      <c r="F24" s="224" t="s">
        <v>193</v>
      </c>
      <c r="G24" s="218" t="s">
        <v>202</v>
      </c>
      <c r="H24" s="190"/>
    </row>
    <row r="25" spans="1:6" ht="11.25">
      <c r="A25" s="179" t="s">
        <v>166</v>
      </c>
      <c r="B25" s="180" t="s">
        <v>62</v>
      </c>
      <c r="C25" s="180" t="s">
        <v>63</v>
      </c>
      <c r="D25" s="228">
        <f>D18*D14*D15/100</f>
        <v>4079.2640707458136</v>
      </c>
      <c r="E25" s="233" t="s">
        <v>72</v>
      </c>
      <c r="F25" s="234" t="s">
        <v>167</v>
      </c>
    </row>
    <row r="26" spans="1:6" ht="12" thickBot="1">
      <c r="A26" s="235" t="s">
        <v>165</v>
      </c>
      <c r="B26" s="236" t="s">
        <v>65</v>
      </c>
      <c r="C26" s="236" t="s">
        <v>148</v>
      </c>
      <c r="D26" s="237">
        <f>D8*D25*1000000</f>
        <v>48951.16884894976</v>
      </c>
      <c r="E26" s="238" t="s">
        <v>72</v>
      </c>
      <c r="F26" s="239" t="s">
        <v>175</v>
      </c>
    </row>
    <row r="27" spans="1:6" ht="11.25">
      <c r="A27" s="173" t="s">
        <v>41</v>
      </c>
      <c r="B27" s="192"/>
      <c r="C27" s="192"/>
      <c r="D27" s="192"/>
      <c r="E27" s="192"/>
      <c r="F27" s="193"/>
    </row>
    <row r="28" spans="1:6" ht="11.25">
      <c r="A28" s="194" t="s">
        <v>102</v>
      </c>
      <c r="B28" s="195"/>
      <c r="C28" s="254"/>
      <c r="D28" s="255"/>
      <c r="E28" s="185"/>
      <c r="F28" s="181"/>
    </row>
    <row r="29" spans="1:8" ht="11.25">
      <c r="A29" s="194" t="s">
        <v>4</v>
      </c>
      <c r="B29" s="196" t="s">
        <v>5</v>
      </c>
      <c r="C29" s="196" t="s">
        <v>6</v>
      </c>
      <c r="D29" s="250">
        <f>100*G29/3.2808</f>
        <v>1524.0185320653497</v>
      </c>
      <c r="E29" s="185" t="s">
        <v>75</v>
      </c>
      <c r="F29" s="181" t="s">
        <v>170</v>
      </c>
      <c r="G29" s="166">
        <v>50</v>
      </c>
      <c r="H29" s="166" t="s">
        <v>82</v>
      </c>
    </row>
    <row r="30" spans="1:8" ht="11.25">
      <c r="A30" s="184" t="s">
        <v>103</v>
      </c>
      <c r="B30" s="197" t="s">
        <v>109</v>
      </c>
      <c r="C30" s="209" t="s">
        <v>58</v>
      </c>
      <c r="D30" s="250">
        <f>G30/3.2808</f>
        <v>18.21202145818093</v>
      </c>
      <c r="E30" s="185" t="s">
        <v>75</v>
      </c>
      <c r="F30" s="181"/>
      <c r="G30" s="166">
        <f>40+G15</f>
        <v>59.75</v>
      </c>
      <c r="H30" s="166" t="s">
        <v>82</v>
      </c>
    </row>
    <row r="31" spans="1:6" ht="11.25">
      <c r="A31" s="184" t="s">
        <v>7</v>
      </c>
      <c r="B31" s="178" t="s">
        <v>8</v>
      </c>
      <c r="C31" s="178" t="s">
        <v>9</v>
      </c>
      <c r="D31" s="212">
        <f>D32*D33</f>
        <v>317.5968547362318</v>
      </c>
      <c r="E31" s="185" t="s">
        <v>72</v>
      </c>
      <c r="F31" s="181" t="s">
        <v>169</v>
      </c>
    </row>
    <row r="32" spans="1:6" ht="11.25">
      <c r="A32" s="184" t="s">
        <v>10</v>
      </c>
      <c r="B32" s="182" t="s">
        <v>124</v>
      </c>
      <c r="C32" s="182" t="s">
        <v>12</v>
      </c>
      <c r="D32" s="164">
        <v>0.3</v>
      </c>
      <c r="E32" s="185" t="s">
        <v>75</v>
      </c>
      <c r="F32" s="181"/>
    </row>
    <row r="33" spans="1:8" ht="11.25">
      <c r="A33" s="184" t="s">
        <v>13</v>
      </c>
      <c r="B33" s="182" t="s">
        <v>14</v>
      </c>
      <c r="C33" s="182" t="s">
        <v>9</v>
      </c>
      <c r="D33" s="251">
        <f>G33*365.25*12*2.54</f>
        <v>1058.656182454106</v>
      </c>
      <c r="E33" s="185" t="s">
        <v>75</v>
      </c>
      <c r="F33" s="181" t="s">
        <v>123</v>
      </c>
      <c r="G33" s="198">
        <v>0.0950932632032231</v>
      </c>
      <c r="H33" s="166" t="s">
        <v>179</v>
      </c>
    </row>
    <row r="34" spans="1:6" ht="11.25">
      <c r="A34" s="184" t="s">
        <v>15</v>
      </c>
      <c r="B34" s="182" t="s">
        <v>16</v>
      </c>
      <c r="C34" s="182" t="s">
        <v>17</v>
      </c>
      <c r="D34" s="164">
        <f>D10</f>
        <v>1.6</v>
      </c>
      <c r="E34" s="199" t="s">
        <v>75</v>
      </c>
      <c r="F34" s="181"/>
    </row>
    <row r="35" spans="1:6" ht="11.25">
      <c r="A35" s="184" t="s">
        <v>46</v>
      </c>
      <c r="B35" s="182" t="s">
        <v>125</v>
      </c>
      <c r="C35" s="182" t="s">
        <v>17</v>
      </c>
      <c r="D35" s="162">
        <f>D34/(1-D36)</f>
        <v>2.285714285714286</v>
      </c>
      <c r="E35" s="188" t="s">
        <v>72</v>
      </c>
      <c r="F35" s="181" t="s">
        <v>144</v>
      </c>
    </row>
    <row r="36" spans="1:6" ht="11.25">
      <c r="A36" s="184" t="s">
        <v>42</v>
      </c>
      <c r="B36" s="182" t="s">
        <v>43</v>
      </c>
      <c r="C36" s="182" t="s">
        <v>12</v>
      </c>
      <c r="D36" s="164">
        <v>0.3</v>
      </c>
      <c r="E36" s="185" t="s">
        <v>75</v>
      </c>
      <c r="F36" s="181" t="s">
        <v>126</v>
      </c>
    </row>
    <row r="37" spans="1:10" s="191" customFormat="1" ht="11.25">
      <c r="A37" s="184" t="s">
        <v>18</v>
      </c>
      <c r="B37" s="182" t="s">
        <v>19</v>
      </c>
      <c r="C37" s="182" t="s">
        <v>20</v>
      </c>
      <c r="D37" s="164">
        <v>0.57</v>
      </c>
      <c r="E37" s="199" t="s">
        <v>75</v>
      </c>
      <c r="F37" s="189"/>
      <c r="G37" s="276">
        <v>693.14718</v>
      </c>
      <c r="H37" s="277" t="s">
        <v>178</v>
      </c>
      <c r="I37" s="277" t="s">
        <v>207</v>
      </c>
      <c r="J37" s="278" t="s">
        <v>208</v>
      </c>
    </row>
    <row r="38" spans="1:10" ht="11.25">
      <c r="A38" s="184" t="s">
        <v>21</v>
      </c>
      <c r="B38" s="182" t="s">
        <v>139</v>
      </c>
      <c r="C38" s="182" t="s">
        <v>23</v>
      </c>
      <c r="D38" s="251">
        <f>G38/365.25</f>
        <v>4.744333744010952</v>
      </c>
      <c r="E38" s="185" t="s">
        <v>75</v>
      </c>
      <c r="F38" s="181"/>
      <c r="G38" s="279">
        <v>1732.8679</v>
      </c>
      <c r="H38" s="280" t="s">
        <v>178</v>
      </c>
      <c r="I38" s="280" t="s">
        <v>206</v>
      </c>
      <c r="J38" s="281" t="s">
        <v>209</v>
      </c>
    </row>
    <row r="39" spans="1:8" ht="11.25">
      <c r="A39" s="184" t="s">
        <v>24</v>
      </c>
      <c r="B39" s="182" t="s">
        <v>128</v>
      </c>
      <c r="C39" s="182" t="s">
        <v>6</v>
      </c>
      <c r="D39" s="250">
        <f>100*G39/3.2808</f>
        <v>609.6074128261399</v>
      </c>
      <c r="E39" s="200" t="s">
        <v>75</v>
      </c>
      <c r="F39" s="181"/>
      <c r="G39" s="166">
        <v>20</v>
      </c>
      <c r="H39" s="166" t="s">
        <v>82</v>
      </c>
    </row>
    <row r="40" spans="1:8" ht="11.25">
      <c r="A40" s="184" t="s">
        <v>83</v>
      </c>
      <c r="B40" s="182" t="s">
        <v>129</v>
      </c>
      <c r="C40" s="182" t="s">
        <v>6</v>
      </c>
      <c r="D40" s="250">
        <f>100*G40/3.2808</f>
        <v>60.960741282613995</v>
      </c>
      <c r="E40" s="200" t="s">
        <v>75</v>
      </c>
      <c r="F40" s="181"/>
      <c r="G40" s="166">
        <f>0.1*G39</f>
        <v>2</v>
      </c>
      <c r="H40" s="166" t="s">
        <v>82</v>
      </c>
    </row>
    <row r="41" spans="1:8" ht="11.25">
      <c r="A41" s="184" t="s">
        <v>84</v>
      </c>
      <c r="B41" s="182" t="s">
        <v>130</v>
      </c>
      <c r="C41" s="182" t="s">
        <v>6</v>
      </c>
      <c r="D41" s="250">
        <f>100*G41/3.2808</f>
        <v>6.0960741282613995</v>
      </c>
      <c r="E41" s="200" t="s">
        <v>75</v>
      </c>
      <c r="F41" s="181"/>
      <c r="G41" s="166">
        <f>0.01*G39</f>
        <v>0.2</v>
      </c>
      <c r="H41" s="166" t="s">
        <v>82</v>
      </c>
    </row>
    <row r="42" spans="1:6" ht="11.25">
      <c r="A42" s="184" t="s">
        <v>26</v>
      </c>
      <c r="B42" s="182" t="s">
        <v>136</v>
      </c>
      <c r="C42" s="182" t="s">
        <v>28</v>
      </c>
      <c r="D42" s="213">
        <f>D33*D39</f>
        <v>645364.6564582456</v>
      </c>
      <c r="E42" s="188" t="s">
        <v>72</v>
      </c>
      <c r="F42" s="181" t="s">
        <v>127</v>
      </c>
    </row>
    <row r="43" spans="1:6" ht="11.25">
      <c r="A43" s="186" t="s">
        <v>29</v>
      </c>
      <c r="B43" s="187" t="s">
        <v>30</v>
      </c>
      <c r="C43" s="187" t="s">
        <v>31</v>
      </c>
      <c r="D43" s="201">
        <f>1+(D34*D37/D32)</f>
        <v>4.04</v>
      </c>
      <c r="E43" s="188" t="s">
        <v>72</v>
      </c>
      <c r="F43" s="181" t="s">
        <v>131</v>
      </c>
    </row>
    <row r="44" spans="1:6" ht="11.25">
      <c r="A44" s="186" t="s">
        <v>32</v>
      </c>
      <c r="B44" s="187" t="s">
        <v>132</v>
      </c>
      <c r="C44" s="187" t="s">
        <v>9</v>
      </c>
      <c r="D44" s="161">
        <f>D33/D43</f>
        <v>262.0436095183431</v>
      </c>
      <c r="E44" s="188" t="s">
        <v>72</v>
      </c>
      <c r="F44" s="181" t="s">
        <v>133</v>
      </c>
    </row>
    <row r="45" spans="1:6" ht="11.25">
      <c r="A45" s="186" t="s">
        <v>134</v>
      </c>
      <c r="B45" s="187" t="s">
        <v>135</v>
      </c>
      <c r="C45" s="187" t="s">
        <v>28</v>
      </c>
      <c r="D45" s="214">
        <f>D42/D43</f>
        <v>159743.72684610038</v>
      </c>
      <c r="E45" s="188" t="s">
        <v>72</v>
      </c>
      <c r="F45" s="181" t="s">
        <v>137</v>
      </c>
    </row>
    <row r="46" spans="1:8" s="191" customFormat="1" ht="11.25">
      <c r="A46" s="186" t="s">
        <v>36</v>
      </c>
      <c r="B46" s="187" t="s">
        <v>37</v>
      </c>
      <c r="C46" s="187" t="s">
        <v>38</v>
      </c>
      <c r="D46" s="161">
        <f>(-(LN(0.5)))/D38</f>
        <v>0.14610000433357903</v>
      </c>
      <c r="E46" s="188" t="s">
        <v>72</v>
      </c>
      <c r="F46" s="189" t="s">
        <v>138</v>
      </c>
      <c r="G46" s="190"/>
      <c r="H46" s="190"/>
    </row>
    <row r="47" spans="1:8" ht="11.25">
      <c r="A47" s="202" t="s">
        <v>39</v>
      </c>
      <c r="B47" s="203" t="s">
        <v>40</v>
      </c>
      <c r="C47" s="203" t="s">
        <v>23</v>
      </c>
      <c r="D47" s="215">
        <f>(SQRT(((D29*D44)^2)+(4*D46*D45*D29^2)+D45^2)-D45)/((4*D46*D45)+D44^2)</f>
        <v>2.9265304975667155</v>
      </c>
      <c r="E47" s="188" t="s">
        <v>72</v>
      </c>
      <c r="F47" s="181" t="s">
        <v>140</v>
      </c>
      <c r="G47" s="253"/>
      <c r="H47" s="190"/>
    </row>
    <row r="48" spans="1:8" s="191" customFormat="1" ht="11.25">
      <c r="A48" s="265" t="s">
        <v>120</v>
      </c>
      <c r="B48" s="266"/>
      <c r="C48" s="266"/>
      <c r="D48" s="266"/>
      <c r="E48" s="266"/>
      <c r="F48" s="267"/>
      <c r="G48" s="190"/>
      <c r="H48" s="190"/>
    </row>
    <row r="49" spans="1:8" s="191" customFormat="1" ht="11.25">
      <c r="A49" s="273" t="s">
        <v>172</v>
      </c>
      <c r="B49" s="274"/>
      <c r="C49" s="274"/>
      <c r="D49" s="274"/>
      <c r="E49" s="274"/>
      <c r="F49" s="275"/>
      <c r="G49" s="190"/>
      <c r="H49" s="190"/>
    </row>
    <row r="50" spans="1:8" s="191" customFormat="1" ht="11.25">
      <c r="A50" s="186" t="s">
        <v>107</v>
      </c>
      <c r="B50" s="187" t="s">
        <v>108</v>
      </c>
      <c r="C50" s="187" t="s">
        <v>58</v>
      </c>
      <c r="D50" s="216">
        <f>D15</f>
        <v>6.019873201658132</v>
      </c>
      <c r="E50" s="204" t="s">
        <v>75</v>
      </c>
      <c r="F50" s="205" t="s">
        <v>171</v>
      </c>
      <c r="G50" s="190"/>
      <c r="H50" s="190"/>
    </row>
    <row r="51" spans="1:8" s="191" customFormat="1" ht="11.25">
      <c r="A51" s="186" t="s">
        <v>110</v>
      </c>
      <c r="B51" s="187" t="s">
        <v>141</v>
      </c>
      <c r="C51" s="187" t="s">
        <v>111</v>
      </c>
      <c r="D51" s="163">
        <f>D15/D30</f>
        <v>0.3305439330543933</v>
      </c>
      <c r="E51" s="206" t="s">
        <v>72</v>
      </c>
      <c r="F51" s="189" t="s">
        <v>142</v>
      </c>
      <c r="G51" s="190"/>
      <c r="H51" s="190"/>
    </row>
    <row r="52" spans="1:8" s="191" customFormat="1" ht="12" thickBot="1">
      <c r="A52" s="210" t="s">
        <v>113</v>
      </c>
      <c r="B52" s="240" t="s">
        <v>57</v>
      </c>
      <c r="C52" s="240" t="s">
        <v>58</v>
      </c>
      <c r="D52" s="252">
        <f>D14</f>
        <v>213.362594489149</v>
      </c>
      <c r="E52" s="207" t="s">
        <v>143</v>
      </c>
      <c r="F52" s="208" t="s">
        <v>115</v>
      </c>
      <c r="G52" s="190"/>
      <c r="H52" s="190"/>
    </row>
    <row r="53" spans="1:8" s="191" customFormat="1" ht="12" thickBot="1">
      <c r="A53" s="265" t="s">
        <v>201</v>
      </c>
      <c r="B53" s="266"/>
      <c r="C53" s="266"/>
      <c r="D53" s="266"/>
      <c r="E53" s="266"/>
      <c r="F53" s="267"/>
      <c r="G53" s="190"/>
      <c r="H53" s="190"/>
    </row>
    <row r="54" spans="1:8" ht="11.25">
      <c r="A54" s="241" t="s">
        <v>197</v>
      </c>
      <c r="B54" s="242" t="s">
        <v>139</v>
      </c>
      <c r="C54" s="242" t="s">
        <v>23</v>
      </c>
      <c r="D54" s="243">
        <f>G54/365.25</f>
        <v>3.795482546201232</v>
      </c>
      <c r="E54" s="244" t="s">
        <v>75</v>
      </c>
      <c r="F54" s="245"/>
      <c r="G54" s="190">
        <v>1386.3</v>
      </c>
      <c r="H54" s="166" t="s">
        <v>178</v>
      </c>
    </row>
    <row r="55" spans="1:7" ht="11.25">
      <c r="A55" s="174" t="s">
        <v>198</v>
      </c>
      <c r="B55" s="175" t="s">
        <v>19</v>
      </c>
      <c r="C55" s="175" t="s">
        <v>20</v>
      </c>
      <c r="D55" s="230">
        <v>0.25</v>
      </c>
      <c r="E55" s="176" t="s">
        <v>75</v>
      </c>
      <c r="F55" s="177"/>
      <c r="G55" s="231"/>
    </row>
    <row r="56" spans="1:8" ht="11.25">
      <c r="A56" s="184" t="s">
        <v>199</v>
      </c>
      <c r="B56" s="182" t="s">
        <v>139</v>
      </c>
      <c r="C56" s="182" t="s">
        <v>23</v>
      </c>
      <c r="D56" s="232">
        <f>G56/365.25</f>
        <v>9.488569472963723</v>
      </c>
      <c r="E56" s="199" t="s">
        <v>75</v>
      </c>
      <c r="F56" s="189"/>
      <c r="G56" s="190">
        <v>3465.7</v>
      </c>
      <c r="H56" s="166" t="s">
        <v>178</v>
      </c>
    </row>
    <row r="57" spans="1:7" ht="12" thickBot="1">
      <c r="A57" s="246" t="s">
        <v>200</v>
      </c>
      <c r="B57" s="247" t="s">
        <v>19</v>
      </c>
      <c r="C57" s="247" t="s">
        <v>20</v>
      </c>
      <c r="D57" s="248">
        <v>0.17</v>
      </c>
      <c r="E57" s="249" t="s">
        <v>75</v>
      </c>
      <c r="F57" s="208"/>
      <c r="G57" s="231"/>
    </row>
  </sheetData>
  <mergeCells count="5">
    <mergeCell ref="A53:F53"/>
    <mergeCell ref="A49:F49"/>
    <mergeCell ref="E3:F3"/>
    <mergeCell ref="A4:F4"/>
    <mergeCell ref="A48:F48"/>
  </mergeCells>
  <printOptions gridLines="1"/>
  <pageMargins left="0.2" right="0.2" top="0.23" bottom="0.41" header="0.17" footer="0.16"/>
  <pageSetup horizontalDpi="300" verticalDpi="300" orientation="landscape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cp:lastPrinted>2007-10-31T16:12:00Z</cp:lastPrinted>
  <dcterms:created xsi:type="dcterms:W3CDTF">2006-11-16T22:36:14Z</dcterms:created>
  <dcterms:modified xsi:type="dcterms:W3CDTF">2007-11-02T16:31:50Z</dcterms:modified>
  <cp:category/>
  <cp:version/>
  <cp:contentType/>
  <cp:contentStatus/>
</cp:coreProperties>
</file>