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target chart" sheetId="1" r:id="rId1"/>
    <sheet name="computing backup" sheetId="2" r:id="rId2"/>
    <sheet name="Sheet3" sheetId="3" r:id="rId3"/>
  </sheets>
  <definedNames>
    <definedName name="_xlnm.Print_Area" localSheetId="1">'computing backup'!$A$2:$G$33</definedName>
    <definedName name="_xlnm.Print_Area" localSheetId="0">'target chart'!$A$80:$L$124</definedName>
  </definedNames>
  <calcPr fullCalcOnLoad="1"/>
</workbook>
</file>

<file path=xl/sharedStrings.xml><?xml version="1.0" encoding="utf-8"?>
<sst xmlns="http://schemas.openxmlformats.org/spreadsheetml/2006/main" count="281" uniqueCount="114">
  <si>
    <t>WBS</t>
  </si>
  <si>
    <t>Description</t>
  </si>
  <si>
    <t>FY03</t>
  </si>
  <si>
    <t>FY04</t>
  </si>
  <si>
    <t>FY05</t>
  </si>
  <si>
    <t>FY06</t>
  </si>
  <si>
    <t>FY07</t>
  </si>
  <si>
    <t>Computing</t>
  </si>
  <si>
    <t>3.10</t>
  </si>
  <si>
    <t>TRT</t>
  </si>
  <si>
    <t>Liquid Argon</t>
  </si>
  <si>
    <t>Tile</t>
  </si>
  <si>
    <t>Endcap Muon</t>
  </si>
  <si>
    <t>Trigger/DAQ</t>
  </si>
  <si>
    <t>Common Funds Cat. A</t>
  </si>
  <si>
    <t>Program Management</t>
  </si>
  <si>
    <t>Technical Coordination</t>
  </si>
  <si>
    <t>U.S. ATLAS Total M&amp;O Estimate</t>
  </si>
  <si>
    <t>Total M&amp;O</t>
  </si>
  <si>
    <t>Upgrades</t>
  </si>
  <si>
    <t>Silicon Upgrade R&amp;D</t>
  </si>
  <si>
    <t>Liquid Argon Upgrade R&amp;D</t>
  </si>
  <si>
    <t>Escalation Rate</t>
  </si>
  <si>
    <t>Management Reserve (%)</t>
  </si>
  <si>
    <t xml:space="preserve">Management Reserve </t>
  </si>
  <si>
    <t>Total U.S. ATLAS RP AY$s</t>
  </si>
  <si>
    <t>Balance (Guidance - RP)</t>
  </si>
  <si>
    <t xml:space="preserve">Management Contingency </t>
  </si>
  <si>
    <t>Guidance</t>
  </si>
  <si>
    <t>Balance</t>
  </si>
  <si>
    <t>Category</t>
  </si>
  <si>
    <t>Total U.S. ATLAS RP $s</t>
  </si>
  <si>
    <t xml:space="preserve"> </t>
  </si>
  <si>
    <t>Total Computing</t>
  </si>
  <si>
    <t>**Common Funds Cat. B (included in subsystems above)</t>
  </si>
  <si>
    <t>M&amp;O 1st Allocation</t>
  </si>
  <si>
    <t>M&amp;O 2nd Allocation</t>
  </si>
  <si>
    <t>Outreach</t>
  </si>
  <si>
    <t>U.S. ATLAS 1st Allocation M&amp;O Estimate</t>
  </si>
  <si>
    <t>U.S. ATLAS 2nd Allocation M&amp;O Estimate</t>
  </si>
  <si>
    <t>Silicon</t>
  </si>
  <si>
    <t>FY08</t>
  </si>
  <si>
    <t>Physics</t>
  </si>
  <si>
    <t>Software</t>
  </si>
  <si>
    <t>Facilities</t>
  </si>
  <si>
    <t>M&amp;O</t>
  </si>
  <si>
    <t>U.S. ATLAS Research Program Target Chart (FY04k$s)</t>
  </si>
  <si>
    <t>Total Upgrades</t>
  </si>
  <si>
    <t>Subtotal (Comput.+ M&amp;O + Upgrades)</t>
  </si>
  <si>
    <t xml:space="preserve">Subtotal U.S. ATLAS RP </t>
  </si>
  <si>
    <t xml:space="preserve">Management Reserve  </t>
  </si>
  <si>
    <t xml:space="preserve">Total Guidance </t>
  </si>
  <si>
    <t xml:space="preserve">DOE Guidance </t>
  </si>
  <si>
    <t xml:space="preserve">NSF Guidance </t>
  </si>
  <si>
    <t xml:space="preserve">M&amp;O Escalation Rates </t>
  </si>
  <si>
    <t xml:space="preserve">Total U.S. ATLAS Research Program </t>
  </si>
  <si>
    <t>Subtotal U.S. ATLAS Research Program</t>
  </si>
  <si>
    <t>Muon Upgrade R&amp;D</t>
  </si>
  <si>
    <t>Upgrade R&amp;D</t>
  </si>
  <si>
    <t>FY09</t>
  </si>
  <si>
    <t>sil</t>
  </si>
  <si>
    <t>trt</t>
  </si>
  <si>
    <t>lar</t>
  </si>
  <si>
    <t>tile</t>
  </si>
  <si>
    <t>muon</t>
  </si>
  <si>
    <t>trig</t>
  </si>
  <si>
    <t>fy09</t>
  </si>
  <si>
    <t>fy10</t>
  </si>
  <si>
    <t>fy11</t>
  </si>
  <si>
    <t>fy07</t>
  </si>
  <si>
    <t>fy08</t>
  </si>
  <si>
    <t>SW + physics</t>
  </si>
  <si>
    <t>facilities</t>
  </si>
  <si>
    <t>total</t>
  </si>
  <si>
    <t>computing (AY$s)</t>
  </si>
  <si>
    <t>computing (FY06$s)</t>
  </si>
  <si>
    <t>U.S. ATLAS Research Program Target Chart (AYk$s)</t>
  </si>
  <si>
    <t xml:space="preserve">NSF Guidance   </t>
  </si>
  <si>
    <t>FY10</t>
  </si>
  <si>
    <t>BNL</t>
  </si>
  <si>
    <t>BNL production</t>
  </si>
  <si>
    <t>UTA</t>
  </si>
  <si>
    <t>Chicago</t>
  </si>
  <si>
    <t>Chicago T2</t>
  </si>
  <si>
    <t>UTA T2</t>
  </si>
  <si>
    <t>Michigan T2</t>
  </si>
  <si>
    <t>SLAC T2</t>
  </si>
  <si>
    <t>Boston T2</t>
  </si>
  <si>
    <t>Total</t>
  </si>
  <si>
    <t>BNL Tier 1</t>
  </si>
  <si>
    <t>Remarks</t>
  </si>
  <si>
    <t>ANL</t>
  </si>
  <si>
    <t>LBL</t>
  </si>
  <si>
    <t>Pitt</t>
  </si>
  <si>
    <t>Indiana</t>
  </si>
  <si>
    <t>SMU</t>
  </si>
  <si>
    <t>UMass</t>
  </si>
  <si>
    <t>Arizona</t>
  </si>
  <si>
    <t>Harvard</t>
  </si>
  <si>
    <t>FY08-FY10 is the numbers</t>
  </si>
  <si>
    <t>Deng (1 FTE) and Nevski (.5 FTE)</t>
  </si>
  <si>
    <t>FY11</t>
  </si>
  <si>
    <t>3.7.2</t>
  </si>
  <si>
    <t>C&amp;I</t>
  </si>
  <si>
    <t>FY07 is budget $s</t>
  </si>
  <si>
    <t>no escalation for T2</t>
  </si>
  <si>
    <t>Production</t>
  </si>
  <si>
    <t xml:space="preserve">from Sini's old chart </t>
  </si>
  <si>
    <t>have not seen an updated chart'</t>
  </si>
  <si>
    <t>FY08 is the BUDGET</t>
  </si>
  <si>
    <t>worked out</t>
  </si>
  <si>
    <t>with Michael Ernst</t>
  </si>
  <si>
    <t>FY12</t>
  </si>
  <si>
    <t>DOE/NSF Un-Obligated Funding (thru FY07) Carryover + Insititutional Carryover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</si>
</sst>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%"/>
    <numFmt numFmtId="171" formatCode="0.0000"/>
    <numFmt numFmtId="172" formatCode="0.00000"/>
    <numFmt numFmtId="173" formatCode="#,##0.0_);[Red]\(#,##0.0\)"/>
    <numFmt numFmtId="174" formatCode="#,##0.000_);[Red]\(#,##0.00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0.000"/>
    <numFmt numFmtId="180" formatCode="_(* #,##0.000_);_(* \(#,##0.000\);_(* &quot;-&quot;???_);_(@_)"/>
    <numFmt numFmtId="181" formatCode="#,##0.000"/>
    <numFmt numFmtId="182" formatCode="#,##0.00000000_);[Red]\(#,##0.00000000\)"/>
    <numFmt numFmtId="183" formatCode="#,##0.000000000_);[Red]\(#,##0.000000000\)"/>
    <numFmt numFmtId="184" formatCode="#,##0.0000000000_);[Red]\(#,##0.0000000000\)"/>
    <numFmt numFmtId="185" formatCode="#,##0.00000000000_);[Red]\(#,##0.00000000000\)"/>
    <numFmt numFmtId="186" formatCode="#,##0.000000000000_);[Red]\(#,##0.000000000000\)"/>
    <numFmt numFmtId="187" formatCode="0.000000"/>
    <numFmt numFmtId="188" formatCode="0.0000000"/>
    <numFmt numFmtId="189" formatCode="0.00000000"/>
    <numFmt numFmtId="190" formatCode="0.000000000"/>
    <numFmt numFmtId="191" formatCode="_(* #,##0.00000_);_(* \(#,##0.00000\);_(* &quot;-&quot;??_);_(@_)"/>
    <numFmt numFmtId="192" formatCode="#,##0.0000000000000_);[Red]\(#,##0.0000000000000\)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2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164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quotePrefix="1">
      <alignment horizontal="righ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168" fontId="0" fillId="0" borderId="0" xfId="15" applyNumberFormat="1" applyFont="1" applyAlignment="1">
      <alignment/>
    </xf>
    <xf numFmtId="170" fontId="0" fillId="0" borderId="0" xfId="15" applyNumberFormat="1" applyFont="1" applyAlignment="1">
      <alignment/>
    </xf>
    <xf numFmtId="164" fontId="0" fillId="0" borderId="0" xfId="0" applyNumberFormat="1" applyBorder="1" applyAlignment="1">
      <alignment/>
    </xf>
    <xf numFmtId="166" fontId="0" fillId="0" borderId="0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/>
    </xf>
    <xf numFmtId="167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38" fontId="1" fillId="0" borderId="0" xfId="15" applyNumberFormat="1" applyFont="1" applyAlignment="1">
      <alignment/>
    </xf>
    <xf numFmtId="38" fontId="0" fillId="0" borderId="0" xfId="15" applyNumberFormat="1" applyFont="1" applyAlignment="1">
      <alignment/>
    </xf>
    <xf numFmtId="43" fontId="0" fillId="0" borderId="0" xfId="0" applyNumberFormat="1" applyAlignment="1">
      <alignment/>
    </xf>
    <xf numFmtId="38" fontId="0" fillId="0" borderId="0" xfId="0" applyNumberFormat="1" applyAlignment="1">
      <alignment/>
    </xf>
    <xf numFmtId="165" fontId="1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66" fontId="0" fillId="0" borderId="0" xfId="0" applyNumberFormat="1" applyAlignment="1">
      <alignment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166" fontId="8" fillId="0" borderId="0" xfId="15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166" fontId="9" fillId="0" borderId="0" xfId="15" applyNumberFormat="1" applyFont="1" applyAlignment="1">
      <alignment/>
    </xf>
    <xf numFmtId="0" fontId="9" fillId="0" borderId="0" xfId="0" applyFont="1" applyBorder="1" applyAlignment="1">
      <alignment/>
    </xf>
    <xf numFmtId="168" fontId="9" fillId="0" borderId="0" xfId="15" applyNumberFormat="1" applyFont="1" applyAlignment="1">
      <alignment/>
    </xf>
    <xf numFmtId="0" fontId="9" fillId="0" borderId="2" xfId="0" applyFont="1" applyBorder="1" applyAlignment="1">
      <alignment/>
    </xf>
    <xf numFmtId="0" fontId="8" fillId="0" borderId="0" xfId="0" applyFont="1" applyAlignment="1">
      <alignment/>
    </xf>
    <xf numFmtId="166" fontId="8" fillId="0" borderId="0" xfId="15" applyNumberFormat="1" applyFont="1" applyAlignment="1">
      <alignment/>
    </xf>
    <xf numFmtId="0" fontId="9" fillId="0" borderId="3" xfId="0" applyFont="1" applyBorder="1" applyAlignment="1">
      <alignment/>
    </xf>
    <xf numFmtId="0" fontId="8" fillId="0" borderId="4" xfId="0" applyFont="1" applyBorder="1" applyAlignment="1">
      <alignment/>
    </xf>
    <xf numFmtId="168" fontId="8" fillId="0" borderId="0" xfId="15" applyNumberFormat="1" applyFont="1" applyAlignment="1">
      <alignment/>
    </xf>
    <xf numFmtId="170" fontId="8" fillId="0" borderId="0" xfId="15" applyNumberFormat="1" applyFont="1" applyAlignment="1">
      <alignment/>
    </xf>
    <xf numFmtId="38" fontId="9" fillId="0" borderId="0" xfId="15" applyNumberFormat="1" applyFont="1" applyAlignment="1">
      <alignment/>
    </xf>
    <xf numFmtId="38" fontId="8" fillId="0" borderId="0" xfId="15" applyNumberFormat="1" applyFont="1" applyAlignment="1">
      <alignment/>
    </xf>
    <xf numFmtId="0" fontId="9" fillId="0" borderId="1" xfId="0" applyFont="1" applyBorder="1" applyAlignment="1">
      <alignment/>
    </xf>
    <xf numFmtId="167" fontId="8" fillId="0" borderId="0" xfId="15" applyNumberFormat="1" applyFont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9" fontId="8" fillId="0" borderId="0" xfId="15" applyNumberFormat="1" applyFont="1" applyAlignment="1">
      <alignment/>
    </xf>
    <xf numFmtId="4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7" fontId="0" fillId="0" borderId="0" xfId="15" applyNumberFormat="1" applyAlignment="1">
      <alignment/>
    </xf>
    <xf numFmtId="167" fontId="0" fillId="0" borderId="0" xfId="15" applyNumberFormat="1" applyAlignment="1">
      <alignment horizontal="center"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8" fillId="0" borderId="0" xfId="0" applyNumberFormat="1" applyFont="1" applyBorder="1" applyAlignment="1">
      <alignment horizontal="left"/>
    </xf>
    <xf numFmtId="164" fontId="9" fillId="0" borderId="0" xfId="0" applyNumberFormat="1" applyFont="1" applyAlignment="1" quotePrefix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164" fontId="9" fillId="0" borderId="0" xfId="0" applyNumberFormat="1" applyFont="1" applyAlignment="1">
      <alignment horizontal="left"/>
    </xf>
    <xf numFmtId="0" fontId="9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38" fontId="8" fillId="0" borderId="0" xfId="15" applyNumberFormat="1" applyFont="1" applyAlignment="1">
      <alignment vertical="top" wrapText="1"/>
    </xf>
    <xf numFmtId="166" fontId="8" fillId="0" borderId="0" xfId="15" applyNumberFormat="1" applyFont="1" applyAlignment="1">
      <alignment vertical="top" wrapText="1"/>
    </xf>
    <xf numFmtId="0" fontId="1" fillId="0" borderId="3" xfId="0" applyFont="1" applyBorder="1" applyAlignment="1">
      <alignment horizontal="center"/>
    </xf>
    <xf numFmtId="166" fontId="8" fillId="0" borderId="0" xfId="15" applyNumberFormat="1" applyFont="1" applyFill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zoomScale="50" zoomScaleNormal="50" workbookViewId="0" topLeftCell="A79">
      <selection activeCell="A79" sqref="A79"/>
    </sheetView>
  </sheetViews>
  <sheetFormatPr defaultColWidth="9.140625" defaultRowHeight="12.75"/>
  <cols>
    <col min="1" max="1" width="61.28125" style="0" customWidth="1"/>
    <col min="3" max="3" width="97.00390625" style="0" customWidth="1"/>
    <col min="4" max="4" width="11.140625" style="0" hidden="1" customWidth="1"/>
    <col min="5" max="6" width="19.8515625" style="0" hidden="1" customWidth="1"/>
    <col min="7" max="7" width="22.7109375" style="0" hidden="1" customWidth="1"/>
    <col min="8" max="11" width="24.7109375" style="0" customWidth="1"/>
    <col min="12" max="12" width="19.8515625" style="0" hidden="1" customWidth="1"/>
    <col min="13" max="13" width="20.7109375" style="0" bestFit="1" customWidth="1"/>
    <col min="14" max="14" width="11.00390625" style="0" bestFit="1" customWidth="1"/>
  </cols>
  <sheetData>
    <row r="1" spans="1:7" ht="20.25" hidden="1">
      <c r="A1" s="95" t="s">
        <v>46</v>
      </c>
      <c r="B1" s="95"/>
      <c r="C1" s="95"/>
      <c r="D1" s="95"/>
      <c r="E1" s="95"/>
      <c r="F1" s="95"/>
      <c r="G1" s="95"/>
    </row>
    <row r="2" spans="1:7" ht="9.75" customHeight="1" hidden="1" thickBot="1">
      <c r="A2" s="6"/>
      <c r="B2" s="6"/>
      <c r="C2" s="6"/>
      <c r="D2" s="6"/>
      <c r="E2" s="6"/>
      <c r="F2" s="6"/>
      <c r="G2" s="6"/>
    </row>
    <row r="3" spans="1:11" ht="12.75" hidden="1">
      <c r="A3" s="66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6.5" hidden="1" thickBot="1">
      <c r="A4" s="67" t="s">
        <v>30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41</v>
      </c>
      <c r="I4" s="24" t="s">
        <v>59</v>
      </c>
      <c r="J4" s="24" t="s">
        <v>78</v>
      </c>
      <c r="K4" s="24" t="s">
        <v>101</v>
      </c>
    </row>
    <row r="5" spans="1:8" ht="12.75" hidden="1">
      <c r="A5" s="14"/>
      <c r="B5" s="14"/>
      <c r="C5" s="14"/>
      <c r="D5" s="14"/>
      <c r="E5" s="14"/>
      <c r="F5" s="14"/>
      <c r="G5" s="14"/>
      <c r="H5" s="14"/>
    </row>
    <row r="6" spans="1:8" ht="12.75" hidden="1">
      <c r="A6" s="13" t="s">
        <v>32</v>
      </c>
      <c r="B6" s="20">
        <v>2.1</v>
      </c>
      <c r="C6" s="14" t="s">
        <v>42</v>
      </c>
      <c r="D6" s="21">
        <v>3338</v>
      </c>
      <c r="E6" s="21">
        <v>0</v>
      </c>
      <c r="F6" s="21">
        <v>0</v>
      </c>
      <c r="G6" s="21">
        <v>0</v>
      </c>
      <c r="H6" s="21">
        <v>0</v>
      </c>
    </row>
    <row r="7" spans="1:8" ht="20.25" hidden="1">
      <c r="A7" s="34" t="s">
        <v>7</v>
      </c>
      <c r="B7" s="20">
        <v>2.2</v>
      </c>
      <c r="C7" s="14" t="s">
        <v>43</v>
      </c>
      <c r="D7" s="21"/>
      <c r="E7" s="21">
        <v>0</v>
      </c>
      <c r="F7" s="21"/>
      <c r="G7" s="21"/>
      <c r="H7" s="21"/>
    </row>
    <row r="8" spans="1:9" ht="12.75" hidden="1">
      <c r="A8" s="9" t="s">
        <v>32</v>
      </c>
      <c r="B8" s="20">
        <v>2.3</v>
      </c>
      <c r="C8" s="14" t="s">
        <v>44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33" t="s">
        <v>32</v>
      </c>
    </row>
    <row r="9" spans="1:9" ht="12.75" hidden="1">
      <c r="A9" s="11" t="s">
        <v>32</v>
      </c>
      <c r="B9" s="2">
        <v>2</v>
      </c>
      <c r="C9" s="3" t="s">
        <v>33</v>
      </c>
      <c r="D9" s="16">
        <f>+D8+D6</f>
        <v>3338</v>
      </c>
      <c r="E9" s="16">
        <f>+E8+E7+E6</f>
        <v>0</v>
      </c>
      <c r="F9" s="16">
        <f>+F8+F7+F6</f>
        <v>0</v>
      </c>
      <c r="G9" s="16">
        <f>+G8+G7+G6</f>
        <v>0</v>
      </c>
      <c r="H9" s="16">
        <f>+H8+H7+H6</f>
        <v>0</v>
      </c>
      <c r="I9" t="s">
        <v>32</v>
      </c>
    </row>
    <row r="10" spans="1:9" ht="12.75" hidden="1">
      <c r="A10" s="15"/>
      <c r="B10" s="2"/>
      <c r="C10" s="3"/>
      <c r="D10" s="16"/>
      <c r="E10" s="16"/>
      <c r="F10" s="16"/>
      <c r="G10" s="16"/>
      <c r="H10" s="16"/>
      <c r="I10" s="29" t="s">
        <v>32</v>
      </c>
    </row>
    <row r="11" spans="1:8" ht="12.75" hidden="1">
      <c r="A11" s="15"/>
      <c r="B11" s="2"/>
      <c r="C11" s="3"/>
      <c r="D11" s="16"/>
      <c r="E11" s="16"/>
      <c r="F11" s="16"/>
      <c r="G11" s="16"/>
      <c r="H11" s="16"/>
    </row>
    <row r="12" spans="1:11" ht="12.75" hidden="1">
      <c r="A12" s="8"/>
      <c r="B12">
        <v>3.1</v>
      </c>
      <c r="C12" t="s">
        <v>40</v>
      </c>
      <c r="D12" s="17">
        <v>0</v>
      </c>
      <c r="E12" s="32">
        <v>0</v>
      </c>
      <c r="F12" s="32">
        <f aca="true" t="shared" si="0" ref="F12:I18">+F25+F38</f>
        <v>0</v>
      </c>
      <c r="G12" s="32">
        <f t="shared" si="0"/>
        <v>827</v>
      </c>
      <c r="H12" s="32">
        <f aca="true" t="shared" si="1" ref="H12:I14">+H25+H38</f>
        <v>1560</v>
      </c>
      <c r="I12" s="32">
        <f t="shared" si="1"/>
        <v>1520</v>
      </c>
      <c r="J12" s="32">
        <f aca="true" t="shared" si="2" ref="J12:K17">+J25+J38</f>
        <v>1482</v>
      </c>
      <c r="K12" s="32">
        <f t="shared" si="2"/>
        <v>1441</v>
      </c>
    </row>
    <row r="13" spans="1:18" ht="15" hidden="1">
      <c r="A13" s="10"/>
      <c r="B13">
        <v>3.2</v>
      </c>
      <c r="C13" t="s">
        <v>9</v>
      </c>
      <c r="D13" s="17">
        <v>173</v>
      </c>
      <c r="E13" s="32">
        <v>0</v>
      </c>
      <c r="F13" s="32">
        <f t="shared" si="0"/>
        <v>0</v>
      </c>
      <c r="G13" s="32">
        <f t="shared" si="0"/>
        <v>472</v>
      </c>
      <c r="H13" s="32">
        <f t="shared" si="1"/>
        <v>423</v>
      </c>
      <c r="I13" s="32">
        <f t="shared" si="1"/>
        <v>407</v>
      </c>
      <c r="J13" s="32">
        <f t="shared" si="2"/>
        <v>420</v>
      </c>
      <c r="K13" s="32">
        <f t="shared" si="2"/>
        <v>387</v>
      </c>
      <c r="M13" s="68"/>
      <c r="N13" t="s">
        <v>69</v>
      </c>
      <c r="O13" t="s">
        <v>70</v>
      </c>
      <c r="P13" s="68" t="s">
        <v>66</v>
      </c>
      <c r="Q13" s="68" t="s">
        <v>67</v>
      </c>
      <c r="R13" s="68" t="s">
        <v>68</v>
      </c>
    </row>
    <row r="14" spans="1:18" ht="15" hidden="1">
      <c r="A14" s="10"/>
      <c r="B14">
        <v>3.3</v>
      </c>
      <c r="C14" t="s">
        <v>10</v>
      </c>
      <c r="D14" s="17">
        <v>122</v>
      </c>
      <c r="E14" s="32">
        <v>0</v>
      </c>
      <c r="F14" s="32">
        <f t="shared" si="0"/>
        <v>0</v>
      </c>
      <c r="G14" s="32">
        <f t="shared" si="0"/>
        <v>1937</v>
      </c>
      <c r="H14" s="32">
        <f t="shared" si="1"/>
        <v>1988</v>
      </c>
      <c r="I14" s="32">
        <f t="shared" si="1"/>
        <v>2001</v>
      </c>
      <c r="J14" s="32">
        <f t="shared" si="2"/>
        <v>1951</v>
      </c>
      <c r="K14" s="32">
        <f t="shared" si="2"/>
        <v>1959</v>
      </c>
      <c r="M14" s="68" t="s">
        <v>60</v>
      </c>
      <c r="N14">
        <v>265</v>
      </c>
      <c r="O14">
        <v>498</v>
      </c>
      <c r="P14" s="68">
        <v>460</v>
      </c>
      <c r="Q14" s="68">
        <v>522</v>
      </c>
      <c r="R14" s="68">
        <v>395</v>
      </c>
    </row>
    <row r="15" spans="1:18" ht="15" hidden="1">
      <c r="A15" s="10"/>
      <c r="B15">
        <v>3.4</v>
      </c>
      <c r="C15" t="s">
        <v>11</v>
      </c>
      <c r="D15" s="17">
        <v>119</v>
      </c>
      <c r="E15" s="32">
        <v>0</v>
      </c>
      <c r="F15" s="32">
        <f t="shared" si="0"/>
        <v>0</v>
      </c>
      <c r="G15" s="32">
        <v>865</v>
      </c>
      <c r="H15" s="32">
        <f t="shared" si="0"/>
        <v>730</v>
      </c>
      <c r="I15" s="32">
        <f t="shared" si="0"/>
        <v>727</v>
      </c>
      <c r="J15" s="32">
        <f t="shared" si="2"/>
        <v>726</v>
      </c>
      <c r="K15" s="32">
        <f t="shared" si="2"/>
        <v>726</v>
      </c>
      <c r="M15" s="68" t="s">
        <v>61</v>
      </c>
      <c r="N15">
        <v>132</v>
      </c>
      <c r="O15">
        <v>249</v>
      </c>
      <c r="P15" s="68">
        <v>230</v>
      </c>
      <c r="Q15" s="68">
        <v>261</v>
      </c>
      <c r="R15" s="68">
        <v>197</v>
      </c>
    </row>
    <row r="16" spans="1:18" ht="15" hidden="1">
      <c r="A16" s="10"/>
      <c r="B16">
        <v>3.5</v>
      </c>
      <c r="C16" t="s">
        <v>12</v>
      </c>
      <c r="D16" s="17">
        <v>188</v>
      </c>
      <c r="E16" s="32">
        <v>0</v>
      </c>
      <c r="F16" s="32">
        <f t="shared" si="0"/>
        <v>0</v>
      </c>
      <c r="G16" s="32">
        <f t="shared" si="0"/>
        <v>1541</v>
      </c>
      <c r="H16" s="32">
        <f>+H29+H42</f>
        <v>980</v>
      </c>
      <c r="I16" s="32">
        <f>+I29+I42</f>
        <v>815</v>
      </c>
      <c r="J16" s="32">
        <f t="shared" si="2"/>
        <v>808</v>
      </c>
      <c r="K16" s="32">
        <f t="shared" si="2"/>
        <v>808</v>
      </c>
      <c r="M16" s="68" t="s">
        <v>62</v>
      </c>
      <c r="N16">
        <v>163</v>
      </c>
      <c r="O16">
        <v>286</v>
      </c>
      <c r="P16" s="68">
        <v>302</v>
      </c>
      <c r="Q16" s="68">
        <v>298</v>
      </c>
      <c r="R16" s="68">
        <v>298</v>
      </c>
    </row>
    <row r="17" spans="1:18" ht="20.25" hidden="1">
      <c r="A17" s="34" t="s">
        <v>45</v>
      </c>
      <c r="B17">
        <v>3.6</v>
      </c>
      <c r="C17" t="s">
        <v>13</v>
      </c>
      <c r="D17" s="17">
        <v>0</v>
      </c>
      <c r="E17" s="32">
        <v>0</v>
      </c>
      <c r="F17" s="32">
        <f t="shared" si="0"/>
        <v>0</v>
      </c>
      <c r="G17" s="32">
        <f t="shared" si="0"/>
        <v>1007</v>
      </c>
      <c r="H17" s="32">
        <f>+H30+H43</f>
        <v>727</v>
      </c>
      <c r="I17" s="32">
        <f>+I30+I43</f>
        <v>515</v>
      </c>
      <c r="J17" s="32">
        <f t="shared" si="2"/>
        <v>515</v>
      </c>
      <c r="K17" s="32">
        <f t="shared" si="2"/>
        <v>515</v>
      </c>
      <c r="M17" s="68" t="s">
        <v>63</v>
      </c>
      <c r="N17">
        <v>122</v>
      </c>
      <c r="O17">
        <v>132</v>
      </c>
      <c r="P17" s="68">
        <v>131</v>
      </c>
      <c r="Q17" s="68">
        <v>130</v>
      </c>
      <c r="R17" s="68">
        <v>130</v>
      </c>
    </row>
    <row r="18" spans="1:18" ht="15" hidden="1">
      <c r="A18" s="10"/>
      <c r="C18" t="s">
        <v>34</v>
      </c>
      <c r="D18" s="17">
        <v>208</v>
      </c>
      <c r="E18" s="32">
        <v>0</v>
      </c>
      <c r="F18" s="32">
        <f t="shared" si="0"/>
        <v>0</v>
      </c>
      <c r="G18" s="32">
        <f t="shared" si="0"/>
        <v>429.5</v>
      </c>
      <c r="H18" s="32">
        <v>1352</v>
      </c>
      <c r="I18" s="32">
        <v>1577</v>
      </c>
      <c r="J18" s="32">
        <v>1548</v>
      </c>
      <c r="K18" s="32">
        <f>+K31+K44</f>
        <v>0</v>
      </c>
      <c r="M18" s="68" t="s">
        <v>64</v>
      </c>
      <c r="N18">
        <v>88</v>
      </c>
      <c r="O18">
        <v>300</v>
      </c>
      <c r="P18" s="68">
        <v>306</v>
      </c>
      <c r="Q18" s="68">
        <v>195</v>
      </c>
      <c r="R18" s="68">
        <v>195</v>
      </c>
    </row>
    <row r="19" spans="1:18" ht="15" hidden="1">
      <c r="A19" s="10"/>
      <c r="B19">
        <v>3.7</v>
      </c>
      <c r="C19" t="s">
        <v>14</v>
      </c>
      <c r="D19" s="17">
        <v>49</v>
      </c>
      <c r="E19" s="32">
        <v>0</v>
      </c>
      <c r="F19" s="32">
        <f aca="true" t="shared" si="3" ref="F19:G22">+F32+F44</f>
        <v>0</v>
      </c>
      <c r="G19" s="32">
        <f t="shared" si="3"/>
        <v>1171</v>
      </c>
      <c r="H19" s="32">
        <v>2295</v>
      </c>
      <c r="I19" s="32">
        <v>2476</v>
      </c>
      <c r="J19" s="32">
        <v>2459</v>
      </c>
      <c r="K19" s="32">
        <f>+K32+K44</f>
        <v>0</v>
      </c>
      <c r="M19" s="68" t="s">
        <v>65</v>
      </c>
      <c r="N19">
        <v>0</v>
      </c>
      <c r="O19">
        <v>0</v>
      </c>
      <c r="P19" s="68">
        <v>0</v>
      </c>
      <c r="Q19" s="68">
        <v>0</v>
      </c>
      <c r="R19" s="68">
        <v>0</v>
      </c>
    </row>
    <row r="20" spans="1:18" ht="15" hidden="1">
      <c r="A20" s="10"/>
      <c r="B20">
        <v>3.8</v>
      </c>
      <c r="C20" t="s">
        <v>37</v>
      </c>
      <c r="D20" s="17">
        <v>0</v>
      </c>
      <c r="E20" s="32">
        <v>0</v>
      </c>
      <c r="F20" s="32">
        <f t="shared" si="3"/>
        <v>0</v>
      </c>
      <c r="G20" s="32">
        <f t="shared" si="3"/>
        <v>43</v>
      </c>
      <c r="H20" s="32">
        <f aca="true" t="shared" si="4" ref="H20:K22">+H33+H45</f>
        <v>50</v>
      </c>
      <c r="I20" s="32">
        <f t="shared" si="4"/>
        <v>50</v>
      </c>
      <c r="J20" s="32">
        <v>50</v>
      </c>
      <c r="K20" s="32">
        <v>50</v>
      </c>
      <c r="M20" s="68"/>
      <c r="N20" s="68">
        <f>SUM(N14:N19)</f>
        <v>770</v>
      </c>
      <c r="O20" s="68">
        <f>SUM(O14:O19)</f>
        <v>1465</v>
      </c>
      <c r="P20" s="68">
        <f>SUM(P14:P19)</f>
        <v>1429</v>
      </c>
      <c r="Q20" s="68">
        <f>SUM(Q14:Q19)</f>
        <v>1406</v>
      </c>
      <c r="R20" s="68">
        <f>SUM(R14:R19)</f>
        <v>1215</v>
      </c>
    </row>
    <row r="21" spans="1:18" ht="15" hidden="1">
      <c r="A21" s="10"/>
      <c r="B21">
        <v>3.9</v>
      </c>
      <c r="C21" t="s">
        <v>15</v>
      </c>
      <c r="D21" s="17">
        <f>224+102</f>
        <v>326</v>
      </c>
      <c r="E21" s="32">
        <v>0</v>
      </c>
      <c r="F21" s="32">
        <f t="shared" si="3"/>
        <v>0</v>
      </c>
      <c r="G21" s="32">
        <v>1009</v>
      </c>
      <c r="H21" s="32">
        <f t="shared" si="4"/>
        <v>645</v>
      </c>
      <c r="I21" s="32">
        <f t="shared" si="4"/>
        <v>645</v>
      </c>
      <c r="J21" s="32">
        <f t="shared" si="4"/>
        <v>645</v>
      </c>
      <c r="K21" s="32">
        <f t="shared" si="4"/>
        <v>645</v>
      </c>
      <c r="M21" s="68"/>
      <c r="N21" s="68"/>
      <c r="O21" s="68"/>
      <c r="P21" s="68"/>
      <c r="Q21" s="68"/>
      <c r="R21" s="68"/>
    </row>
    <row r="22" spans="1:18" ht="15" hidden="1">
      <c r="A22" s="10"/>
      <c r="B22" s="1" t="s">
        <v>8</v>
      </c>
      <c r="C22" t="s">
        <v>16</v>
      </c>
      <c r="D22" s="17">
        <v>0</v>
      </c>
      <c r="E22" s="32">
        <v>0</v>
      </c>
      <c r="F22" s="32">
        <f t="shared" si="3"/>
        <v>0</v>
      </c>
      <c r="G22" s="32">
        <f t="shared" si="3"/>
        <v>850</v>
      </c>
      <c r="H22" s="32">
        <f t="shared" si="4"/>
        <v>915</v>
      </c>
      <c r="I22" s="32">
        <f t="shared" si="4"/>
        <v>915</v>
      </c>
      <c r="J22" s="32">
        <f t="shared" si="4"/>
        <v>915</v>
      </c>
      <c r="K22" s="32">
        <f t="shared" si="4"/>
        <v>915</v>
      </c>
      <c r="M22" s="68"/>
      <c r="N22" s="68"/>
      <c r="O22" s="68"/>
      <c r="P22" s="68"/>
      <c r="Q22" s="68"/>
      <c r="R22" s="68"/>
    </row>
    <row r="23" spans="1:18" ht="18.75" customHeight="1" hidden="1">
      <c r="A23" s="12"/>
      <c r="B23" s="4">
        <v>3</v>
      </c>
      <c r="C23" s="3" t="s">
        <v>18</v>
      </c>
      <c r="D23" s="16">
        <f aca="true" t="shared" si="5" ref="D23:K23">+D22+D21+D20+D19+D17+D16+D15+D14+D13+D12</f>
        <v>977</v>
      </c>
      <c r="E23" s="16">
        <f>+E22+E21+E20+E19+E17+E16+E15+E14+E13+E12</f>
        <v>0</v>
      </c>
      <c r="F23" s="16">
        <f t="shared" si="5"/>
        <v>0</v>
      </c>
      <c r="G23" s="16">
        <f t="shared" si="5"/>
        <v>9722</v>
      </c>
      <c r="H23" s="16">
        <f t="shared" si="5"/>
        <v>10313</v>
      </c>
      <c r="I23" s="16">
        <f t="shared" si="5"/>
        <v>10071</v>
      </c>
      <c r="J23" s="16">
        <f t="shared" si="5"/>
        <v>9971</v>
      </c>
      <c r="K23" s="16">
        <f t="shared" si="5"/>
        <v>7446</v>
      </c>
      <c r="M23" s="68"/>
      <c r="N23" s="68"/>
      <c r="O23" s="68"/>
      <c r="P23" s="68"/>
      <c r="Q23" s="68"/>
      <c r="R23" s="68"/>
    </row>
    <row r="24" spans="2:18" ht="15" hidden="1">
      <c r="B24" s="4"/>
      <c r="C24" s="3"/>
      <c r="D24" s="16"/>
      <c r="E24" s="16"/>
      <c r="F24" s="16"/>
      <c r="G24" s="16"/>
      <c r="H24" s="16"/>
      <c r="M24" s="68" t="s">
        <v>74</v>
      </c>
      <c r="N24" s="68"/>
      <c r="O24" s="68"/>
      <c r="P24" s="68"/>
      <c r="Q24" s="68"/>
      <c r="R24" s="68"/>
    </row>
    <row r="25" spans="1:18" ht="15" hidden="1">
      <c r="A25" s="8" t="s">
        <v>35</v>
      </c>
      <c r="B25">
        <v>3.1</v>
      </c>
      <c r="C25" t="s">
        <v>40</v>
      </c>
      <c r="D25" s="17">
        <v>0</v>
      </c>
      <c r="E25" s="32">
        <v>0</v>
      </c>
      <c r="F25" s="17">
        <v>0</v>
      </c>
      <c r="G25" s="17">
        <v>827</v>
      </c>
      <c r="H25" s="17">
        <v>1560</v>
      </c>
      <c r="I25">
        <v>1520</v>
      </c>
      <c r="J25">
        <v>1482</v>
      </c>
      <c r="K25">
        <v>1441</v>
      </c>
      <c r="M25" s="68"/>
      <c r="N25" t="s">
        <v>69</v>
      </c>
      <c r="O25" t="s">
        <v>70</v>
      </c>
      <c r="P25" s="68" t="s">
        <v>66</v>
      </c>
      <c r="Q25" s="68" t="s">
        <v>67</v>
      </c>
      <c r="R25" s="68" t="s">
        <v>68</v>
      </c>
    </row>
    <row r="26" spans="1:18" ht="15" hidden="1">
      <c r="A26" s="9"/>
      <c r="B26">
        <v>3.2</v>
      </c>
      <c r="C26" t="s">
        <v>9</v>
      </c>
      <c r="D26" s="17">
        <v>173</v>
      </c>
      <c r="E26" s="32">
        <v>0</v>
      </c>
      <c r="F26" s="17">
        <v>0</v>
      </c>
      <c r="G26" s="17">
        <v>472</v>
      </c>
      <c r="H26" s="17">
        <v>423</v>
      </c>
      <c r="I26">
        <v>407</v>
      </c>
      <c r="J26">
        <v>420</v>
      </c>
      <c r="K26">
        <v>387</v>
      </c>
      <c r="M26" s="68" t="s">
        <v>71</v>
      </c>
      <c r="N26" s="68">
        <f>169+5234</f>
        <v>5403</v>
      </c>
      <c r="O26" s="68">
        <f>174+5474</f>
        <v>5648</v>
      </c>
      <c r="P26" s="68">
        <f>179+5939</f>
        <v>6118</v>
      </c>
      <c r="Q26" s="68">
        <f>184+6117</f>
        <v>6301</v>
      </c>
      <c r="R26" s="68">
        <f>184+6117</f>
        <v>6301</v>
      </c>
    </row>
    <row r="27" spans="1:18" ht="12.75" hidden="1">
      <c r="A27" s="9"/>
      <c r="B27">
        <v>3.3</v>
      </c>
      <c r="C27" t="s">
        <v>10</v>
      </c>
      <c r="D27" s="17">
        <v>122</v>
      </c>
      <c r="E27" s="32">
        <v>0</v>
      </c>
      <c r="F27" s="17">
        <v>0</v>
      </c>
      <c r="G27" s="17">
        <v>1937</v>
      </c>
      <c r="H27" s="17">
        <v>1988</v>
      </c>
      <c r="I27">
        <v>2001</v>
      </c>
      <c r="J27">
        <v>1951</v>
      </c>
      <c r="K27">
        <v>1959</v>
      </c>
      <c r="M27" t="s">
        <v>72</v>
      </c>
      <c r="N27">
        <f>+N28-N26</f>
        <v>9394</v>
      </c>
      <c r="O27">
        <f>+O28-O26</f>
        <v>9952</v>
      </c>
      <c r="P27">
        <f>+P28-P26</f>
        <v>9482</v>
      </c>
      <c r="Q27">
        <f>+Q28-Q26</f>
        <v>9299</v>
      </c>
      <c r="R27">
        <f>+R28-R26</f>
        <v>9299</v>
      </c>
    </row>
    <row r="28" spans="1:18" ht="12.75" hidden="1">
      <c r="A28" s="9"/>
      <c r="B28">
        <v>3.4</v>
      </c>
      <c r="C28" t="s">
        <v>11</v>
      </c>
      <c r="D28" s="17">
        <v>119</v>
      </c>
      <c r="E28" s="32">
        <v>0</v>
      </c>
      <c r="F28" s="17">
        <v>0</v>
      </c>
      <c r="G28" s="17">
        <v>881</v>
      </c>
      <c r="H28" s="17">
        <v>730</v>
      </c>
      <c r="I28">
        <v>727</v>
      </c>
      <c r="J28">
        <v>726</v>
      </c>
      <c r="K28">
        <v>726</v>
      </c>
      <c r="M28" t="s">
        <v>73</v>
      </c>
      <c r="N28">
        <v>14797</v>
      </c>
      <c r="O28">
        <v>15600</v>
      </c>
      <c r="P28">
        <v>15600</v>
      </c>
      <c r="Q28">
        <v>15600</v>
      </c>
      <c r="R28">
        <v>15600</v>
      </c>
    </row>
    <row r="29" spans="1:11" ht="12.75" hidden="1">
      <c r="A29" s="9"/>
      <c r="B29">
        <v>3.5</v>
      </c>
      <c r="C29" t="s">
        <v>12</v>
      </c>
      <c r="D29" s="17">
        <v>188</v>
      </c>
      <c r="E29" s="32">
        <v>0</v>
      </c>
      <c r="F29" s="17">
        <v>0</v>
      </c>
      <c r="G29" s="17">
        <v>1541</v>
      </c>
      <c r="H29" s="17">
        <v>980</v>
      </c>
      <c r="I29">
        <v>815</v>
      </c>
      <c r="J29">
        <v>808</v>
      </c>
      <c r="K29">
        <v>808</v>
      </c>
    </row>
    <row r="30" spans="1:18" ht="12.75" hidden="1">
      <c r="A30" s="9"/>
      <c r="B30">
        <v>3.6</v>
      </c>
      <c r="C30" t="s">
        <v>13</v>
      </c>
      <c r="D30" s="17">
        <v>0</v>
      </c>
      <c r="E30" s="32">
        <v>0</v>
      </c>
      <c r="F30" s="17">
        <v>0</v>
      </c>
      <c r="G30" s="17">
        <v>1007</v>
      </c>
      <c r="H30" s="17">
        <v>727</v>
      </c>
      <c r="I30">
        <v>515</v>
      </c>
      <c r="J30">
        <v>515</v>
      </c>
      <c r="K30">
        <v>515</v>
      </c>
      <c r="N30">
        <v>1.026</v>
      </c>
      <c r="O30">
        <v>1.0527</v>
      </c>
      <c r="P30">
        <v>1.08</v>
      </c>
      <c r="Q30">
        <v>1.1081</v>
      </c>
      <c r="R30">
        <v>1.1369</v>
      </c>
    </row>
    <row r="31" spans="1:11" ht="12.75" hidden="1">
      <c r="A31" s="10" t="s">
        <v>32</v>
      </c>
      <c r="C31" t="s">
        <v>34</v>
      </c>
      <c r="D31" s="17">
        <v>208</v>
      </c>
      <c r="E31" s="32">
        <v>0</v>
      </c>
      <c r="F31" s="17">
        <v>0</v>
      </c>
      <c r="G31" s="17">
        <v>429.5</v>
      </c>
      <c r="H31" s="17">
        <v>1439.1</v>
      </c>
      <c r="I31">
        <v>1489.6</v>
      </c>
      <c r="J31">
        <v>0</v>
      </c>
      <c r="K31">
        <v>0</v>
      </c>
    </row>
    <row r="32" spans="1:18" ht="15" hidden="1">
      <c r="A32" s="9" t="s">
        <v>32</v>
      </c>
      <c r="B32">
        <v>3.7</v>
      </c>
      <c r="C32" t="s">
        <v>14</v>
      </c>
      <c r="D32" s="17">
        <v>49</v>
      </c>
      <c r="E32" s="32">
        <v>0</v>
      </c>
      <c r="F32" s="17">
        <v>0</v>
      </c>
      <c r="G32" s="17">
        <v>1171</v>
      </c>
      <c r="H32" s="17">
        <v>1519</v>
      </c>
      <c r="I32">
        <v>1738</v>
      </c>
      <c r="J32">
        <v>0</v>
      </c>
      <c r="K32">
        <v>0</v>
      </c>
      <c r="M32" t="s">
        <v>75</v>
      </c>
      <c r="N32" t="s">
        <v>69</v>
      </c>
      <c r="O32" t="s">
        <v>70</v>
      </c>
      <c r="P32" s="68" t="s">
        <v>66</v>
      </c>
      <c r="Q32" s="68" t="s">
        <v>67</v>
      </c>
      <c r="R32" s="68" t="s">
        <v>68</v>
      </c>
    </row>
    <row r="33" spans="1:18" ht="15" hidden="1">
      <c r="A33" s="9"/>
      <c r="B33">
        <v>3.8</v>
      </c>
      <c r="C33" t="s">
        <v>37</v>
      </c>
      <c r="D33" s="17">
        <v>0</v>
      </c>
      <c r="E33" s="32">
        <v>0</v>
      </c>
      <c r="F33" s="17">
        <v>0</v>
      </c>
      <c r="G33" s="17">
        <v>43</v>
      </c>
      <c r="H33" s="17">
        <v>50</v>
      </c>
      <c r="I33">
        <v>50</v>
      </c>
      <c r="J33">
        <v>0</v>
      </c>
      <c r="K33">
        <v>0</v>
      </c>
      <c r="M33" s="68" t="s">
        <v>71</v>
      </c>
      <c r="N33" s="30">
        <f>+N26/N30</f>
        <v>5266.081871345029</v>
      </c>
      <c r="O33" s="30">
        <f>+O26/O30</f>
        <v>5365.251258668187</v>
      </c>
      <c r="P33" s="30">
        <f>+P26/P30</f>
        <v>5664.814814814815</v>
      </c>
      <c r="Q33" s="30">
        <f>+Q26/Q30</f>
        <v>5686.309899828535</v>
      </c>
      <c r="R33" s="30">
        <f>+R26/R30</f>
        <v>5542.264051367754</v>
      </c>
    </row>
    <row r="34" spans="1:18" ht="12.75" hidden="1">
      <c r="A34" s="9"/>
      <c r="B34">
        <v>3.9</v>
      </c>
      <c r="C34" t="s">
        <v>15</v>
      </c>
      <c r="D34" s="17">
        <f>224+102</f>
        <v>326</v>
      </c>
      <c r="E34" s="32">
        <v>0</v>
      </c>
      <c r="F34" s="17">
        <v>0</v>
      </c>
      <c r="G34" s="17">
        <v>853</v>
      </c>
      <c r="H34" s="17">
        <v>645</v>
      </c>
      <c r="I34">
        <v>645</v>
      </c>
      <c r="J34">
        <v>645</v>
      </c>
      <c r="K34">
        <v>645</v>
      </c>
      <c r="M34" t="s">
        <v>72</v>
      </c>
      <c r="N34" s="30">
        <f>+N27/N30</f>
        <v>9155.945419103313</v>
      </c>
      <c r="O34" s="30">
        <f>+O27/O30</f>
        <v>9453.785503942245</v>
      </c>
      <c r="P34" s="30">
        <f>+P27/P30</f>
        <v>8779.62962962963</v>
      </c>
      <c r="Q34" s="30">
        <f>+Q27/Q30</f>
        <v>8391.841891526035</v>
      </c>
      <c r="R34" s="30">
        <f>+R27/R30</f>
        <v>8179.259389568124</v>
      </c>
    </row>
    <row r="35" spans="1:18" ht="12.75" hidden="1">
      <c r="A35" s="9"/>
      <c r="B35" s="1" t="s">
        <v>8</v>
      </c>
      <c r="C35" t="s">
        <v>16</v>
      </c>
      <c r="D35" s="17">
        <v>0</v>
      </c>
      <c r="E35" s="17">
        <v>0</v>
      </c>
      <c r="F35" s="17">
        <v>0</v>
      </c>
      <c r="G35" s="17">
        <v>850</v>
      </c>
      <c r="H35" s="17">
        <v>915</v>
      </c>
      <c r="I35">
        <v>915</v>
      </c>
      <c r="J35">
        <v>915</v>
      </c>
      <c r="K35">
        <v>915</v>
      </c>
      <c r="M35" t="s">
        <v>73</v>
      </c>
      <c r="N35" s="30">
        <f>+N34+N33</f>
        <v>14422.027290448343</v>
      </c>
      <c r="O35" s="30">
        <f>+O34+O33</f>
        <v>14819.03676261043</v>
      </c>
      <c r="P35" s="30">
        <f>+P34+P33</f>
        <v>14444.444444444445</v>
      </c>
      <c r="Q35" s="30">
        <f>+Q34+Q33</f>
        <v>14078.15179135457</v>
      </c>
      <c r="R35" s="30">
        <f>+R34+R33</f>
        <v>13721.523440935878</v>
      </c>
    </row>
    <row r="36" spans="1:11" ht="12.75" hidden="1">
      <c r="A36" s="12" t="s">
        <v>32</v>
      </c>
      <c r="B36" s="4">
        <v>3</v>
      </c>
      <c r="C36" s="3" t="s">
        <v>38</v>
      </c>
      <c r="D36" s="16">
        <f aca="true" t="shared" si="6" ref="D36:K36">+D35+D34+D33+D32+D30+D29+D28+D27+D26+D25</f>
        <v>977</v>
      </c>
      <c r="E36" s="16">
        <f t="shared" si="6"/>
        <v>0</v>
      </c>
      <c r="F36" s="16">
        <f t="shared" si="6"/>
        <v>0</v>
      </c>
      <c r="G36" s="16">
        <f>+G35+G34+G33+G32+G30+G29+G28+G27+G26+G25</f>
        <v>9582</v>
      </c>
      <c r="H36" s="16">
        <f t="shared" si="6"/>
        <v>9537</v>
      </c>
      <c r="I36" s="16">
        <f t="shared" si="6"/>
        <v>9333</v>
      </c>
      <c r="J36" s="16">
        <f t="shared" si="6"/>
        <v>7462</v>
      </c>
      <c r="K36" s="16">
        <f t="shared" si="6"/>
        <v>7396</v>
      </c>
    </row>
    <row r="37" spans="1:18" ht="12.75" hidden="1">
      <c r="A37" s="14"/>
      <c r="D37" s="17"/>
      <c r="E37" s="17"/>
      <c r="F37" s="17"/>
      <c r="G37" s="17"/>
      <c r="H37" s="17"/>
      <c r="N37">
        <v>1.026</v>
      </c>
      <c r="O37">
        <v>1.0527</v>
      </c>
      <c r="P37">
        <v>1.08</v>
      </c>
      <c r="Q37">
        <v>1.1081</v>
      </c>
      <c r="R37">
        <v>1.1369</v>
      </c>
    </row>
    <row r="38" spans="1:18" ht="12.75" hidden="1">
      <c r="A38" s="8" t="s">
        <v>36</v>
      </c>
      <c r="B38">
        <v>3.1</v>
      </c>
      <c r="C38" t="s">
        <v>40</v>
      </c>
      <c r="D38" s="17">
        <v>0</v>
      </c>
      <c r="E38" s="32">
        <v>0</v>
      </c>
      <c r="F38" s="17">
        <v>0</v>
      </c>
      <c r="G38" s="17">
        <v>0</v>
      </c>
      <c r="H38" s="17">
        <v>0</v>
      </c>
      <c r="N38">
        <f>+N37*N35</f>
        <v>14797</v>
      </c>
      <c r="O38">
        <f>+O37*O35</f>
        <v>15600</v>
      </c>
      <c r="P38">
        <f>+P37*P35</f>
        <v>15600.000000000002</v>
      </c>
      <c r="Q38">
        <f>+Q37*Q35</f>
        <v>15600</v>
      </c>
      <c r="R38">
        <f>+R37*R35</f>
        <v>15600</v>
      </c>
    </row>
    <row r="39" spans="1:8" ht="12.75" hidden="1">
      <c r="A39" s="9"/>
      <c r="B39">
        <v>3.2</v>
      </c>
      <c r="C39" t="s">
        <v>9</v>
      </c>
      <c r="D39" s="17">
        <v>0</v>
      </c>
      <c r="E39" s="32">
        <v>0</v>
      </c>
      <c r="F39" s="17">
        <v>0</v>
      </c>
      <c r="G39" s="17">
        <v>0</v>
      </c>
      <c r="H39" s="17">
        <v>0</v>
      </c>
    </row>
    <row r="40" spans="1:8" ht="12.75" hidden="1">
      <c r="A40" s="9"/>
      <c r="B40">
        <v>3.3</v>
      </c>
      <c r="C40" t="s">
        <v>10</v>
      </c>
      <c r="D40" s="17">
        <v>0</v>
      </c>
      <c r="E40" s="32">
        <v>0</v>
      </c>
      <c r="F40" s="17">
        <v>0</v>
      </c>
      <c r="G40" s="17">
        <v>0</v>
      </c>
      <c r="H40" s="17">
        <v>0</v>
      </c>
    </row>
    <row r="41" spans="1:8" ht="12.75" hidden="1">
      <c r="A41" s="9"/>
      <c r="B41">
        <v>3.4</v>
      </c>
      <c r="C41" t="s">
        <v>11</v>
      </c>
      <c r="D41" s="17">
        <v>0</v>
      </c>
      <c r="E41" s="32">
        <v>0</v>
      </c>
      <c r="F41" s="17">
        <v>0</v>
      </c>
      <c r="G41" s="17">
        <v>0</v>
      </c>
      <c r="H41" s="17">
        <v>0</v>
      </c>
    </row>
    <row r="42" spans="1:8" ht="12.75" hidden="1">
      <c r="A42" s="9"/>
      <c r="B42">
        <v>3.5</v>
      </c>
      <c r="C42" t="s">
        <v>12</v>
      </c>
      <c r="D42" s="17">
        <v>0</v>
      </c>
      <c r="E42" s="32">
        <v>0</v>
      </c>
      <c r="F42" s="17">
        <v>0</v>
      </c>
      <c r="G42" s="17">
        <v>0</v>
      </c>
      <c r="H42" s="17">
        <v>0</v>
      </c>
    </row>
    <row r="43" spans="1:8" ht="12.75" hidden="1">
      <c r="A43" s="9"/>
      <c r="B43">
        <v>3.6</v>
      </c>
      <c r="C43" t="s">
        <v>13</v>
      </c>
      <c r="D43" s="17">
        <v>0</v>
      </c>
      <c r="E43" s="32">
        <v>0</v>
      </c>
      <c r="F43" s="17">
        <v>0</v>
      </c>
      <c r="G43" s="17">
        <v>0</v>
      </c>
      <c r="H43" s="17">
        <v>0</v>
      </c>
    </row>
    <row r="44" spans="1:8" ht="12.75" hidden="1">
      <c r="A44" s="9"/>
      <c r="B44">
        <v>3.7</v>
      </c>
      <c r="C44" t="s">
        <v>14</v>
      </c>
      <c r="D44" s="17">
        <v>0</v>
      </c>
      <c r="E44" s="32">
        <v>0</v>
      </c>
      <c r="F44" s="17">
        <v>0</v>
      </c>
      <c r="G44" s="17">
        <v>0</v>
      </c>
      <c r="H44" s="17">
        <v>0</v>
      </c>
    </row>
    <row r="45" spans="1:8" ht="12.75" hidden="1">
      <c r="A45" s="9"/>
      <c r="B45">
        <v>3.8</v>
      </c>
      <c r="C45" t="s">
        <v>37</v>
      </c>
      <c r="D45" s="17">
        <v>0</v>
      </c>
      <c r="E45" s="32">
        <v>0</v>
      </c>
      <c r="F45" s="17">
        <v>0</v>
      </c>
      <c r="G45" s="17">
        <v>0</v>
      </c>
      <c r="H45" s="17">
        <v>0</v>
      </c>
    </row>
    <row r="46" spans="1:8" ht="12.75" hidden="1">
      <c r="A46" s="9"/>
      <c r="B46">
        <v>3.9</v>
      </c>
      <c r="C46" t="s">
        <v>15</v>
      </c>
      <c r="D46" s="17">
        <v>0</v>
      </c>
      <c r="E46" s="32">
        <v>0</v>
      </c>
      <c r="F46" s="17">
        <v>0</v>
      </c>
      <c r="G46" s="17">
        <v>0</v>
      </c>
      <c r="H46" s="17">
        <v>0</v>
      </c>
    </row>
    <row r="47" spans="1:20" ht="15" hidden="1">
      <c r="A47" s="9"/>
      <c r="B47" s="1" t="s">
        <v>8</v>
      </c>
      <c r="C47" t="s">
        <v>16</v>
      </c>
      <c r="D47" s="17">
        <v>0</v>
      </c>
      <c r="E47" s="32">
        <v>0</v>
      </c>
      <c r="F47" s="17">
        <v>0</v>
      </c>
      <c r="G47" s="17">
        <v>0</v>
      </c>
      <c r="H47" s="17">
        <v>0</v>
      </c>
      <c r="M47" s="68"/>
      <c r="N47" s="68"/>
      <c r="O47" s="68" t="s">
        <v>69</v>
      </c>
      <c r="P47" s="68" t="s">
        <v>70</v>
      </c>
      <c r="Q47" s="68" t="s">
        <v>66</v>
      </c>
      <c r="R47" s="68" t="s">
        <v>67</v>
      </c>
      <c r="S47" s="68" t="s">
        <v>68</v>
      </c>
      <c r="T47" s="68"/>
    </row>
    <row r="48" spans="1:20" ht="15" hidden="1">
      <c r="A48" s="12"/>
      <c r="B48" s="5">
        <v>3</v>
      </c>
      <c r="C48" s="3" t="s">
        <v>39</v>
      </c>
      <c r="D48" s="16">
        <f>SUM(D38:D47)</f>
        <v>0</v>
      </c>
      <c r="E48" s="16">
        <f>SUM(E38:E47)</f>
        <v>0</v>
      </c>
      <c r="F48" s="16">
        <f>SUM(F38:F47)</f>
        <v>0</v>
      </c>
      <c r="G48" s="16">
        <f>SUM(G38:G47)</f>
        <v>0</v>
      </c>
      <c r="H48" s="16">
        <f>SUM(H38:H47)</f>
        <v>0</v>
      </c>
      <c r="M48" s="68"/>
      <c r="N48" s="68"/>
      <c r="O48" s="68"/>
      <c r="P48" s="68"/>
      <c r="Q48" s="68"/>
      <c r="R48" s="68"/>
      <c r="S48" s="68"/>
      <c r="T48" s="68"/>
    </row>
    <row r="49" spans="1:20" ht="15" hidden="1">
      <c r="A49" s="14"/>
      <c r="D49" s="17"/>
      <c r="E49" s="17"/>
      <c r="F49" s="17"/>
      <c r="G49" s="17"/>
      <c r="H49" s="17"/>
      <c r="M49" s="68"/>
      <c r="N49" s="68"/>
      <c r="O49" s="68">
        <v>84</v>
      </c>
      <c r="P49" s="68">
        <v>72</v>
      </c>
      <c r="Q49" s="68">
        <v>50</v>
      </c>
      <c r="R49" s="68">
        <v>50</v>
      </c>
      <c r="S49" s="68">
        <v>50</v>
      </c>
      <c r="T49" s="68"/>
    </row>
    <row r="50" spans="1:20" ht="15" hidden="1">
      <c r="A50" s="7" t="s">
        <v>18</v>
      </c>
      <c r="B50" s="5">
        <v>3</v>
      </c>
      <c r="C50" s="3" t="s">
        <v>17</v>
      </c>
      <c r="D50" s="16">
        <f>+D48+D36</f>
        <v>977</v>
      </c>
      <c r="E50" s="16">
        <f>+E48+E36</f>
        <v>0</v>
      </c>
      <c r="F50" s="16">
        <f>+F48+F36</f>
        <v>0</v>
      </c>
      <c r="G50" s="16">
        <f>+G48+G36</f>
        <v>9582</v>
      </c>
      <c r="H50" s="16">
        <f>+H48+H36</f>
        <v>9537</v>
      </c>
      <c r="M50" s="68"/>
      <c r="N50" s="68"/>
      <c r="O50" s="68">
        <v>200</v>
      </c>
      <c r="P50" s="68">
        <v>100</v>
      </c>
      <c r="Q50" s="68">
        <v>159</v>
      </c>
      <c r="R50" s="68">
        <v>120</v>
      </c>
      <c r="S50" s="68">
        <v>120</v>
      </c>
      <c r="T50" s="68"/>
    </row>
    <row r="51" spans="4:20" ht="15" hidden="1">
      <c r="D51" s="17"/>
      <c r="E51" s="17"/>
      <c r="F51" s="17"/>
      <c r="G51" s="17"/>
      <c r="H51" s="17"/>
      <c r="M51" s="68"/>
      <c r="N51" s="68"/>
      <c r="O51" s="68">
        <v>250</v>
      </c>
      <c r="P51" s="68">
        <v>310</v>
      </c>
      <c r="Q51" s="68">
        <v>310</v>
      </c>
      <c r="R51" s="68">
        <v>350</v>
      </c>
      <c r="S51" s="68">
        <v>350</v>
      </c>
      <c r="T51" s="68"/>
    </row>
    <row r="52" spans="4:20" ht="15" hidden="1">
      <c r="D52" s="17"/>
      <c r="E52" s="17"/>
      <c r="F52" s="17"/>
      <c r="G52" s="17"/>
      <c r="H52" s="17"/>
      <c r="M52" s="68"/>
      <c r="N52" s="68"/>
      <c r="O52" s="68">
        <v>157</v>
      </c>
      <c r="P52" s="68">
        <v>320</v>
      </c>
      <c r="Q52" s="68">
        <v>320</v>
      </c>
      <c r="R52" s="68">
        <v>360</v>
      </c>
      <c r="S52" s="68">
        <v>360</v>
      </c>
      <c r="T52" s="68"/>
    </row>
    <row r="53" spans="1:20" ht="15" hidden="1">
      <c r="A53" s="13"/>
      <c r="B53">
        <v>4.1</v>
      </c>
      <c r="C53" t="s">
        <v>20</v>
      </c>
      <c r="D53" s="17">
        <v>0</v>
      </c>
      <c r="E53" s="17">
        <v>0</v>
      </c>
      <c r="F53" s="17">
        <v>0</v>
      </c>
      <c r="G53" s="17">
        <v>1464</v>
      </c>
      <c r="H53" s="17">
        <v>1990</v>
      </c>
      <c r="I53">
        <v>1739</v>
      </c>
      <c r="J53">
        <v>1701</v>
      </c>
      <c r="K53">
        <v>1635</v>
      </c>
      <c r="M53" s="68"/>
      <c r="N53" s="68"/>
      <c r="O53" s="68">
        <v>49</v>
      </c>
      <c r="P53" s="68">
        <v>153</v>
      </c>
      <c r="Q53" s="68">
        <v>150</v>
      </c>
      <c r="R53" s="68">
        <v>120</v>
      </c>
      <c r="S53" s="68">
        <v>120</v>
      </c>
      <c r="T53" s="68"/>
    </row>
    <row r="54" spans="1:20" ht="20.25" hidden="1">
      <c r="A54" s="35" t="s">
        <v>19</v>
      </c>
      <c r="B54">
        <v>4.2</v>
      </c>
      <c r="C54" t="s">
        <v>21</v>
      </c>
      <c r="D54" s="17">
        <v>0</v>
      </c>
      <c r="E54" s="17">
        <v>0</v>
      </c>
      <c r="F54" s="17">
        <v>0</v>
      </c>
      <c r="G54" s="17">
        <v>481</v>
      </c>
      <c r="H54" s="17">
        <v>1085</v>
      </c>
      <c r="I54">
        <v>1259</v>
      </c>
      <c r="J54">
        <v>1221</v>
      </c>
      <c r="K54">
        <v>1212</v>
      </c>
      <c r="M54" s="68"/>
      <c r="N54" s="68"/>
      <c r="O54" s="68">
        <v>50</v>
      </c>
      <c r="P54" s="68">
        <v>110</v>
      </c>
      <c r="Q54" s="68">
        <v>110</v>
      </c>
      <c r="R54" s="68">
        <v>140</v>
      </c>
      <c r="S54" s="68">
        <v>140</v>
      </c>
      <c r="T54" s="68"/>
    </row>
    <row r="55" spans="1:20" ht="15" hidden="1">
      <c r="A55" s="12"/>
      <c r="B55" s="5">
        <v>4</v>
      </c>
      <c r="C55" s="3" t="s">
        <v>47</v>
      </c>
      <c r="D55" s="16">
        <f aca="true" t="shared" si="7" ref="D55:K55">+D54+D53</f>
        <v>0</v>
      </c>
      <c r="E55" s="16">
        <f t="shared" si="7"/>
        <v>0</v>
      </c>
      <c r="F55" s="16">
        <f t="shared" si="7"/>
        <v>0</v>
      </c>
      <c r="G55" s="16">
        <f t="shared" si="7"/>
        <v>1945</v>
      </c>
      <c r="H55" s="16">
        <f t="shared" si="7"/>
        <v>3075</v>
      </c>
      <c r="I55" s="16">
        <f t="shared" si="7"/>
        <v>2998</v>
      </c>
      <c r="J55" s="16">
        <f t="shared" si="7"/>
        <v>2922</v>
      </c>
      <c r="K55" s="16">
        <f t="shared" si="7"/>
        <v>2847</v>
      </c>
      <c r="M55" s="68"/>
      <c r="N55" s="68"/>
      <c r="O55" s="68">
        <v>50</v>
      </c>
      <c r="P55" s="68">
        <v>86</v>
      </c>
      <c r="Q55" s="68">
        <v>120</v>
      </c>
      <c r="R55" s="68">
        <v>120</v>
      </c>
      <c r="S55" s="68">
        <v>150</v>
      </c>
      <c r="T55" s="68"/>
    </row>
    <row r="56" spans="4:20" ht="15" hidden="1">
      <c r="D56" s="17"/>
      <c r="E56" s="17"/>
      <c r="F56" s="17"/>
      <c r="G56" s="17"/>
      <c r="H56" s="17"/>
      <c r="I56" t="s">
        <v>32</v>
      </c>
      <c r="M56" s="68"/>
      <c r="N56" s="68"/>
      <c r="O56" s="68">
        <v>70</v>
      </c>
      <c r="P56" s="68">
        <v>110</v>
      </c>
      <c r="Q56" s="68">
        <v>150</v>
      </c>
      <c r="R56" s="68">
        <v>100</v>
      </c>
      <c r="S56" s="68">
        <v>100</v>
      </c>
      <c r="T56" s="68"/>
    </row>
    <row r="57" spans="4:20" ht="15" hidden="1">
      <c r="D57" s="17"/>
      <c r="E57" s="17"/>
      <c r="F57" s="17"/>
      <c r="G57" s="17"/>
      <c r="H57" s="17"/>
      <c r="I57" s="26" t="s">
        <v>32</v>
      </c>
      <c r="M57" s="68"/>
      <c r="N57" s="68" t="s">
        <v>62</v>
      </c>
      <c r="O57" s="68">
        <f>SUM(O49:O56)</f>
        <v>910</v>
      </c>
      <c r="P57" s="68">
        <f>SUM(P49:P56)</f>
        <v>1261</v>
      </c>
      <c r="Q57" s="68">
        <f>SUM(Q49:Q56)</f>
        <v>1369</v>
      </c>
      <c r="R57" s="68">
        <f>SUM(R49:R56)</f>
        <v>1360</v>
      </c>
      <c r="S57" s="68">
        <f>SUM(S49:S56)</f>
        <v>1390</v>
      </c>
      <c r="T57" s="68"/>
    </row>
    <row r="58" spans="1:20" ht="15" hidden="1">
      <c r="A58" s="8" t="s">
        <v>32</v>
      </c>
      <c r="C58" t="s">
        <v>49</v>
      </c>
      <c r="D58" s="17">
        <f>+D55+D50+D9</f>
        <v>4315</v>
      </c>
      <c r="E58" s="17"/>
      <c r="F58" s="17"/>
      <c r="G58" s="17"/>
      <c r="H58" s="17"/>
      <c r="M58" s="68"/>
      <c r="N58" s="68"/>
      <c r="O58" s="68"/>
      <c r="P58" s="68"/>
      <c r="Q58" s="68"/>
      <c r="R58" s="68"/>
      <c r="S58" s="68"/>
      <c r="T58" s="68"/>
    </row>
    <row r="59" spans="1:20" ht="20.25" hidden="1">
      <c r="A59" s="35" t="s">
        <v>48</v>
      </c>
      <c r="C59" t="s">
        <v>22</v>
      </c>
      <c r="D59" s="18">
        <v>1</v>
      </c>
      <c r="E59" s="18"/>
      <c r="F59" s="18"/>
      <c r="G59" s="18"/>
      <c r="H59" s="18"/>
      <c r="M59" s="68"/>
      <c r="N59" t="s">
        <v>73</v>
      </c>
      <c r="O59" s="68">
        <v>2800</v>
      </c>
      <c r="P59" s="68">
        <v>3251</v>
      </c>
      <c r="Q59" s="68">
        <v>3209</v>
      </c>
      <c r="R59" s="68">
        <v>3210</v>
      </c>
      <c r="S59" s="68">
        <v>3210</v>
      </c>
      <c r="T59" s="68"/>
    </row>
    <row r="60" spans="1:20" ht="15" hidden="1">
      <c r="A60" s="12"/>
      <c r="C60" s="3" t="s">
        <v>49</v>
      </c>
      <c r="D60" s="16">
        <f>+D58*D59</f>
        <v>4315</v>
      </c>
      <c r="E60" s="16"/>
      <c r="F60" s="16"/>
      <c r="G60" s="16"/>
      <c r="H60" s="16"/>
      <c r="I60" t="s">
        <v>32</v>
      </c>
      <c r="M60" s="68"/>
      <c r="N60" s="68"/>
      <c r="O60" s="68"/>
      <c r="P60" s="68"/>
      <c r="Q60" s="68"/>
      <c r="R60" s="68"/>
      <c r="S60" s="68"/>
      <c r="T60" s="68"/>
    </row>
    <row r="61" spans="1:20" ht="15" hidden="1">
      <c r="A61" s="3"/>
      <c r="D61" s="17"/>
      <c r="E61" s="17"/>
      <c r="F61" s="17"/>
      <c r="G61" s="17"/>
      <c r="H61" s="17"/>
      <c r="I61" s="26" t="s">
        <v>32</v>
      </c>
      <c r="M61" s="68"/>
      <c r="N61" s="68" t="s">
        <v>60</v>
      </c>
      <c r="O61" s="68">
        <f>+O59-O57</f>
        <v>1890</v>
      </c>
      <c r="P61" s="68">
        <f>+P59-P57</f>
        <v>1990</v>
      </c>
      <c r="Q61" s="68">
        <f>+Q59-Q57</f>
        <v>1840</v>
      </c>
      <c r="R61" s="68">
        <f>+R59-R57</f>
        <v>1850</v>
      </c>
      <c r="S61" s="68">
        <f>+S59-S57</f>
        <v>1820</v>
      </c>
      <c r="T61" s="68"/>
    </row>
    <row r="62" spans="1:20" ht="20.25" hidden="1">
      <c r="A62" s="37" t="s">
        <v>24</v>
      </c>
      <c r="C62" t="s">
        <v>23</v>
      </c>
      <c r="D62" s="19">
        <f>+D63/D60</f>
        <v>0.34762456546929316</v>
      </c>
      <c r="E62" s="19"/>
      <c r="F62" s="19"/>
      <c r="G62" s="19"/>
      <c r="H62" s="19"/>
      <c r="I62" t="s">
        <v>32</v>
      </c>
      <c r="M62" s="68"/>
      <c r="N62" s="68"/>
      <c r="O62" s="68"/>
      <c r="P62" s="68"/>
      <c r="Q62" s="68"/>
      <c r="R62" s="68"/>
      <c r="S62" s="68"/>
      <c r="T62" s="68"/>
    </row>
    <row r="63" spans="1:9" ht="12.75" hidden="1">
      <c r="A63" s="11"/>
      <c r="C63" s="3" t="s">
        <v>50</v>
      </c>
      <c r="D63" s="27">
        <v>1500</v>
      </c>
      <c r="E63" s="27"/>
      <c r="F63" s="27"/>
      <c r="G63" s="27"/>
      <c r="H63" s="27"/>
      <c r="I63" t="s">
        <v>32</v>
      </c>
    </row>
    <row r="64" spans="1:9" ht="12.75" hidden="1">
      <c r="A64" s="3"/>
      <c r="D64" s="28"/>
      <c r="E64" s="28"/>
      <c r="F64" s="28"/>
      <c r="G64" s="28"/>
      <c r="H64" s="28"/>
      <c r="I64" t="s">
        <v>32</v>
      </c>
    </row>
    <row r="65" spans="1:9" ht="20.25" hidden="1">
      <c r="A65" s="36" t="s">
        <v>31</v>
      </c>
      <c r="C65" s="3" t="s">
        <v>25</v>
      </c>
      <c r="D65" s="27">
        <f>+D63+D60</f>
        <v>5815</v>
      </c>
      <c r="E65" s="27"/>
      <c r="F65" s="27"/>
      <c r="G65" s="27"/>
      <c r="H65" s="27"/>
      <c r="I65" s="30" t="s">
        <v>32</v>
      </c>
    </row>
    <row r="66" spans="1:9" ht="12.75" hidden="1">
      <c r="A66" s="15"/>
      <c r="C66" s="3"/>
      <c r="D66" s="28"/>
      <c r="E66" s="28"/>
      <c r="F66" s="28"/>
      <c r="G66" s="28"/>
      <c r="H66" s="28"/>
      <c r="I66" s="30"/>
    </row>
    <row r="67" spans="1:8" ht="12.75" hidden="1">
      <c r="A67" s="3"/>
      <c r="D67" s="28"/>
      <c r="E67" s="28"/>
      <c r="F67" s="28"/>
      <c r="G67" s="28"/>
      <c r="H67" s="28"/>
    </row>
    <row r="68" spans="1:8" ht="12.75" hidden="1">
      <c r="A68" s="3"/>
      <c r="D68" s="28"/>
      <c r="E68" s="28"/>
      <c r="F68" s="28"/>
      <c r="G68" s="28"/>
      <c r="H68" s="28"/>
    </row>
    <row r="69" spans="1:8" ht="12.75" hidden="1">
      <c r="A69" s="8" t="s">
        <v>32</v>
      </c>
      <c r="C69" t="s">
        <v>52</v>
      </c>
      <c r="D69" s="28">
        <v>3315</v>
      </c>
      <c r="E69" s="28"/>
      <c r="F69" s="28"/>
      <c r="G69" s="28"/>
      <c r="H69" s="28"/>
    </row>
    <row r="70" spans="1:8" ht="20.25" hidden="1">
      <c r="A70" s="35" t="s">
        <v>28</v>
      </c>
      <c r="C70" t="s">
        <v>53</v>
      </c>
      <c r="D70" s="28">
        <v>2500</v>
      </c>
      <c r="E70" s="28"/>
      <c r="F70" s="28"/>
      <c r="G70" s="28"/>
      <c r="H70" s="28"/>
    </row>
    <row r="71" spans="1:8" ht="12.75" hidden="1">
      <c r="A71" s="11"/>
      <c r="C71" s="3" t="s">
        <v>51</v>
      </c>
      <c r="D71" s="27">
        <f>+D70+D69</f>
        <v>5815</v>
      </c>
      <c r="E71" s="27"/>
      <c r="F71" s="27"/>
      <c r="G71" s="27"/>
      <c r="H71" s="27"/>
    </row>
    <row r="72" spans="1:8" ht="12.75" hidden="1">
      <c r="A72" s="3"/>
      <c r="D72" s="17"/>
      <c r="E72" s="25"/>
      <c r="F72" s="25"/>
      <c r="G72" s="25"/>
      <c r="H72" s="25"/>
    </row>
    <row r="73" spans="1:8" ht="20.25" hidden="1">
      <c r="A73" s="36" t="s">
        <v>29</v>
      </c>
      <c r="C73" s="3" t="s">
        <v>26</v>
      </c>
      <c r="D73" s="27">
        <f>+D71-D65</f>
        <v>0</v>
      </c>
      <c r="E73" s="27"/>
      <c r="F73" s="27"/>
      <c r="G73" s="27"/>
      <c r="H73" s="31"/>
    </row>
    <row r="74" spans="4:8" ht="12.75" hidden="1">
      <c r="D74" s="17"/>
      <c r="E74" s="17"/>
      <c r="F74" s="17"/>
      <c r="G74" s="17"/>
      <c r="H74" s="17"/>
    </row>
    <row r="75" spans="1:8" ht="12.75" hidden="1">
      <c r="A75" s="7" t="s">
        <v>27</v>
      </c>
      <c r="C75" s="3" t="s">
        <v>27</v>
      </c>
      <c r="D75" s="17">
        <v>0</v>
      </c>
      <c r="E75" s="17"/>
      <c r="F75" s="17"/>
      <c r="G75" s="17"/>
      <c r="H75" s="17"/>
    </row>
    <row r="76" ht="12.75" hidden="1"/>
    <row r="77" ht="12.75" hidden="1">
      <c r="H77" t="s">
        <v>32</v>
      </c>
    </row>
    <row r="78" spans="5:8" ht="12.75" hidden="1">
      <c r="E78" s="29" t="s">
        <v>32</v>
      </c>
      <c r="F78" s="29"/>
      <c r="G78" s="29"/>
      <c r="H78" t="s">
        <v>32</v>
      </c>
    </row>
    <row r="79" spans="5:8" ht="12.75">
      <c r="E79" t="s">
        <v>32</v>
      </c>
      <c r="H79" t="s">
        <v>32</v>
      </c>
    </row>
    <row r="80" spans="1:11" ht="35.25">
      <c r="A80" s="96" t="s">
        <v>76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</row>
    <row r="81" spans="1:9" ht="30.75" thickBot="1">
      <c r="A81" s="71"/>
      <c r="B81" s="71"/>
      <c r="C81" s="71"/>
      <c r="D81" s="71"/>
      <c r="E81" s="71"/>
      <c r="F81" s="71"/>
      <c r="G81" s="71"/>
      <c r="H81" s="71"/>
      <c r="I81" s="71"/>
    </row>
    <row r="82" spans="1:12" ht="23.25">
      <c r="A82" s="38"/>
      <c r="B82" s="39"/>
      <c r="C82" s="39"/>
      <c r="D82" s="40"/>
      <c r="E82" s="40"/>
      <c r="F82" s="40"/>
      <c r="G82" s="40"/>
      <c r="H82" s="40"/>
      <c r="I82" s="22"/>
      <c r="J82" s="22"/>
      <c r="K82" s="23"/>
      <c r="L82" s="23"/>
    </row>
    <row r="83" spans="1:12" ht="24" thickBot="1">
      <c r="A83" s="41" t="s">
        <v>30</v>
      </c>
      <c r="B83" s="42" t="s">
        <v>0</v>
      </c>
      <c r="C83" s="42" t="s">
        <v>1</v>
      </c>
      <c r="D83" s="43" t="s">
        <v>2</v>
      </c>
      <c r="E83" s="43" t="s">
        <v>3</v>
      </c>
      <c r="F83" s="43" t="s">
        <v>4</v>
      </c>
      <c r="G83" s="43" t="s">
        <v>5</v>
      </c>
      <c r="H83" s="43" t="s">
        <v>41</v>
      </c>
      <c r="I83" s="43" t="s">
        <v>59</v>
      </c>
      <c r="J83" s="43" t="s">
        <v>78</v>
      </c>
      <c r="K83" s="44" t="s">
        <v>101</v>
      </c>
      <c r="L83" s="44" t="s">
        <v>112</v>
      </c>
    </row>
    <row r="84" spans="1:8" ht="23.25">
      <c r="A84" s="45"/>
      <c r="B84" s="45"/>
      <c r="C84" s="45"/>
      <c r="D84" s="45"/>
      <c r="E84" s="45"/>
      <c r="F84" s="45"/>
      <c r="G84" s="45"/>
      <c r="H84" s="45"/>
    </row>
    <row r="85" spans="1:13" ht="23.25">
      <c r="A85" s="13"/>
      <c r="B85" s="84">
        <v>2.2</v>
      </c>
      <c r="C85" s="45" t="s">
        <v>43</v>
      </c>
      <c r="D85" s="47"/>
      <c r="E85" s="47">
        <v>2476.9</v>
      </c>
      <c r="F85" s="47">
        <f>3624.4+161</f>
        <v>3785.4</v>
      </c>
      <c r="G85" s="47">
        <v>0</v>
      </c>
      <c r="H85" s="47">
        <v>5327.372</v>
      </c>
      <c r="I85" s="47">
        <v>5801.44</v>
      </c>
      <c r="J85" s="47">
        <v>5980.323</v>
      </c>
      <c r="K85" s="47">
        <v>6219.536</v>
      </c>
      <c r="L85" s="47">
        <v>6067</v>
      </c>
      <c r="M85" s="33"/>
    </row>
    <row r="86" spans="1:14" ht="23.25">
      <c r="A86" s="48" t="s">
        <v>7</v>
      </c>
      <c r="B86" s="84">
        <v>2.3</v>
      </c>
      <c r="C86" s="45" t="s">
        <v>44</v>
      </c>
      <c r="D86" s="47">
        <v>0</v>
      </c>
      <c r="E86" s="47">
        <v>2010</v>
      </c>
      <c r="F86" s="47">
        <v>4626.9</v>
      </c>
      <c r="G86" s="47">
        <v>0</v>
      </c>
      <c r="H86" s="47">
        <v>11964.363</v>
      </c>
      <c r="I86" s="47">
        <v>11765</v>
      </c>
      <c r="J86" s="47">
        <v>13171</v>
      </c>
      <c r="K86" s="47">
        <v>11873</v>
      </c>
      <c r="L86" s="47">
        <v>11873</v>
      </c>
      <c r="M86" s="29"/>
      <c r="N86" s="29"/>
    </row>
    <row r="87" spans="1:14" ht="23.25">
      <c r="A87" s="49" t="s">
        <v>32</v>
      </c>
      <c r="B87" s="85">
        <v>2</v>
      </c>
      <c r="C87" s="50" t="s">
        <v>33</v>
      </c>
      <c r="D87" s="51" t="e">
        <f>+D86+#REF!</f>
        <v>#REF!</v>
      </c>
      <c r="E87" s="51" t="e">
        <f>+E86+E85+#REF!</f>
        <v>#REF!</v>
      </c>
      <c r="F87" s="51">
        <f aca="true" t="shared" si="8" ref="F87:L87">+F86+F85</f>
        <v>8412.3</v>
      </c>
      <c r="G87" s="51">
        <f t="shared" si="8"/>
        <v>0</v>
      </c>
      <c r="H87" s="51">
        <f t="shared" si="8"/>
        <v>17291.735</v>
      </c>
      <c r="I87" s="51">
        <f t="shared" si="8"/>
        <v>17566.44</v>
      </c>
      <c r="J87" s="51">
        <f t="shared" si="8"/>
        <v>19151.323</v>
      </c>
      <c r="K87" s="51">
        <f t="shared" si="8"/>
        <v>18092.536</v>
      </c>
      <c r="L87" s="51">
        <f t="shared" si="8"/>
        <v>17940</v>
      </c>
      <c r="M87" s="33"/>
      <c r="N87" s="33"/>
    </row>
    <row r="88" spans="1:14" ht="23.25" hidden="1">
      <c r="A88" s="52"/>
      <c r="B88" s="85"/>
      <c r="C88" s="50"/>
      <c r="D88" s="51"/>
      <c r="E88" s="51"/>
      <c r="F88" s="51"/>
      <c r="G88" s="51"/>
      <c r="H88" s="51"/>
      <c r="I88" s="65"/>
      <c r="J88" s="65"/>
      <c r="K88" s="65"/>
      <c r="L88" s="65"/>
      <c r="M88" s="33"/>
      <c r="N88" s="33"/>
    </row>
    <row r="89" spans="1:13" ht="23.25" hidden="1">
      <c r="A89" s="52"/>
      <c r="B89" s="85"/>
      <c r="C89" s="50" t="s">
        <v>54</v>
      </c>
      <c r="D89" s="51"/>
      <c r="E89" s="53">
        <v>1</v>
      </c>
      <c r="F89" s="53">
        <v>1</v>
      </c>
      <c r="G89" s="53">
        <v>1</v>
      </c>
      <c r="H89" s="51">
        <v>1.026</v>
      </c>
      <c r="I89" s="53">
        <v>1.0527</v>
      </c>
      <c r="J89" s="53">
        <v>1.08</v>
      </c>
      <c r="K89" s="53">
        <v>1.1081</v>
      </c>
      <c r="L89" s="53">
        <v>1.1081</v>
      </c>
      <c r="M89" s="70" t="s">
        <v>32</v>
      </c>
    </row>
    <row r="90" spans="1:13" ht="23.25">
      <c r="A90" s="52"/>
      <c r="B90" s="85"/>
      <c r="C90" s="50"/>
      <c r="D90" s="51"/>
      <c r="E90" s="51"/>
      <c r="F90" s="51"/>
      <c r="G90" s="51"/>
      <c r="H90" s="51"/>
      <c r="I90" s="65"/>
      <c r="J90" s="65"/>
      <c r="K90" s="65"/>
      <c r="L90" s="65"/>
      <c r="M90" s="70"/>
    </row>
    <row r="91" spans="1:13" ht="23.25">
      <c r="A91" s="54"/>
      <c r="B91" s="86">
        <v>3.1</v>
      </c>
      <c r="C91" s="55" t="s">
        <v>40</v>
      </c>
      <c r="D91" s="56">
        <v>0</v>
      </c>
      <c r="E91" s="56">
        <v>205.68</v>
      </c>
      <c r="F91" s="56">
        <v>559</v>
      </c>
      <c r="G91" s="56">
        <v>1099.77</v>
      </c>
      <c r="H91" s="56">
        <v>1520.2</v>
      </c>
      <c r="I91" s="56">
        <v>1293</v>
      </c>
      <c r="J91" s="56">
        <v>1600</v>
      </c>
      <c r="K91" s="56">
        <v>1596</v>
      </c>
      <c r="L91" s="56">
        <f>+K91</f>
        <v>1596</v>
      </c>
      <c r="M91" s="70"/>
    </row>
    <row r="92" spans="1:13" ht="23.25">
      <c r="A92" s="57"/>
      <c r="B92" s="86">
        <v>3.2</v>
      </c>
      <c r="C92" s="55" t="s">
        <v>9</v>
      </c>
      <c r="D92" s="56">
        <v>173</v>
      </c>
      <c r="E92" s="56">
        <v>496.16</v>
      </c>
      <c r="F92" s="56">
        <v>867.3</v>
      </c>
      <c r="G92" s="56">
        <v>598.42</v>
      </c>
      <c r="H92" s="56">
        <v>618.84</v>
      </c>
      <c r="I92" s="56">
        <f>+I13*I$89</f>
        <v>428.4489</v>
      </c>
      <c r="J92" s="56">
        <f>+J13*J$89</f>
        <v>453.6</v>
      </c>
      <c r="K92" s="56">
        <v>428</v>
      </c>
      <c r="L92" s="56">
        <f>+K92</f>
        <v>428</v>
      </c>
      <c r="M92" s="70"/>
    </row>
    <row r="93" spans="1:13" ht="23.25">
      <c r="A93" s="57"/>
      <c r="B93" s="86">
        <v>3.3</v>
      </c>
      <c r="C93" s="55" t="s">
        <v>10</v>
      </c>
      <c r="D93" s="56">
        <v>122</v>
      </c>
      <c r="E93" s="56">
        <v>1465.85</v>
      </c>
      <c r="F93" s="56">
        <v>1693.6</v>
      </c>
      <c r="G93" s="56">
        <v>3233.25</v>
      </c>
      <c r="H93" s="56">
        <v>3480.903</v>
      </c>
      <c r="I93" s="56">
        <f>2107</f>
        <v>2107</v>
      </c>
      <c r="J93" s="56">
        <f>+J14*J$89</f>
        <v>2107.08</v>
      </c>
      <c r="K93" s="56">
        <f>+K14*K$89</f>
        <v>2170.7679000000003</v>
      </c>
      <c r="L93" s="56">
        <f>+K93</f>
        <v>2170.7679000000003</v>
      </c>
      <c r="M93" s="70"/>
    </row>
    <row r="94" spans="1:13" ht="23.25">
      <c r="A94" s="57"/>
      <c r="B94" s="86">
        <v>3.4</v>
      </c>
      <c r="C94" s="55" t="s">
        <v>11</v>
      </c>
      <c r="D94" s="56">
        <v>119</v>
      </c>
      <c r="E94" s="56">
        <v>587.19</v>
      </c>
      <c r="F94" s="56">
        <v>860.6</v>
      </c>
      <c r="G94" s="56">
        <v>1124.42</v>
      </c>
      <c r="H94" s="56">
        <v>1192</v>
      </c>
      <c r="I94" s="56">
        <f>+I15*I$89</f>
        <v>765.3129</v>
      </c>
      <c r="J94" s="56">
        <f>+J15*J$89</f>
        <v>784.08</v>
      </c>
      <c r="K94" s="56">
        <v>805</v>
      </c>
      <c r="L94" s="56">
        <f>+K94</f>
        <v>805</v>
      </c>
      <c r="M94" s="70"/>
    </row>
    <row r="95" spans="1:13" ht="23.25">
      <c r="A95" s="57"/>
      <c r="B95" s="86">
        <v>3.5</v>
      </c>
      <c r="C95" s="55" t="s">
        <v>12</v>
      </c>
      <c r="D95" s="56">
        <v>188</v>
      </c>
      <c r="E95" s="56">
        <v>1058.43</v>
      </c>
      <c r="F95" s="56">
        <v>2001.9</v>
      </c>
      <c r="G95" s="56">
        <v>2187.94</v>
      </c>
      <c r="H95" s="94">
        <v>2382.989</v>
      </c>
      <c r="I95" s="56">
        <v>860</v>
      </c>
      <c r="J95" s="56">
        <v>871</v>
      </c>
      <c r="K95" s="56">
        <f>+K16*K$89</f>
        <v>895.3448000000001</v>
      </c>
      <c r="L95" s="56">
        <f>+K95</f>
        <v>895.3448000000001</v>
      </c>
      <c r="M95" s="70"/>
    </row>
    <row r="96" spans="1:13" ht="23.25">
      <c r="A96" s="48" t="s">
        <v>45</v>
      </c>
      <c r="B96" s="86">
        <v>3.6</v>
      </c>
      <c r="C96" s="55" t="s">
        <v>13</v>
      </c>
      <c r="D96" s="56">
        <v>0</v>
      </c>
      <c r="E96" s="56">
        <v>129.68</v>
      </c>
      <c r="F96" s="56">
        <v>294.2</v>
      </c>
      <c r="G96" s="56">
        <v>1583.27</v>
      </c>
      <c r="H96" s="56">
        <v>1591.68</v>
      </c>
      <c r="I96" s="94">
        <f>+I17*I$89</f>
        <v>542.1405</v>
      </c>
      <c r="J96" s="94">
        <f>+J17*J$89</f>
        <v>556.2</v>
      </c>
      <c r="K96" s="94">
        <v>570</v>
      </c>
      <c r="L96" s="56">
        <v>570</v>
      </c>
      <c r="M96" s="70"/>
    </row>
    <row r="97" spans="1:14" ht="23.25">
      <c r="A97" s="57"/>
      <c r="B97" s="86"/>
      <c r="C97" s="55" t="s">
        <v>34</v>
      </c>
      <c r="D97" s="56">
        <v>208</v>
      </c>
      <c r="E97" s="56">
        <v>244</v>
      </c>
      <c r="F97" s="56">
        <v>329.01</v>
      </c>
      <c r="G97" s="56">
        <v>710.1546</v>
      </c>
      <c r="H97" s="56">
        <f>243+328+398+143+219</f>
        <v>1331</v>
      </c>
      <c r="I97" s="56">
        <v>1331</v>
      </c>
      <c r="J97" s="56">
        <v>1331</v>
      </c>
      <c r="K97" s="56">
        <v>1331</v>
      </c>
      <c r="L97" s="56">
        <v>1331</v>
      </c>
      <c r="M97" s="70"/>
      <c r="N97" t="s">
        <v>32</v>
      </c>
    </row>
    <row r="98" spans="1:14" ht="23.25">
      <c r="A98" s="57"/>
      <c r="B98" s="86">
        <v>3.7</v>
      </c>
      <c r="C98" s="55" t="s">
        <v>14</v>
      </c>
      <c r="D98" s="56">
        <v>49</v>
      </c>
      <c r="E98" s="56">
        <v>771</v>
      </c>
      <c r="F98" s="56">
        <v>750.5</v>
      </c>
      <c r="G98" s="56">
        <v>1884.27</v>
      </c>
      <c r="H98" s="56">
        <v>2183</v>
      </c>
      <c r="I98" s="56">
        <v>2504</v>
      </c>
      <c r="J98" s="56">
        <v>2487</v>
      </c>
      <c r="K98" s="56">
        <v>2487</v>
      </c>
      <c r="L98" s="56">
        <v>2487</v>
      </c>
      <c r="M98" s="70" t="s">
        <v>32</v>
      </c>
      <c r="N98" t="s">
        <v>32</v>
      </c>
    </row>
    <row r="99" spans="1:14" ht="23.25">
      <c r="A99" s="57"/>
      <c r="B99" s="86" t="s">
        <v>102</v>
      </c>
      <c r="C99" s="55" t="s">
        <v>103</v>
      </c>
      <c r="D99" s="56"/>
      <c r="E99" s="56"/>
      <c r="F99" s="56"/>
      <c r="G99" s="56"/>
      <c r="H99" s="56">
        <v>1164</v>
      </c>
      <c r="I99" s="56">
        <v>0</v>
      </c>
      <c r="J99" s="56">
        <v>0</v>
      </c>
      <c r="K99" s="56">
        <v>0</v>
      </c>
      <c r="L99" s="56">
        <v>0</v>
      </c>
      <c r="M99" s="70" t="s">
        <v>32</v>
      </c>
      <c r="N99" t="s">
        <v>32</v>
      </c>
    </row>
    <row r="100" spans="1:14" ht="23.25">
      <c r="A100" s="57"/>
      <c r="B100" s="86">
        <v>3.8</v>
      </c>
      <c r="C100" s="55" t="s">
        <v>37</v>
      </c>
      <c r="D100" s="56">
        <v>0</v>
      </c>
      <c r="E100" s="56">
        <v>28</v>
      </c>
      <c r="F100" s="56">
        <v>51.6</v>
      </c>
      <c r="G100" s="56">
        <v>98.91</v>
      </c>
      <c r="H100" s="56">
        <f aca="true" t="shared" si="9" ref="H100:K101">+H20*H$89</f>
        <v>51.300000000000004</v>
      </c>
      <c r="I100" s="56">
        <f t="shared" si="9"/>
        <v>52.635</v>
      </c>
      <c r="J100" s="56">
        <f t="shared" si="9"/>
        <v>54</v>
      </c>
      <c r="K100" s="56">
        <f t="shared" si="9"/>
        <v>55.405</v>
      </c>
      <c r="L100" s="56">
        <f>+K100</f>
        <v>55.405</v>
      </c>
      <c r="M100" s="70"/>
      <c r="N100" t="s">
        <v>32</v>
      </c>
    </row>
    <row r="101" spans="1:14" ht="23.25">
      <c r="A101" s="57"/>
      <c r="B101" s="86">
        <v>3.9</v>
      </c>
      <c r="C101" s="55" t="s">
        <v>15</v>
      </c>
      <c r="D101" s="56">
        <f>224+102</f>
        <v>326</v>
      </c>
      <c r="E101" s="56">
        <v>416.11</v>
      </c>
      <c r="F101" s="56">
        <v>1180.5</v>
      </c>
      <c r="G101" s="56">
        <f>1887.63-82.13</f>
        <v>1805.5</v>
      </c>
      <c r="H101" s="56">
        <v>797</v>
      </c>
      <c r="I101" s="56">
        <f t="shared" si="9"/>
        <v>678.9915</v>
      </c>
      <c r="J101" s="56">
        <v>696</v>
      </c>
      <c r="K101" s="56">
        <f t="shared" si="9"/>
        <v>714.7245</v>
      </c>
      <c r="L101" s="56">
        <f>+K101</f>
        <v>714.7245</v>
      </c>
      <c r="M101" s="70"/>
      <c r="N101" t="s">
        <v>32</v>
      </c>
    </row>
    <row r="102" spans="1:14" ht="23.25">
      <c r="A102" s="57"/>
      <c r="B102" s="87" t="s">
        <v>8</v>
      </c>
      <c r="C102" s="55" t="s">
        <v>16</v>
      </c>
      <c r="D102" s="56">
        <v>0</v>
      </c>
      <c r="E102" s="56">
        <v>0</v>
      </c>
      <c r="F102" s="56">
        <v>874.64</v>
      </c>
      <c r="G102" s="56">
        <v>946.21</v>
      </c>
      <c r="H102" s="56">
        <v>1013.385</v>
      </c>
      <c r="I102" s="56">
        <v>488</v>
      </c>
      <c r="J102" s="56">
        <v>514</v>
      </c>
      <c r="K102" s="56">
        <v>540</v>
      </c>
      <c r="L102" s="56">
        <v>540</v>
      </c>
      <c r="M102" s="70"/>
      <c r="N102" t="s">
        <v>32</v>
      </c>
    </row>
    <row r="103" spans="1:14" ht="23.25">
      <c r="A103" s="58"/>
      <c r="B103" s="85">
        <v>3</v>
      </c>
      <c r="C103" s="50" t="s">
        <v>18</v>
      </c>
      <c r="D103" s="51">
        <f>+D102+D101+D100+D98+D96+D95+D94+D93+D92+D91</f>
        <v>977</v>
      </c>
      <c r="E103" s="51">
        <f>+E102+E101+E100+E98+E96+E95+E94+E93+E92+E91</f>
        <v>5158.1</v>
      </c>
      <c r="F103" s="51">
        <f>+F102+F101+F100+F98+F96+F95+F94+F93+F92+F91</f>
        <v>9133.84</v>
      </c>
      <c r="G103" s="51">
        <f>+G102+G101+G100+G98+G96+G95+G94+G93+G92+G91</f>
        <v>14561.960000000001</v>
      </c>
      <c r="H103" s="51">
        <f>+H102+H101+H100+H99+H98+H96+H95+H94+H93+H92+H91</f>
        <v>15995.297</v>
      </c>
      <c r="I103" s="51">
        <f>+I102+I101+I100+I99+I98+I96+I95+I94+I93+I92+I91</f>
        <v>9719.5288</v>
      </c>
      <c r="J103" s="51">
        <f>+J102+J101+J100+J99+J98+J96+J95+J94+J93+J92+J91</f>
        <v>10122.96</v>
      </c>
      <c r="K103" s="51">
        <f>+K102+K101+K100+K99+K98+K96+K95+K94+K93+K92+K91</f>
        <v>10262.2422</v>
      </c>
      <c r="L103" s="51">
        <f>+L102+L101+L100+L99+L98+L96+L95+L94+L93+L92+L91</f>
        <v>10262.2422</v>
      </c>
      <c r="M103" s="70"/>
      <c r="N103" t="s">
        <v>32</v>
      </c>
    </row>
    <row r="104" spans="1:13" ht="23.25">
      <c r="A104" s="55"/>
      <c r="B104" s="86"/>
      <c r="C104" s="55"/>
      <c r="D104" s="56"/>
      <c r="E104" s="56"/>
      <c r="F104" s="56"/>
      <c r="G104" s="56"/>
      <c r="H104" s="56"/>
      <c r="I104" s="65"/>
      <c r="J104" s="65"/>
      <c r="K104" s="65"/>
      <c r="L104" s="65"/>
      <c r="M104" s="70"/>
    </row>
    <row r="105" spans="1:13" ht="23.25">
      <c r="A105" s="46"/>
      <c r="B105" s="86">
        <v>4.1</v>
      </c>
      <c r="C105" s="55" t="s">
        <v>20</v>
      </c>
      <c r="D105" s="56">
        <v>0</v>
      </c>
      <c r="E105" s="56">
        <v>100</v>
      </c>
      <c r="F105" s="56">
        <v>499.5</v>
      </c>
      <c r="G105" s="56">
        <v>1472.54</v>
      </c>
      <c r="H105" s="56">
        <v>2670</v>
      </c>
      <c r="I105" s="56">
        <v>2167</v>
      </c>
      <c r="J105" s="56">
        <v>1889</v>
      </c>
      <c r="K105" s="56">
        <v>1835</v>
      </c>
      <c r="L105" s="56">
        <v>1835.5</v>
      </c>
      <c r="M105" s="70" t="s">
        <v>32</v>
      </c>
    </row>
    <row r="106" spans="1:13" ht="23.25">
      <c r="A106" s="57" t="s">
        <v>58</v>
      </c>
      <c r="B106" s="86">
        <v>4.3</v>
      </c>
      <c r="C106" s="55" t="s">
        <v>21</v>
      </c>
      <c r="D106" s="56">
        <v>0</v>
      </c>
      <c r="E106" s="56">
        <f>+E54*E$89</f>
        <v>0</v>
      </c>
      <c r="F106" s="56">
        <f>+F54*F$89</f>
        <v>0</v>
      </c>
      <c r="G106" s="56">
        <v>750</v>
      </c>
      <c r="H106" s="56">
        <v>1177</v>
      </c>
      <c r="I106" s="56">
        <v>1296</v>
      </c>
      <c r="J106" s="56">
        <v>1267</v>
      </c>
      <c r="K106" s="56">
        <v>1320</v>
      </c>
      <c r="L106" s="56">
        <v>1319.9</v>
      </c>
      <c r="M106" s="70" t="s">
        <v>32</v>
      </c>
    </row>
    <row r="107" spans="1:13" ht="23.25">
      <c r="A107" s="57"/>
      <c r="B107" s="86">
        <v>4.5</v>
      </c>
      <c r="C107" s="55" t="s">
        <v>57</v>
      </c>
      <c r="D107" s="56"/>
      <c r="E107" s="56"/>
      <c r="F107" s="56">
        <v>30</v>
      </c>
      <c r="G107" s="56">
        <v>20</v>
      </c>
      <c r="H107" s="56">
        <v>0</v>
      </c>
      <c r="I107" s="56">
        <v>0</v>
      </c>
      <c r="J107" s="56">
        <v>0</v>
      </c>
      <c r="K107" s="56">
        <v>0</v>
      </c>
      <c r="L107" s="56">
        <f>+K107</f>
        <v>0</v>
      </c>
      <c r="M107" s="70" t="s">
        <v>32</v>
      </c>
    </row>
    <row r="108" spans="1:13" ht="23.25">
      <c r="A108" s="58"/>
      <c r="B108" s="88">
        <v>4</v>
      </c>
      <c r="C108" s="50" t="s">
        <v>47</v>
      </c>
      <c r="D108" s="51">
        <f>+D106+D105</f>
        <v>0</v>
      </c>
      <c r="E108" s="51">
        <f>+E106+E105</f>
        <v>100</v>
      </c>
      <c r="F108" s="51">
        <f aca="true" t="shared" si="10" ref="F108:L108">+F107+F106+F105</f>
        <v>529.5</v>
      </c>
      <c r="G108" s="51">
        <f t="shared" si="10"/>
        <v>2242.54</v>
      </c>
      <c r="H108" s="51">
        <f t="shared" si="10"/>
        <v>3847</v>
      </c>
      <c r="I108" s="51">
        <f t="shared" si="10"/>
        <v>3463</v>
      </c>
      <c r="J108" s="51">
        <f t="shared" si="10"/>
        <v>3156</v>
      </c>
      <c r="K108" s="51">
        <f t="shared" si="10"/>
        <v>3155</v>
      </c>
      <c r="L108" s="51">
        <f t="shared" si="10"/>
        <v>3155.4</v>
      </c>
      <c r="M108" s="70"/>
    </row>
    <row r="109" spans="1:13" ht="23.25">
      <c r="A109" s="55"/>
      <c r="B109" s="55"/>
      <c r="C109" s="55"/>
      <c r="D109" s="56"/>
      <c r="E109" s="56"/>
      <c r="F109" s="56"/>
      <c r="G109" s="56" t="s">
        <v>32</v>
      </c>
      <c r="H109" s="56" t="s">
        <v>32</v>
      </c>
      <c r="I109" s="65"/>
      <c r="J109" s="65"/>
      <c r="K109" s="65"/>
      <c r="L109" s="65"/>
      <c r="M109" s="70"/>
    </row>
    <row r="110" spans="1:13" ht="23.25">
      <c r="A110" s="55"/>
      <c r="B110" s="55"/>
      <c r="C110" s="55"/>
      <c r="D110" s="56"/>
      <c r="E110" s="56"/>
      <c r="F110" s="56"/>
      <c r="G110" s="64" t="s">
        <v>32</v>
      </c>
      <c r="H110" s="56" t="s">
        <v>32</v>
      </c>
      <c r="I110" s="65"/>
      <c r="J110" s="65"/>
      <c r="K110" s="65"/>
      <c r="L110" s="65"/>
      <c r="M110" s="70"/>
    </row>
    <row r="111" spans="1:13" ht="23.25">
      <c r="A111" s="54" t="s">
        <v>32</v>
      </c>
      <c r="B111" s="55"/>
      <c r="C111" s="55"/>
      <c r="D111" s="56" t="e">
        <f>+D108+#REF!+D87</f>
        <v>#REF!</v>
      </c>
      <c r="E111" s="55"/>
      <c r="F111" s="55"/>
      <c r="G111" s="55"/>
      <c r="H111" s="55" t="s">
        <v>32</v>
      </c>
      <c r="I111" s="65"/>
      <c r="J111" s="65"/>
      <c r="K111" s="65"/>
      <c r="L111" s="65"/>
      <c r="M111" s="70"/>
    </row>
    <row r="112" spans="1:12" ht="23.25">
      <c r="A112" s="57" t="s">
        <v>48</v>
      </c>
      <c r="B112" s="55"/>
      <c r="C112" s="50" t="s">
        <v>56</v>
      </c>
      <c r="D112" s="59">
        <v>1</v>
      </c>
      <c r="E112" s="51" t="e">
        <f aca="true" t="shared" si="11" ref="E112:L112">+E108+E103+E87</f>
        <v>#REF!</v>
      </c>
      <c r="F112" s="51">
        <f t="shared" si="11"/>
        <v>18075.64</v>
      </c>
      <c r="G112" s="51">
        <f t="shared" si="11"/>
        <v>16804.5</v>
      </c>
      <c r="H112" s="51">
        <f t="shared" si="11"/>
        <v>37134.032</v>
      </c>
      <c r="I112" s="51">
        <f t="shared" si="11"/>
        <v>30748.9688</v>
      </c>
      <c r="J112" s="51">
        <f t="shared" si="11"/>
        <v>32430.283</v>
      </c>
      <c r="K112" s="51">
        <f t="shared" si="11"/>
        <v>31509.7782</v>
      </c>
      <c r="L112" s="51">
        <f t="shared" si="11"/>
        <v>31357.642200000002</v>
      </c>
    </row>
    <row r="113" spans="1:12" ht="23.25">
      <c r="A113" s="58"/>
      <c r="B113" s="55"/>
      <c r="C113" s="55"/>
      <c r="D113" s="51" t="e">
        <f>+D111*D112</f>
        <v>#REF!</v>
      </c>
      <c r="E113" s="51"/>
      <c r="F113" s="51"/>
      <c r="G113" s="51"/>
      <c r="H113" s="51"/>
      <c r="I113" s="65"/>
      <c r="J113" s="65"/>
      <c r="K113" s="65"/>
      <c r="L113" s="65"/>
    </row>
    <row r="114" spans="1:12" ht="23.25">
      <c r="A114" s="50"/>
      <c r="B114" s="55"/>
      <c r="C114" s="55"/>
      <c r="D114" s="56"/>
      <c r="E114" s="56"/>
      <c r="F114" s="56"/>
      <c r="G114" s="56"/>
      <c r="H114" s="56"/>
      <c r="I114" s="65"/>
      <c r="J114" s="65"/>
      <c r="K114" s="65"/>
      <c r="L114" s="65"/>
    </row>
    <row r="115" spans="1:12" ht="23.25">
      <c r="A115" s="54" t="s">
        <v>24</v>
      </c>
      <c r="B115" s="55"/>
      <c r="C115" s="55" t="s">
        <v>23</v>
      </c>
      <c r="D115" s="60" t="e">
        <f>+D116/D113</f>
        <v>#REF!</v>
      </c>
      <c r="E115" s="60" t="e">
        <f>+E116/E112</f>
        <v>#REF!</v>
      </c>
      <c r="F115" s="60">
        <f>+F116/F112</f>
        <v>0</v>
      </c>
      <c r="G115" s="69">
        <f aca="true" t="shared" si="12" ref="G115:L115">+G116/G124</f>
        <v>0.09888414942800257</v>
      </c>
      <c r="H115" s="69">
        <f t="shared" si="12"/>
        <v>0.030255637649458128</v>
      </c>
      <c r="I115" s="69">
        <f t="shared" si="12"/>
        <v>0.10872554202898554</v>
      </c>
      <c r="J115" s="69">
        <f t="shared" si="12"/>
        <v>0.11149909589041097</v>
      </c>
      <c r="K115" s="69">
        <f t="shared" si="12"/>
        <v>0.15973924799999997</v>
      </c>
      <c r="L115" s="69">
        <f t="shared" si="12"/>
        <v>0.18551578701298696</v>
      </c>
    </row>
    <row r="116" spans="1:12" ht="23.25">
      <c r="A116" s="49"/>
      <c r="B116" s="55"/>
      <c r="C116" s="50" t="s">
        <v>50</v>
      </c>
      <c r="D116" s="61">
        <v>1500</v>
      </c>
      <c r="E116" s="61">
        <v>0</v>
      </c>
      <c r="F116" s="61">
        <v>0</v>
      </c>
      <c r="G116" s="61">
        <v>2930.234</v>
      </c>
      <c r="H116" s="61">
        <f>H124-H112</f>
        <v>1158.5670000000027</v>
      </c>
      <c r="I116" s="61">
        <f>I124-I112</f>
        <v>3751.0312000000013</v>
      </c>
      <c r="J116" s="61">
        <f>J124-J112</f>
        <v>4069.7170000000006</v>
      </c>
      <c r="K116" s="61">
        <f>K124-K112</f>
        <v>5990.221799999999</v>
      </c>
      <c r="L116" s="61">
        <f>L124-L112</f>
        <v>7142.357799999998</v>
      </c>
    </row>
    <row r="117" spans="1:12" ht="23.25">
      <c r="A117" s="50"/>
      <c r="B117" s="55"/>
      <c r="C117" s="55"/>
      <c r="D117" s="62"/>
      <c r="E117" s="62"/>
      <c r="F117" s="62"/>
      <c r="G117" s="62"/>
      <c r="H117" s="62"/>
      <c r="I117" s="65"/>
      <c r="J117" s="65"/>
      <c r="K117" s="65"/>
      <c r="L117" s="65"/>
    </row>
    <row r="118" spans="1:12" ht="23.25">
      <c r="A118" s="63" t="s">
        <v>55</v>
      </c>
      <c r="B118" s="55"/>
      <c r="C118" s="50" t="s">
        <v>55</v>
      </c>
      <c r="D118" s="61" t="e">
        <f>+D116+D113</f>
        <v>#REF!</v>
      </c>
      <c r="E118" s="61" t="e">
        <f aca="true" t="shared" si="13" ref="E118:L118">+E116+E112</f>
        <v>#REF!</v>
      </c>
      <c r="F118" s="61">
        <f t="shared" si="13"/>
        <v>18075.64</v>
      </c>
      <c r="G118" s="61">
        <f t="shared" si="13"/>
        <v>19734.734</v>
      </c>
      <c r="H118" s="61">
        <f t="shared" si="13"/>
        <v>38292.599</v>
      </c>
      <c r="I118" s="61">
        <f t="shared" si="13"/>
        <v>34500</v>
      </c>
      <c r="J118" s="61">
        <f t="shared" si="13"/>
        <v>36500</v>
      </c>
      <c r="K118" s="61">
        <f t="shared" si="13"/>
        <v>37500</v>
      </c>
      <c r="L118" s="61">
        <f t="shared" si="13"/>
        <v>38500</v>
      </c>
    </row>
    <row r="119" spans="1:12" ht="23.25">
      <c r="A119" s="52"/>
      <c r="B119" s="55"/>
      <c r="C119" s="50"/>
      <c r="D119" s="62"/>
      <c r="E119" s="62"/>
      <c r="F119" s="62"/>
      <c r="G119" s="62"/>
      <c r="H119" s="62"/>
      <c r="I119" s="65"/>
      <c r="J119" s="65"/>
      <c r="K119" s="65"/>
      <c r="L119" s="65"/>
    </row>
    <row r="120" spans="1:12" ht="23.25">
      <c r="A120" s="50"/>
      <c r="B120" s="55"/>
      <c r="C120" s="55"/>
      <c r="D120" s="62"/>
      <c r="E120" s="62"/>
      <c r="F120" s="62"/>
      <c r="G120" s="62"/>
      <c r="H120" s="62"/>
      <c r="I120" s="65"/>
      <c r="J120" s="65"/>
      <c r="K120" s="65"/>
      <c r="L120" s="65"/>
    </row>
    <row r="121" spans="1:13" ht="23.25">
      <c r="A121" s="54" t="s">
        <v>32</v>
      </c>
      <c r="B121" s="55"/>
      <c r="C121" s="55" t="s">
        <v>52</v>
      </c>
      <c r="D121" s="62">
        <v>3315</v>
      </c>
      <c r="E121" s="62">
        <v>7270</v>
      </c>
      <c r="F121" s="62">
        <v>12790</v>
      </c>
      <c r="G121" s="62">
        <v>21300</v>
      </c>
      <c r="H121" s="56">
        <v>24600</v>
      </c>
      <c r="I121" s="56">
        <v>25500</v>
      </c>
      <c r="J121" s="56">
        <v>27500</v>
      </c>
      <c r="K121" s="56">
        <v>28500</v>
      </c>
      <c r="L121" s="56">
        <v>29500</v>
      </c>
      <c r="M121" s="33"/>
    </row>
    <row r="122" spans="1:12" ht="23.25">
      <c r="A122" s="57" t="s">
        <v>28</v>
      </c>
      <c r="B122" s="55"/>
      <c r="C122" s="55" t="s">
        <v>77</v>
      </c>
      <c r="D122" s="62">
        <v>2500</v>
      </c>
      <c r="E122" s="62">
        <f>2278+353</f>
        <v>2631</v>
      </c>
      <c r="F122" s="62">
        <f>5639-353</f>
        <v>5286</v>
      </c>
      <c r="G122" s="62">
        <v>8333</v>
      </c>
      <c r="H122" s="56">
        <v>9000</v>
      </c>
      <c r="I122" s="56">
        <v>9000</v>
      </c>
      <c r="J122" s="56">
        <v>9000</v>
      </c>
      <c r="K122" s="56">
        <v>9000</v>
      </c>
      <c r="L122" s="56">
        <v>9000</v>
      </c>
    </row>
    <row r="123" spans="1:12" ht="46.5">
      <c r="A123" s="89"/>
      <c r="B123" s="90"/>
      <c r="C123" s="90" t="s">
        <v>113</v>
      </c>
      <c r="D123" s="91"/>
      <c r="E123" s="91"/>
      <c r="F123" s="91"/>
      <c r="G123" s="91"/>
      <c r="H123" s="92">
        <f>863.714+1788.869+2040.016</f>
        <v>4692.599</v>
      </c>
      <c r="I123" s="92">
        <v>0</v>
      </c>
      <c r="J123" s="92">
        <v>0</v>
      </c>
      <c r="K123" s="92">
        <v>0</v>
      </c>
      <c r="L123" s="92">
        <v>0</v>
      </c>
    </row>
    <row r="124" spans="1:12" ht="23.25">
      <c r="A124" s="49"/>
      <c r="B124" s="55"/>
      <c r="C124" s="50" t="s">
        <v>51</v>
      </c>
      <c r="D124" s="61">
        <f>+D122+D121</f>
        <v>5815</v>
      </c>
      <c r="E124" s="61">
        <f>+E122+E121</f>
        <v>9901</v>
      </c>
      <c r="F124" s="61">
        <f>+F122+F121</f>
        <v>18076</v>
      </c>
      <c r="G124" s="61">
        <f>+G122+G121</f>
        <v>29633</v>
      </c>
      <c r="H124" s="51">
        <f>SUM(H121:H123)</f>
        <v>38292.599</v>
      </c>
      <c r="I124" s="51">
        <f>SUM(I121:I123)</f>
        <v>34500</v>
      </c>
      <c r="J124" s="51">
        <f>SUM(J121:J123)</f>
        <v>36500</v>
      </c>
      <c r="K124" s="51">
        <f>SUM(K121:K123)</f>
        <v>37500</v>
      </c>
      <c r="L124" s="51">
        <f>SUM(L121:L123)</f>
        <v>38500</v>
      </c>
    </row>
    <row r="125" spans="2:8" ht="12.75">
      <c r="B125" t="s">
        <v>32</v>
      </c>
      <c r="H125" s="33" t="s">
        <v>32</v>
      </c>
    </row>
    <row r="126" spans="2:8" ht="12.75">
      <c r="B126" t="s">
        <v>32</v>
      </c>
      <c r="H126" t="s">
        <v>32</v>
      </c>
    </row>
    <row r="127" spans="2:8" ht="12.75">
      <c r="B127" t="s">
        <v>32</v>
      </c>
      <c r="H127" t="s">
        <v>32</v>
      </c>
    </row>
    <row r="128" ht="12.75">
      <c r="H128" t="s">
        <v>32</v>
      </c>
    </row>
    <row r="130" ht="12.75">
      <c r="I130" t="s">
        <v>32</v>
      </c>
    </row>
    <row r="131" ht="12.75">
      <c r="I131" t="s">
        <v>32</v>
      </c>
    </row>
    <row r="132" ht="12.75">
      <c r="I132" t="s">
        <v>32</v>
      </c>
    </row>
    <row r="133" ht="12.75">
      <c r="I133" t="s">
        <v>32</v>
      </c>
    </row>
  </sheetData>
  <mergeCells count="2">
    <mergeCell ref="A1:G1"/>
    <mergeCell ref="A80:K80"/>
  </mergeCells>
  <printOptions/>
  <pageMargins left="0.1" right="0.1" top="0" bottom="0" header="0" footer="0"/>
  <pageSetup horizontalDpi="300" verticalDpi="300" orientation="landscape" scale="45" r:id="rId1"/>
  <headerFooter alignWithMargins="0">
    <oddFooter>&amp;L&amp;D&amp;R&amp;F</oddFooter>
  </headerFooter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zoomScale="95" zoomScaleNormal="95" workbookViewId="0" topLeftCell="A1">
      <selection activeCell="I14" sqref="I14"/>
    </sheetView>
  </sheetViews>
  <sheetFormatPr defaultColWidth="9.140625" defaultRowHeight="12.75"/>
  <cols>
    <col min="1" max="1" width="14.421875" style="0" bestFit="1" customWidth="1"/>
    <col min="2" max="2" width="14.8515625" style="0" customWidth="1"/>
    <col min="3" max="3" width="12.8515625" style="0" bestFit="1" customWidth="1"/>
    <col min="4" max="5" width="10.8515625" style="0" bestFit="1" customWidth="1"/>
    <col min="6" max="6" width="10.8515625" style="0" customWidth="1"/>
    <col min="7" max="7" width="31.7109375" style="0" bestFit="1" customWidth="1"/>
  </cols>
  <sheetData>
    <row r="2" spans="2:7" ht="12.75">
      <c r="B2" s="75" t="s">
        <v>6</v>
      </c>
      <c r="C2" s="75" t="s">
        <v>41</v>
      </c>
      <c r="D2" s="75" t="s">
        <v>59</v>
      </c>
      <c r="E2" s="75" t="s">
        <v>78</v>
      </c>
      <c r="F2" s="75" t="s">
        <v>101</v>
      </c>
      <c r="G2" s="75" t="s">
        <v>90</v>
      </c>
    </row>
    <row r="3" spans="2:7" ht="12.75">
      <c r="B3" s="75"/>
      <c r="C3" s="75"/>
      <c r="D3" s="75"/>
      <c r="E3" s="75"/>
      <c r="F3" s="75"/>
      <c r="G3" s="75"/>
    </row>
    <row r="4" spans="1:7" ht="12.75">
      <c r="A4" s="3" t="s">
        <v>43</v>
      </c>
      <c r="B4" s="75"/>
      <c r="C4" s="75"/>
      <c r="D4" s="75"/>
      <c r="E4" s="75"/>
      <c r="F4" s="75"/>
      <c r="G4" s="75"/>
    </row>
    <row r="5" spans="1:8" ht="12.75">
      <c r="A5" t="s">
        <v>91</v>
      </c>
      <c r="B5" s="76">
        <v>1237</v>
      </c>
      <c r="C5" s="77">
        <v>1557</v>
      </c>
      <c r="D5" s="77">
        <v>1619</v>
      </c>
      <c r="E5" s="77">
        <v>1681</v>
      </c>
      <c r="F5" s="77">
        <v>1749</v>
      </c>
      <c r="G5" s="81"/>
      <c r="H5" t="s">
        <v>32</v>
      </c>
    </row>
    <row r="6" spans="1:8" ht="12.75">
      <c r="A6" t="s">
        <v>79</v>
      </c>
      <c r="B6" s="76">
        <v>1489</v>
      </c>
      <c r="C6" s="77">
        <v>1841</v>
      </c>
      <c r="D6" s="77">
        <v>1911</v>
      </c>
      <c r="E6" s="77">
        <v>1985</v>
      </c>
      <c r="F6" s="77">
        <v>2061</v>
      </c>
      <c r="G6" s="82"/>
      <c r="H6" t="s">
        <v>32</v>
      </c>
    </row>
    <row r="7" spans="1:8" ht="12.75">
      <c r="A7" t="s">
        <v>92</v>
      </c>
      <c r="B7" s="76">
        <v>1255</v>
      </c>
      <c r="C7" s="77">
        <v>1259</v>
      </c>
      <c r="D7" s="77">
        <v>1311</v>
      </c>
      <c r="E7" s="77">
        <v>1363</v>
      </c>
      <c r="F7" s="77">
        <v>1418</v>
      </c>
      <c r="G7" s="82" t="s">
        <v>104</v>
      </c>
      <c r="H7" t="s">
        <v>32</v>
      </c>
    </row>
    <row r="8" spans="1:8" ht="12.75">
      <c r="A8" t="s">
        <v>93</v>
      </c>
      <c r="B8" s="76">
        <v>204.75</v>
      </c>
      <c r="C8" s="77">
        <f>148+148</f>
        <v>296</v>
      </c>
      <c r="D8" s="77">
        <f>154+148</f>
        <v>302</v>
      </c>
      <c r="E8" s="77">
        <v>160</v>
      </c>
      <c r="F8" s="77">
        <v>166</v>
      </c>
      <c r="G8" s="82" t="s">
        <v>32</v>
      </c>
      <c r="H8" t="s">
        <v>32</v>
      </c>
    </row>
    <row r="9" spans="1:8" ht="12.75">
      <c r="A9" t="s">
        <v>94</v>
      </c>
      <c r="B9" s="76">
        <v>144</v>
      </c>
      <c r="C9" s="77">
        <v>148</v>
      </c>
      <c r="D9" s="77">
        <v>154</v>
      </c>
      <c r="E9" s="77">
        <v>160</v>
      </c>
      <c r="F9" s="77">
        <v>166</v>
      </c>
      <c r="G9" s="82"/>
      <c r="H9" t="s">
        <v>32</v>
      </c>
    </row>
    <row r="10" spans="1:8" ht="12.75">
      <c r="A10" t="s">
        <v>81</v>
      </c>
      <c r="B10" s="76">
        <f>227.963+178</f>
        <v>405.96299999999997</v>
      </c>
      <c r="C10" s="77">
        <f>148+148+62</f>
        <v>358</v>
      </c>
      <c r="D10" s="77">
        <f>154+154+64</f>
        <v>372</v>
      </c>
      <c r="E10" s="77">
        <f>160+160+66</f>
        <v>386</v>
      </c>
      <c r="F10" s="77">
        <f>166+166+68</f>
        <v>400</v>
      </c>
      <c r="G10" s="93" t="s">
        <v>99</v>
      </c>
      <c r="H10" t="s">
        <v>32</v>
      </c>
    </row>
    <row r="11" spans="1:8" ht="12.75">
      <c r="A11" t="s">
        <v>95</v>
      </c>
      <c r="B11" s="76">
        <v>105</v>
      </c>
      <c r="C11" s="77">
        <v>148</v>
      </c>
      <c r="D11" s="77">
        <v>154</v>
      </c>
      <c r="E11" s="77">
        <v>160</v>
      </c>
      <c r="F11" s="77">
        <v>166</v>
      </c>
      <c r="G11" s="93" t="s">
        <v>107</v>
      </c>
      <c r="H11" s="3" t="s">
        <v>32</v>
      </c>
    </row>
    <row r="12" spans="1:8" ht="12.75">
      <c r="A12" t="s">
        <v>96</v>
      </c>
      <c r="B12" s="76">
        <v>131.046</v>
      </c>
      <c r="C12" s="77">
        <v>148</v>
      </c>
      <c r="D12" s="77">
        <v>154</v>
      </c>
      <c r="E12" s="77">
        <v>160</v>
      </c>
      <c r="F12" s="77">
        <v>166</v>
      </c>
      <c r="G12" s="93" t="s">
        <v>108</v>
      </c>
      <c r="H12" t="s">
        <v>32</v>
      </c>
    </row>
    <row r="13" spans="1:8" ht="12.75">
      <c r="A13" t="s">
        <v>97</v>
      </c>
      <c r="B13" s="76">
        <v>130</v>
      </c>
      <c r="C13" s="77">
        <v>148</v>
      </c>
      <c r="D13" s="77">
        <v>154</v>
      </c>
      <c r="E13" s="77">
        <v>160</v>
      </c>
      <c r="F13" s="77">
        <v>166</v>
      </c>
      <c r="G13" s="82"/>
      <c r="H13" t="s">
        <v>32</v>
      </c>
    </row>
    <row r="14" spans="1:8" ht="12.75">
      <c r="A14" t="s">
        <v>98</v>
      </c>
      <c r="B14" s="76">
        <v>100.122</v>
      </c>
      <c r="C14" s="77">
        <f>148+148</f>
        <v>296</v>
      </c>
      <c r="D14" s="77">
        <f>154+154</f>
        <v>308</v>
      </c>
      <c r="E14" s="77">
        <v>320</v>
      </c>
      <c r="F14" s="77">
        <f>166*2</f>
        <v>332</v>
      </c>
      <c r="G14" s="82"/>
      <c r="H14" t="s">
        <v>32</v>
      </c>
    </row>
    <row r="15" spans="1:7" ht="12.75">
      <c r="A15" s="3" t="s">
        <v>88</v>
      </c>
      <c r="B15" s="78">
        <f>SUM(B5:B14)</f>
        <v>5201.881</v>
      </c>
      <c r="C15" s="79">
        <f>SUM(C5:C14)</f>
        <v>6199</v>
      </c>
      <c r="D15" s="79">
        <f>SUM(D5:D14)</f>
        <v>6439</v>
      </c>
      <c r="E15" s="79">
        <f>SUM(E5:E14)</f>
        <v>6535</v>
      </c>
      <c r="F15" s="79">
        <f>SUM(F5:F14)</f>
        <v>6790</v>
      </c>
      <c r="G15" s="83"/>
    </row>
    <row r="16" spans="2:7" ht="12.75">
      <c r="B16" s="75"/>
      <c r="C16" s="75"/>
      <c r="D16" s="75"/>
      <c r="E16" s="75"/>
      <c r="F16" s="75"/>
      <c r="G16" s="75"/>
    </row>
    <row r="17" spans="2:7" ht="12.75">
      <c r="B17" s="75"/>
      <c r="C17" s="75"/>
      <c r="D17" s="75"/>
      <c r="E17" s="75"/>
      <c r="F17" s="75"/>
      <c r="G17" s="75"/>
    </row>
    <row r="18" ht="12.75">
      <c r="A18" s="3" t="s">
        <v>44</v>
      </c>
    </row>
    <row r="19" spans="1:7" ht="12.75">
      <c r="A19" t="s">
        <v>89</v>
      </c>
      <c r="B19" s="73">
        <f>6414-B20</f>
        <v>6161.027</v>
      </c>
      <c r="C19" s="73">
        <v>6451.063</v>
      </c>
      <c r="D19" s="73">
        <v>10028</v>
      </c>
      <c r="E19" s="73">
        <v>11904</v>
      </c>
      <c r="F19" s="73">
        <v>9969</v>
      </c>
      <c r="G19" t="s">
        <v>32</v>
      </c>
    </row>
    <row r="20" spans="1:7" ht="12.75">
      <c r="A20" t="s">
        <v>80</v>
      </c>
      <c r="B20" s="73">
        <v>252.973</v>
      </c>
      <c r="C20" s="73">
        <v>247</v>
      </c>
      <c r="D20" s="73">
        <f>+C20*1.03</f>
        <v>254.41</v>
      </c>
      <c r="E20" s="73">
        <f>+D20*1.03</f>
        <v>262.0423</v>
      </c>
      <c r="F20" s="73">
        <f>+E20*1.03</f>
        <v>269.903569</v>
      </c>
      <c r="G20" t="s">
        <v>100</v>
      </c>
    </row>
    <row r="21" spans="1:7" ht="12.75">
      <c r="A21" t="s">
        <v>81</v>
      </c>
      <c r="B21" s="73">
        <f>142+48</f>
        <v>190</v>
      </c>
      <c r="C21" s="73">
        <f>142*1.03</f>
        <v>146.26</v>
      </c>
      <c r="D21" s="73">
        <f aca="true" t="shared" si="0" ref="D21:F22">+C21*1.03</f>
        <v>150.6478</v>
      </c>
      <c r="E21" s="73">
        <f t="shared" si="0"/>
        <v>155.16723399999998</v>
      </c>
      <c r="F21" s="73">
        <f t="shared" si="0"/>
        <v>159.82225101999998</v>
      </c>
      <c r="G21" s="13"/>
    </row>
    <row r="22" spans="1:7" ht="12.75">
      <c r="A22" t="s">
        <v>82</v>
      </c>
      <c r="B22" s="73">
        <v>154.509</v>
      </c>
      <c r="C22" s="73">
        <v>159.139</v>
      </c>
      <c r="D22" s="73">
        <f t="shared" si="0"/>
        <v>163.91317</v>
      </c>
      <c r="E22" s="73">
        <f t="shared" si="0"/>
        <v>168.8305651</v>
      </c>
      <c r="F22" s="73">
        <f t="shared" si="0"/>
        <v>173.895482053</v>
      </c>
      <c r="G22" s="82" t="s">
        <v>104</v>
      </c>
    </row>
    <row r="23" spans="1:7" ht="12.75">
      <c r="A23" t="s">
        <v>83</v>
      </c>
      <c r="B23" s="73">
        <v>600</v>
      </c>
      <c r="C23" s="73">
        <v>600</v>
      </c>
      <c r="D23" s="73">
        <v>600</v>
      </c>
      <c r="E23" s="73">
        <v>600</v>
      </c>
      <c r="F23" s="73">
        <v>600</v>
      </c>
      <c r="G23" s="82" t="s">
        <v>32</v>
      </c>
    </row>
    <row r="24" spans="1:7" ht="12.75">
      <c r="A24" t="s">
        <v>84</v>
      </c>
      <c r="B24" s="73">
        <v>600</v>
      </c>
      <c r="C24" s="73">
        <v>600</v>
      </c>
      <c r="D24" s="73">
        <v>600</v>
      </c>
      <c r="E24" s="73">
        <v>600</v>
      </c>
      <c r="F24" s="73">
        <v>600</v>
      </c>
      <c r="G24" s="82" t="s">
        <v>109</v>
      </c>
    </row>
    <row r="25" spans="1:7" ht="12.75">
      <c r="A25" t="s">
        <v>85</v>
      </c>
      <c r="B25" s="73">
        <v>600</v>
      </c>
      <c r="C25" s="73">
        <v>600</v>
      </c>
      <c r="D25" s="73">
        <v>600</v>
      </c>
      <c r="E25" s="73">
        <v>600</v>
      </c>
      <c r="F25" s="73">
        <v>600</v>
      </c>
      <c r="G25" s="82" t="s">
        <v>110</v>
      </c>
    </row>
    <row r="26" spans="1:7" ht="12.75">
      <c r="A26" t="s">
        <v>86</v>
      </c>
      <c r="B26" s="73">
        <v>600</v>
      </c>
      <c r="C26" s="73">
        <v>600</v>
      </c>
      <c r="D26" s="73">
        <v>600</v>
      </c>
      <c r="E26" s="73">
        <v>600</v>
      </c>
      <c r="F26" s="73">
        <v>600</v>
      </c>
      <c r="G26" s="82" t="s">
        <v>111</v>
      </c>
    </row>
    <row r="27" spans="1:6" ht="12.75">
      <c r="A27" t="s">
        <v>87</v>
      </c>
      <c r="B27" s="73">
        <v>600</v>
      </c>
      <c r="C27" s="73">
        <v>600</v>
      </c>
      <c r="D27" s="73">
        <v>600</v>
      </c>
      <c r="E27" s="73">
        <v>600</v>
      </c>
      <c r="F27" s="73">
        <v>600</v>
      </c>
    </row>
    <row r="28" spans="1:7" ht="12.75">
      <c r="A28" s="3" t="s">
        <v>88</v>
      </c>
      <c r="B28" s="74">
        <f>SUM(B19:B27)</f>
        <v>9758.509</v>
      </c>
      <c r="C28" s="74">
        <f>SUM(C19:C27)</f>
        <v>10003.462</v>
      </c>
      <c r="D28" s="74">
        <f>SUM(D19:D27)</f>
        <v>13596.97097</v>
      </c>
      <c r="E28" s="74">
        <f>SUM(E19:E27)</f>
        <v>15490.040099099999</v>
      </c>
      <c r="F28" s="74">
        <f>SUM(F19:F27)</f>
        <v>13572.621302073</v>
      </c>
      <c r="G28" s="83" t="s">
        <v>105</v>
      </c>
    </row>
    <row r="29" spans="2:6" ht="12.75">
      <c r="B29" s="72"/>
      <c r="C29" s="72"/>
      <c r="D29" s="72"/>
      <c r="E29" s="72"/>
      <c r="F29" s="72"/>
    </row>
    <row r="30" spans="1:6" ht="12.75">
      <c r="A30" t="s">
        <v>106</v>
      </c>
      <c r="B30" s="72">
        <f>B20+B21+B22</f>
        <v>597.482</v>
      </c>
      <c r="C30" s="72">
        <f>C20+C21+C22</f>
        <v>552.399</v>
      </c>
      <c r="D30" s="72">
        <f>D20+D21+D22</f>
        <v>568.97097</v>
      </c>
      <c r="E30" s="72">
        <f>E20+E21+E22</f>
        <v>586.0400990999999</v>
      </c>
      <c r="F30" s="72">
        <f>F20+F21+F22</f>
        <v>603.621302073</v>
      </c>
    </row>
    <row r="31" spans="2:6" ht="12.75">
      <c r="B31" s="72"/>
      <c r="C31" s="72"/>
      <c r="D31" s="72"/>
      <c r="E31" s="72"/>
      <c r="F31" s="72"/>
    </row>
    <row r="32" spans="2:6" ht="12.75">
      <c r="B32" s="72" t="s">
        <v>32</v>
      </c>
      <c r="C32" s="72"/>
      <c r="D32" s="72"/>
      <c r="E32" s="72"/>
      <c r="F32" s="72"/>
    </row>
    <row r="33" spans="2:3" ht="12.75">
      <c r="B33" s="80" t="s">
        <v>32</v>
      </c>
      <c r="C33" s="80"/>
    </row>
    <row r="34" ht="12.75">
      <c r="B34" t="s">
        <v>32</v>
      </c>
    </row>
  </sheetData>
  <printOptions/>
  <pageMargins left="0" right="0" top="1" bottom="1" header="0.5" footer="0.5"/>
  <pageSetup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Butehorn</dc:creator>
  <cp:keywords/>
  <dc:description/>
  <cp:lastModifiedBy> Penka Novakova</cp:lastModifiedBy>
  <cp:lastPrinted>2008-01-07T14:18:55Z</cp:lastPrinted>
  <dcterms:created xsi:type="dcterms:W3CDTF">2003-06-18T23:04:25Z</dcterms:created>
  <dcterms:modified xsi:type="dcterms:W3CDTF">2008-01-08T21:51:54Z</dcterms:modified>
  <cp:category/>
  <cp:version/>
  <cp:contentType/>
  <cp:contentStatus/>
</cp:coreProperties>
</file>