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6380" windowHeight="11175" tabRatio="820" activeTab="5"/>
  </bookViews>
  <sheets>
    <sheet name="results" sheetId="1" r:id="rId1"/>
    <sheet name="fitModel" sheetId="2" r:id="rId2"/>
    <sheet name="syst" sheetId="3" r:id="rId3"/>
    <sheet name="cuts" sheetId="4" r:id="rId4"/>
    <sheet name="rdaY" sheetId="5" r:id="rId5"/>
    <sheet name="rdaPt" sheetId="6" r:id="rId6"/>
    <sheet name="rdaCent" sheetId="7" r:id="rId7"/>
    <sheet name="rdaYncoll" sheetId="8" r:id="rId8"/>
    <sheet name="rdaPtncoll" sheetId="9" r:id="rId9"/>
    <sheet name="rdaYQM" sheetId="10" r:id="rId10"/>
    <sheet name="rdaPtQM" sheetId="11" r:id="rId11"/>
    <sheet name="rdaCentQM" sheetId="12" r:id="rId12"/>
    <sheet name="rdaCent1d1s" sheetId="13" r:id="rId13"/>
    <sheet name="rdaCent2d" sheetId="14" r:id="rId14"/>
    <sheet name="simPp" sheetId="15" r:id="rId15"/>
    <sheet name="simDau" sheetId="16" r:id="rId16"/>
    <sheet name="simPpDJ" sheetId="17" r:id="rId17"/>
    <sheet name="simDauDJ" sheetId="18" r:id="rId18"/>
    <sheet name="simDauDJcent1" sheetId="19" r:id="rId19"/>
    <sheet name="simDauDJcent2" sheetId="20" r:id="rId20"/>
    <sheet name="simDauDJcent3" sheetId="21" r:id="rId21"/>
    <sheet name="dimDauDJcent4" sheetId="22" r:id="rId22"/>
    <sheet name="simPp6sep" sheetId="23" r:id="rId23"/>
    <sheet name="simDau6sep" sheetId="24" r:id="rId24"/>
    <sheet name="simPp.50" sheetId="25" r:id="rId25"/>
    <sheet name="simDau.50" sheetId="26" r:id="rId26"/>
    <sheet name="simPp.QM" sheetId="27" r:id="rId27"/>
    <sheet name="simDau.QM" sheetId="28" r:id="rId28"/>
    <sheet name="simDauYwt" sheetId="29" r:id="rId29"/>
    <sheet name="simDauPtwt" sheetId="30" r:id="rId30"/>
    <sheet name="simDauVtwt" sheetId="31" r:id="rId31"/>
    <sheet name="simPpVtwtR" sheetId="32" r:id="rId32"/>
    <sheet name="binCenters" sheetId="33" r:id="rId33"/>
    <sheet name="sigppFits" sheetId="34" r:id="rId34"/>
    <sheet name="RAA" sheetId="35" r:id="rId35"/>
  </sheets>
  <definedNames/>
  <calcPr fullCalcOnLoad="1"/>
</workbook>
</file>

<file path=xl/sharedStrings.xml><?xml version="1.0" encoding="utf-8"?>
<sst xmlns="http://schemas.openxmlformats.org/spreadsheetml/2006/main" count="3732" uniqueCount="348">
  <si>
    <t>Y</t>
  </si>
  <si>
    <t>dY</t>
  </si>
  <si>
    <t>Cnts</t>
  </si>
  <si>
    <t>Accept</t>
  </si>
  <si>
    <t>TCE</t>
  </si>
  <si>
    <t>Run2-pp</t>
  </si>
  <si>
    <t>Run3-pp</t>
  </si>
  <si>
    <t>BR</t>
  </si>
  <si>
    <t>BLT</t>
  </si>
  <si>
    <t>Ideal</t>
  </si>
  <si>
    <t>Perf in dY</t>
  </si>
  <si>
    <r>
      <t>E</t>
    </r>
    <r>
      <rPr>
        <b/>
        <u val="single"/>
        <vertAlign val="subscript"/>
        <sz val="16"/>
        <rFont val="Symbol"/>
        <family val="1"/>
      </rPr>
      <t>mm</t>
    </r>
  </si>
  <si>
    <r>
      <t>N</t>
    </r>
    <r>
      <rPr>
        <b/>
        <u val="single"/>
        <vertAlign val="subscript"/>
        <sz val="16"/>
        <rFont val="Browallia New"/>
        <family val="2"/>
      </rPr>
      <t>MB</t>
    </r>
  </si>
  <si>
    <r>
      <t>E</t>
    </r>
    <r>
      <rPr>
        <b/>
        <u val="single"/>
        <vertAlign val="superscript"/>
        <sz val="16"/>
        <rFont val="Browallia New"/>
        <family val="2"/>
      </rPr>
      <t>MB</t>
    </r>
    <r>
      <rPr>
        <b/>
        <u val="single"/>
        <vertAlign val="subscript"/>
        <sz val="16"/>
        <rFont val="Browallia New"/>
        <family val="2"/>
      </rPr>
      <t>BBC</t>
    </r>
  </si>
  <si>
    <r>
      <t>E</t>
    </r>
    <r>
      <rPr>
        <b/>
        <u val="single"/>
        <vertAlign val="superscript"/>
        <sz val="16"/>
        <rFont val="Browallia New"/>
        <family val="2"/>
      </rPr>
      <t>J/</t>
    </r>
    <r>
      <rPr>
        <b/>
        <u val="single"/>
        <vertAlign val="superscript"/>
        <sz val="16"/>
        <rFont val="Symbol"/>
        <family val="1"/>
      </rPr>
      <t>Y</t>
    </r>
    <r>
      <rPr>
        <b/>
        <u val="single"/>
        <vertAlign val="subscript"/>
        <sz val="16"/>
        <rFont val="Browallia New"/>
        <family val="2"/>
      </rPr>
      <t>BBC</t>
    </r>
  </si>
  <si>
    <r>
      <t>R</t>
    </r>
    <r>
      <rPr>
        <b/>
        <u val="single"/>
        <vertAlign val="subscript"/>
        <sz val="16"/>
        <rFont val="Browallia New"/>
        <family val="2"/>
      </rPr>
      <t>dAu</t>
    </r>
  </si>
  <si>
    <t>a</t>
  </si>
  <si>
    <t>R3-dAu</t>
  </si>
  <si>
    <t>R3-dAu2D</t>
  </si>
  <si>
    <t>R3-dAu1D1S</t>
  </si>
  <si>
    <t>Lumi</t>
  </si>
  <si>
    <r>
      <t>(</t>
    </r>
    <r>
      <rPr>
        <b/>
        <u val="single"/>
        <sz val="16"/>
        <rFont val="Browallia New"/>
        <family val="2"/>
      </rPr>
      <t>nb</t>
    </r>
    <r>
      <rPr>
        <b/>
        <u val="single"/>
        <vertAlign val="superscript"/>
        <sz val="16"/>
        <rFont val="Browallia New"/>
        <family val="2"/>
      </rPr>
      <t>-1</t>
    </r>
    <r>
      <rPr>
        <b/>
        <u val="single"/>
        <sz val="16"/>
        <rFont val="Browallia New"/>
        <family val="2"/>
      </rPr>
      <t>)</t>
    </r>
  </si>
  <si>
    <t>(mb)</t>
  </si>
  <si>
    <r>
      <t>Sig</t>
    </r>
    <r>
      <rPr>
        <b/>
        <vertAlign val="superscript"/>
        <sz val="16"/>
        <rFont val="Browallia New"/>
        <family val="2"/>
      </rPr>
      <t>tot</t>
    </r>
    <r>
      <rPr>
        <b/>
        <vertAlign val="subscript"/>
        <sz val="16"/>
        <rFont val="Browallia New"/>
        <family val="2"/>
      </rPr>
      <t>pp</t>
    </r>
  </si>
  <si>
    <t>sigma</t>
  </si>
  <si>
    <t>R3 avg</t>
  </si>
  <si>
    <r>
      <t>BR*dSig</t>
    </r>
    <r>
      <rPr>
        <b/>
        <u val="single"/>
        <vertAlign val="subscript"/>
        <sz val="16"/>
        <rFont val="Browallia New"/>
        <family val="2"/>
      </rPr>
      <t>J/</t>
    </r>
    <r>
      <rPr>
        <b/>
        <u val="single"/>
        <vertAlign val="subscript"/>
        <sz val="16"/>
        <rFont val="Symbol"/>
        <family val="1"/>
      </rPr>
      <t>Y</t>
    </r>
  </si>
  <si>
    <t>(nb)</t>
  </si>
  <si>
    <t>all y</t>
  </si>
  <si>
    <t>near y=0</t>
  </si>
  <si>
    <t>far y=0</t>
  </si>
  <si>
    <t>sys+</t>
  </si>
  <si>
    <t>sys-</t>
  </si>
  <si>
    <t>sysR</t>
  </si>
  <si>
    <r>
      <t>sys</t>
    </r>
    <r>
      <rPr>
        <b/>
        <u val="single"/>
        <sz val="16"/>
        <rFont val="Symbol"/>
        <family val="1"/>
      </rPr>
      <t>a</t>
    </r>
  </si>
  <si>
    <t>pt2pt</t>
  </si>
  <si>
    <t>arm2arm</t>
  </si>
  <si>
    <t>pT</t>
  </si>
  <si>
    <t>0-1</t>
  </si>
  <si>
    <t>1-2</t>
  </si>
  <si>
    <t>2-3</t>
  </si>
  <si>
    <t>3-4</t>
  </si>
  <si>
    <t>4-5</t>
  </si>
  <si>
    <t>.5</t>
  </si>
  <si>
    <t>1.5</t>
  </si>
  <si>
    <t>2.5</t>
  </si>
  <si>
    <t>3.5</t>
  </si>
  <si>
    <t>yLow</t>
  </si>
  <si>
    <t>yHi</t>
  </si>
  <si>
    <t>thrown</t>
  </si>
  <si>
    <t>noBLT</t>
  </si>
  <si>
    <t>1D1S</t>
  </si>
  <si>
    <t>2D</t>
  </si>
  <si>
    <t>Acc</t>
  </si>
  <si>
    <t>eff</t>
  </si>
  <si>
    <t>e1D1S</t>
  </si>
  <si>
    <t>e2D</t>
  </si>
  <si>
    <t>eBLT</t>
  </si>
  <si>
    <t>lumi</t>
  </si>
  <si>
    <t>Arm</t>
  </si>
  <si>
    <t>S</t>
  </si>
  <si>
    <t>N</t>
  </si>
  <si>
    <t>cosT</t>
  </si>
  <si>
    <t>-.4 to -.2</t>
  </si>
  <si>
    <t>-.2 to 0</t>
  </si>
  <si>
    <t>0 to .2</t>
  </si>
  <si>
    <t>.2 to .4</t>
  </si>
  <si>
    <t>Glauber</t>
  </si>
  <si>
    <t>Fitted</t>
  </si>
  <si>
    <t>Total</t>
  </si>
  <si>
    <t>Cent Bin</t>
  </si>
  <si>
    <t>Trigger Bias</t>
  </si>
  <si>
    <t>Ncoll</t>
  </si>
  <si>
    <t>Yield</t>
  </si>
  <si>
    <t>Width</t>
  </si>
  <si>
    <r>
      <t>E</t>
    </r>
    <r>
      <rPr>
        <b/>
        <u val="single"/>
        <vertAlign val="superscript"/>
        <sz val="16"/>
        <rFont val="Browallia New"/>
        <family val="0"/>
      </rPr>
      <t>MB</t>
    </r>
    <r>
      <rPr>
        <b/>
        <u val="single"/>
        <vertAlign val="subscript"/>
        <sz val="16"/>
        <rFont val="Browallia New"/>
        <family val="0"/>
      </rPr>
      <t>BBC</t>
    </r>
    <r>
      <rPr>
        <b/>
        <u val="single"/>
        <sz val="16"/>
        <rFont val="Browallia New"/>
        <family val="2"/>
      </rPr>
      <t>/E</t>
    </r>
    <r>
      <rPr>
        <b/>
        <u val="single"/>
        <vertAlign val="superscript"/>
        <sz val="16"/>
        <rFont val="Browallia New"/>
        <family val="0"/>
      </rPr>
      <t>J/Y</t>
    </r>
    <r>
      <rPr>
        <b/>
        <u val="single"/>
        <vertAlign val="subscript"/>
        <sz val="16"/>
        <rFont val="Browallia New"/>
        <family val="0"/>
      </rPr>
      <t>BBC</t>
    </r>
  </si>
  <si>
    <t>N_norm</t>
  </si>
  <si>
    <t>Rcp</t>
  </si>
  <si>
    <t>pt2pt Rda</t>
  </si>
  <si>
    <t>pt2pt Rcp</t>
  </si>
  <si>
    <t>2D + 1D1S</t>
  </si>
  <si>
    <t>N-tagged</t>
  </si>
  <si>
    <t>0-20%</t>
  </si>
  <si>
    <t>20-40%</t>
  </si>
  <si>
    <t>40-60%</t>
  </si>
  <si>
    <t>60-88%</t>
  </si>
  <si>
    <t>Ave. Bias</t>
  </si>
  <si>
    <t>Ave. cent</t>
  </si>
  <si>
    <t>pT_mu&gt;0.9</t>
  </si>
  <si>
    <t>cuts</t>
  </si>
  <si>
    <t>y bins</t>
  </si>
  <si>
    <t>quad</t>
  </si>
  <si>
    <t>chisq/df&lt;20</t>
  </si>
  <si>
    <t>zvtxbp&lt;25</t>
  </si>
  <si>
    <t>zvtx&lt;38</t>
  </si>
  <si>
    <t>mass&gt;0.5</t>
  </si>
  <si>
    <t xml:space="preserve"> </t>
  </si>
  <si>
    <t>ppS</t>
  </si>
  <si>
    <t>ppN</t>
  </si>
  <si>
    <t>dAuS</t>
  </si>
  <si>
    <t>dAuN</t>
  </si>
  <si>
    <t>RatioS</t>
  </si>
  <si>
    <t>RatioN</t>
  </si>
  <si>
    <t>alphaS</t>
  </si>
  <si>
    <t>alphaN</t>
  </si>
  <si>
    <t>central</t>
  </si>
  <si>
    <t>tube eff</t>
  </si>
  <si>
    <t>1/2 for ratio</t>
  </si>
  <si>
    <t>1%-&gt;6%</t>
  </si>
  <si>
    <t>atten strips</t>
  </si>
  <si>
    <t>n/c</t>
  </si>
  <si>
    <t>fitting</t>
  </si>
  <si>
    <t>double cntg</t>
  </si>
  <si>
    <t>comb bkgd</t>
  </si>
  <si>
    <t>embedding</t>
  </si>
  <si>
    <t>MC stats</t>
  </si>
  <si>
    <t>MC repr</t>
  </si>
  <si>
    <t>rapidity shape</t>
  </si>
  <si>
    <t>HV State</t>
  </si>
  <si>
    <t>DongJo wag</t>
  </si>
  <si>
    <t>pt-to-pt</t>
  </si>
  <si>
    <t>fit,ghost,bkgd</t>
  </si>
  <si>
    <t>arm-to-arm</t>
  </si>
  <si>
    <t>excpt MC, rapidity</t>
  </si>
  <si>
    <t>Total:</t>
  </si>
  <si>
    <t>add MC&amp;rapidity</t>
  </si>
  <si>
    <t>centrality bins</t>
  </si>
  <si>
    <t>0-20</t>
  </si>
  <si>
    <t>20-40</t>
  </si>
  <si>
    <t>40-60</t>
  </si>
  <si>
    <t>60-88</t>
  </si>
  <si>
    <t>bias correction</t>
  </si>
  <si>
    <t>pt2pt South</t>
  </si>
  <si>
    <t>arm2arm South</t>
  </si>
  <si>
    <t>pt2pt North</t>
  </si>
  <si>
    <t>arm2arm North</t>
  </si>
  <si>
    <t>a2a only S</t>
  </si>
  <si>
    <t>a2a only N</t>
  </si>
  <si>
    <t>idhit&gt;3 &amp; idhit&gt;63</t>
  </si>
  <si>
    <t>ratio</t>
  </si>
  <si>
    <t>ddg0&lt;15</t>
  </si>
  <si>
    <t>dg0&lt;30,15</t>
  </si>
  <si>
    <t>pp</t>
  </si>
  <si>
    <t>south</t>
  </si>
  <si>
    <t>all</t>
  </si>
  <si>
    <t>north</t>
  </si>
  <si>
    <t>1d1s</t>
  </si>
  <si>
    <t>2d</t>
  </si>
  <si>
    <t>dAu</t>
  </si>
  <si>
    <t>beam</t>
  </si>
  <si>
    <t>arm</t>
  </si>
  <si>
    <t>trig</t>
  </si>
  <si>
    <t>fite</t>
  </si>
  <si>
    <t>RdAu</t>
  </si>
  <si>
    <t>y1</t>
  </si>
  <si>
    <t>y2</t>
  </si>
  <si>
    <t>&lt;y&gt;</t>
  </si>
  <si>
    <t>pt1</t>
  </si>
  <si>
    <t>pt2</t>
  </si>
  <si>
    <t>pt3</t>
  </si>
  <si>
    <t>pt4</t>
  </si>
  <si>
    <t>pt5</t>
  </si>
  <si>
    <t>&lt;pt&gt;</t>
  </si>
  <si>
    <t>sigpp</t>
  </si>
  <si>
    <t>sigdAu</t>
  </si>
  <si>
    <t>alpha</t>
  </si>
  <si>
    <t>avgsigpp</t>
  </si>
  <si>
    <t>&lt;ncoll&gt;</t>
  </si>
  <si>
    <t>cent1</t>
  </si>
  <si>
    <t>cent2</t>
  </si>
  <si>
    <t>cent3</t>
  </si>
  <si>
    <t>cent4</t>
  </si>
  <si>
    <t>fitf2</t>
  </si>
  <si>
    <t>pro.51/50</t>
  </si>
  <si>
    <t>1d1s/all</t>
  </si>
  <si>
    <t>2d/all</t>
  </si>
  <si>
    <t>pro.51/QM</t>
  </si>
  <si>
    <t>picoDST_sim03_ppTubeEff_from_DataFinal_Colorado_Dec28_muidRLF.89080.PRECO.MWG_Run3Align_pro51.root</t>
  </si>
  <si>
    <t>picoDST_sim03_dAuTubeEff_from_DataFinal_Colorado_Dec28_muidLRF.79863.PRECO.MWG_Run3Align_pro51.root</t>
  </si>
  <si>
    <t>QM04</t>
  </si>
  <si>
    <t>muTr eff</t>
  </si>
  <si>
    <t>mjl fits</t>
  </si>
  <si>
    <t>1/2 for ratios</t>
  </si>
  <si>
    <t>in above</t>
  </si>
  <si>
    <t>reweight</t>
  </si>
  <si>
    <t>guess based on XRW studies</t>
  </si>
  <si>
    <t>err</t>
  </si>
  <si>
    <t>north y bins</t>
  </si>
  <si>
    <t>changed</t>
  </si>
  <si>
    <t>with sys+</t>
  </si>
  <si>
    <t>with sys-</t>
  </si>
  <si>
    <t>CENTRALITY</t>
  </si>
  <si>
    <t>Rapidity</t>
  </si>
  <si>
    <t>Rda</t>
  </si>
  <si>
    <t>with sys</t>
  </si>
  <si>
    <t>now/QM04-1 in %</t>
  </si>
  <si>
    <t>fiteQM</t>
  </si>
  <si>
    <t>y</t>
  </si>
  <si>
    <t>now/QM</t>
  </si>
  <si>
    <t>sim</t>
  </si>
  <si>
    <r>
      <t>(</t>
    </r>
    <r>
      <rPr>
        <b/>
        <u val="single"/>
        <sz val="16"/>
        <rFont val="Symbol"/>
        <family val="1"/>
      </rPr>
      <t>m</t>
    </r>
    <r>
      <rPr>
        <b/>
        <u val="single"/>
        <sz val="16"/>
        <rFont val="Browallia New"/>
        <family val="2"/>
      </rPr>
      <t>b)</t>
    </r>
  </si>
  <si>
    <t>4.5</t>
  </si>
  <si>
    <t>Npp</t>
  </si>
  <si>
    <t>NdAu</t>
  </si>
  <si>
    <t>sum cnts</t>
  </si>
  <si>
    <t>sum</t>
  </si>
  <si>
    <t>sqrt</t>
  </si>
  <si>
    <t>mix</t>
  </si>
  <si>
    <t>sum_fite</t>
  </si>
  <si>
    <t>mix-sqrt</t>
  </si>
  <si>
    <t>fitf2-fite</t>
  </si>
  <si>
    <t>use sqrt fits</t>
  </si>
  <si>
    <t>ghost limits</t>
  </si>
  <si>
    <t>total</t>
  </si>
  <si>
    <t>2.7&lt;mass&lt;3.5 GeV</t>
  </si>
  <si>
    <t>&gt;1/total</t>
  </si>
  <si>
    <t>fitf2 pk offcenter and wide</t>
  </si>
  <si>
    <t>ghost.C</t>
  </si>
  <si>
    <t>fitf</t>
  </si>
  <si>
    <t>sqrt-nosm</t>
  </si>
  <si>
    <t>nopTcut</t>
  </si>
  <si>
    <t>M&gt;2</t>
  </si>
  <si>
    <t>jpsi&amp;psip</t>
  </si>
  <si>
    <t>sqrt fitf3</t>
  </si>
  <si>
    <t>no bkgd</t>
  </si>
  <si>
    <t>psip/jpsi</t>
  </si>
  <si>
    <t>pp south</t>
  </si>
  <si>
    <t>pp north</t>
  </si>
  <si>
    <t>dAu south</t>
  </si>
  <si>
    <t>dAu north</t>
  </si>
  <si>
    <t>J/Psi</t>
  </si>
  <si>
    <t>Psip</t>
  </si>
  <si>
    <t>fite2, sqrt bkgd</t>
  </si>
  <si>
    <t>e789</t>
  </si>
  <si>
    <t>na50</t>
  </si>
  <si>
    <t>~0.017</t>
  </si>
  <si>
    <t>~0.02</t>
  </si>
  <si>
    <t>nobkg</t>
  </si>
  <si>
    <t>picoDST_sim03_ppTubeEff_from_DataFinal_Colorado_Dec28_muidLRFC_Run3AlignHOC.89080.PRECO.MWG_Run3Align_pro51.root</t>
  </si>
  <si>
    <t>picoDST_sim03_dAuTubeEff_from_DataFinal_Colorado_Dec28_muidLRFC_Run3AlignHOC.79863.PRECO.MWG_Run3Align_pro51.root</t>
  </si>
  <si>
    <t>use</t>
  </si>
  <si>
    <t>avg</t>
  </si>
  <si>
    <t>now incl</t>
  </si>
  <si>
    <t>in fit errors</t>
  </si>
  <si>
    <t>new in this version</t>
  </si>
  <si>
    <t>DongJo 9/6 sims used</t>
  </si>
  <si>
    <t>fitmodel range of fits used including sigma</t>
  </si>
  <si>
    <t>use dw/w in centrality formulas</t>
  </si>
  <si>
    <t>Raph/DJ</t>
  </si>
  <si>
    <t>Raphael's</t>
  </si>
  <si>
    <t>Raph/QM</t>
  </si>
  <si>
    <t>syst</t>
  </si>
  <si>
    <t>add</t>
  </si>
  <si>
    <t>base</t>
  </si>
  <si>
    <t>picoDST_embedDST_Cent_muidLRFC_Run3Align.MWG_0_20.root</t>
  </si>
  <si>
    <t>picoDST_embedDST_Cent_muidLRFC_Run3Align.MWG_60_88.root</t>
  </si>
  <si>
    <t>picoDST_embedDST_Cent_muidLRFC_Run3Align.MWG_40_60.root</t>
  </si>
  <si>
    <t>picoDST_embedDST_Cent_muidLRFC_Run3Align.MWG_20_40.root</t>
  </si>
  <si>
    <t>cent/DJ</t>
  </si>
  <si>
    <t>these now in RdA calc</t>
  </si>
  <si>
    <t>correct to use RdA syst</t>
  </si>
  <si>
    <t>did use dAu syst</t>
  </si>
  <si>
    <t>method</t>
  </si>
  <si>
    <t>DJ/Raph</t>
  </si>
  <si>
    <t>new in 19dec04 version</t>
  </si>
  <si>
    <t>1/(2*sqrt(3))*(max-avg) fit error</t>
  </si>
  <si>
    <t>3 -&gt; 5% embedding syst</t>
  </si>
  <si>
    <t>2 -&gt; 3% -&gt; 6% reweighting/simulation stability syst</t>
  </si>
  <si>
    <t>bin</t>
  </si>
  <si>
    <t>Pythia</t>
  </si>
  <si>
    <t>Raphael</t>
  </si>
  <si>
    <t>reco</t>
  </si>
  <si>
    <t>sim dAu</t>
  </si>
  <si>
    <t>sim pp</t>
  </si>
  <si>
    <t>smear</t>
  </si>
  <si>
    <t>gaussian</t>
  </si>
  <si>
    <t>-2.2 to -1.2</t>
  </si>
  <si>
    <t>-2.2 to -1.7</t>
  </si>
  <si>
    <t>-1.7 to -1.2</t>
  </si>
  <si>
    <t>1.2 to 2.4</t>
  </si>
  <si>
    <t>1.2 to 1.7</t>
  </si>
  <si>
    <t>1.7 to 2.4</t>
  </si>
  <si>
    <t>0 - 1</t>
  </si>
  <si>
    <t>1 - 2</t>
  </si>
  <si>
    <t>2 - 3</t>
  </si>
  <si>
    <t>3 - 4</t>
  </si>
  <si>
    <t>4 - 5</t>
  </si>
  <si>
    <t>wt avg</t>
  </si>
  <si>
    <t>Raph/39cm</t>
  </si>
  <si>
    <t>Kaplan</t>
  </si>
  <si>
    <t>fit</t>
  </si>
  <si>
    <t>GRV98LO</t>
  </si>
  <si>
    <t>NRQCD</t>
  </si>
  <si>
    <t>CTEQ5M</t>
  </si>
  <si>
    <t>GRV94HO</t>
  </si>
  <si>
    <t>pT*fit</t>
  </si>
  <si>
    <t>Gaussian</t>
  </si>
  <si>
    <t>sigPP</t>
  </si>
  <si>
    <t>NRQCD MRSTHO</t>
  </si>
  <si>
    <t>NRQCD CTEQ5M</t>
  </si>
  <si>
    <t>comb bkgd N</t>
  </si>
  <si>
    <t>comb bkgd S</t>
  </si>
  <si>
    <t>10% of bkgd at 3.1 GeV</t>
  </si>
  <si>
    <t>from Raphael</t>
  </si>
  <si>
    <t>1/23/05 - errro found - N using S sys in cent bins</t>
  </si>
  <si>
    <t>up/down</t>
  </si>
  <si>
    <t>left/right</t>
  </si>
  <si>
    <t>0.5</t>
  </si>
  <si>
    <t>Up/Down</t>
  </si>
  <si>
    <t>grv98lo</t>
  </si>
  <si>
    <t>grv94ho</t>
  </si>
  <si>
    <t>mrstho</t>
  </si>
  <si>
    <t>nrqcd</t>
  </si>
  <si>
    <t>cteq5m</t>
  </si>
  <si>
    <t>Final up/down corrections</t>
  </si>
  <si>
    <t>dAuSouth</t>
  </si>
  <si>
    <t>dAuNorth</t>
  </si>
  <si>
    <t>dsig/dy fits</t>
  </si>
  <si>
    <t>pp muons</t>
  </si>
  <si>
    <t>dAu South</t>
  </si>
  <si>
    <t>dAu North</t>
  </si>
  <si>
    <t>pp electrons</t>
  </si>
  <si>
    <t>dAu electrons</t>
  </si>
  <si>
    <t>b</t>
  </si>
  <si>
    <t>db</t>
  </si>
  <si>
    <t>&lt;pT2&gt;</t>
  </si>
  <si>
    <t>d&lt;pT2&gt;</t>
  </si>
  <si>
    <t>dsig/dpT^2 fits</t>
  </si>
  <si>
    <t>stat</t>
  </si>
  <si>
    <t>sys</t>
  </si>
  <si>
    <t>diff</t>
  </si>
  <si>
    <t>old</t>
  </si>
  <si>
    <t>BR*sigPP</t>
  </si>
  <si>
    <t>RAA</t>
  </si>
  <si>
    <t>|&lt;y&gt;|</t>
  </si>
  <si>
    <t>-arm2arm</t>
  </si>
  <si>
    <t>+arm2arm</t>
  </si>
  <si>
    <t>avg pp</t>
  </si>
  <si>
    <r>
      <t>Ninvx10</t>
    </r>
    <r>
      <rPr>
        <b/>
        <u val="single"/>
        <vertAlign val="superscript"/>
        <sz val="10"/>
        <rFont val="Arial"/>
        <family val="2"/>
      </rPr>
      <t>-6</t>
    </r>
  </si>
  <si>
    <t>AuAu ratio</t>
  </si>
  <si>
    <t>sigppAvg</t>
  </si>
  <si>
    <r>
      <t>Ninvx10</t>
    </r>
    <r>
      <rPr>
        <b/>
        <u val="single"/>
        <vertAlign val="superscript"/>
        <sz val="10"/>
        <rFont val="Arial"/>
        <family val="2"/>
      </rPr>
      <t>-8</t>
    </r>
  </si>
  <si>
    <t>corrected weighting 4/23/05</t>
  </si>
  <si>
    <t>npart</t>
  </si>
  <si>
    <t>RdaNpart</t>
  </si>
  <si>
    <t>Ninv</t>
  </si>
  <si>
    <t>updn</t>
  </si>
  <si>
    <t>photodis was +3.65% in ratio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</si>
</sst>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.0%"/>
    <numFmt numFmtId="173" formatCode="0.0"/>
    <numFmt numFmtId="174" formatCode="#,##0.000"/>
    <numFmt numFmtId="175" formatCode="0.00000"/>
  </numFmts>
  <fonts count="44">
    <font>
      <sz val="10"/>
      <name val="Arial"/>
      <family val="0"/>
    </font>
    <font>
      <sz val="8"/>
      <name val="Arial"/>
      <family val="0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b/>
      <u val="single"/>
      <vertAlign val="subscript"/>
      <sz val="16"/>
      <name val="Symbol"/>
      <family val="1"/>
    </font>
    <font>
      <b/>
      <u val="single"/>
      <vertAlign val="subscript"/>
      <sz val="16"/>
      <name val="Browallia New"/>
      <family val="2"/>
    </font>
    <font>
      <b/>
      <u val="single"/>
      <vertAlign val="superscript"/>
      <sz val="16"/>
      <name val="Browallia New"/>
      <family val="2"/>
    </font>
    <font>
      <b/>
      <u val="single"/>
      <vertAlign val="superscript"/>
      <sz val="16"/>
      <name val="Symbol"/>
      <family val="1"/>
    </font>
    <font>
      <b/>
      <u val="single"/>
      <sz val="16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6"/>
      <name val="Browallia New"/>
      <family val="2"/>
    </font>
    <font>
      <b/>
      <vertAlign val="subscript"/>
      <sz val="16"/>
      <name val="Browallia New"/>
      <family val="2"/>
    </font>
    <font>
      <sz val="16"/>
      <color indexed="10"/>
      <name val="Browallia New"/>
      <family val="2"/>
    </font>
    <font>
      <sz val="16"/>
      <color indexed="12"/>
      <name val="Browallia New"/>
      <family val="2"/>
    </font>
    <font>
      <sz val="16"/>
      <color indexed="57"/>
      <name val="Browallia New"/>
      <family val="2"/>
    </font>
    <font>
      <b/>
      <u val="single"/>
      <sz val="16"/>
      <color indexed="12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2"/>
      <name val="Browallia New"/>
      <family val="2"/>
    </font>
    <font>
      <b/>
      <sz val="16"/>
      <color indexed="57"/>
      <name val="Browallia New"/>
      <family val="2"/>
    </font>
    <font>
      <sz val="10"/>
      <color indexed="10"/>
      <name val="Arial"/>
      <family val="0"/>
    </font>
    <font>
      <u val="single"/>
      <sz val="16"/>
      <color indexed="10"/>
      <name val="Browallia New"/>
      <family val="2"/>
    </font>
    <font>
      <u val="single"/>
      <sz val="16"/>
      <color indexed="12"/>
      <name val="Browallia New"/>
      <family val="2"/>
    </font>
    <font>
      <sz val="16"/>
      <color indexed="17"/>
      <name val="Browallia Ne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Browallia New"/>
      <family val="2"/>
    </font>
    <font>
      <i/>
      <u val="single"/>
      <sz val="16"/>
      <color indexed="10"/>
      <name val="Browallia New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48"/>
      <name val="Arial"/>
      <family val="2"/>
    </font>
    <font>
      <b/>
      <sz val="16"/>
      <color indexed="48"/>
      <name val="Browallia New"/>
      <family val="2"/>
    </font>
    <font>
      <sz val="16"/>
      <color indexed="48"/>
      <name val="Browallia New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u val="single"/>
      <sz val="16"/>
      <name val="Browallia New"/>
      <family val="2"/>
    </font>
    <font>
      <i/>
      <u val="single"/>
      <sz val="16"/>
      <color indexed="12"/>
      <name val="Browallia New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1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1" fontId="14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1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1" fontId="2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11" fontId="16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1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1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11" fontId="2" fillId="3" borderId="2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14" fillId="0" borderId="4" xfId="0" applyFont="1" applyBorder="1" applyAlignment="1">
      <alignment horizontal="right"/>
    </xf>
    <xf numFmtId="11" fontId="14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" fontId="1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2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64" fontId="27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27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64" fontId="29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72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" fontId="29" fillId="3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26" fillId="3" borderId="0" xfId="0" applyFont="1" applyFill="1" applyAlignment="1">
      <alignment horizontal="center"/>
    </xf>
    <xf numFmtId="172" fontId="0" fillId="4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164" fontId="34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15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/>
    </xf>
    <xf numFmtId="11" fontId="15" fillId="5" borderId="0" xfId="0" applyNumberFormat="1" applyFont="1" applyFill="1" applyAlignment="1">
      <alignment horizontal="center"/>
    </xf>
    <xf numFmtId="164" fontId="15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11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72" fontId="0" fillId="3" borderId="0" xfId="0" applyNumberFormat="1" applyFill="1" applyAlignment="1">
      <alignment horizontal="center"/>
    </xf>
    <xf numFmtId="0" fontId="36" fillId="0" borderId="0" xfId="0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5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5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172" fontId="0" fillId="6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2" fontId="21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/>
    </xf>
    <xf numFmtId="164" fontId="27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6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16" fontId="26" fillId="0" borderId="0" xfId="0" applyNumberFormat="1" applyFont="1" applyAlignment="1">
      <alignment horizontal="center"/>
    </xf>
    <xf numFmtId="0" fontId="21" fillId="6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5" fontId="0" fillId="0" borderId="0" xfId="0" applyNumberFormat="1" applyAlignment="1">
      <alignment horizontal="left"/>
    </xf>
    <xf numFmtId="15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1" fontId="15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173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72" fontId="0" fillId="4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66" fontId="0" fillId="9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74" fontId="2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72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6" fontId="0" fillId="3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75" fontId="0" fillId="3" borderId="0" xfId="0" applyNumberFormat="1" applyFont="1" applyFill="1" applyAlignment="1">
      <alignment horizontal="center"/>
    </xf>
    <xf numFmtId="175" fontId="0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1" fontId="4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136"/>
  <sheetViews>
    <sheetView workbookViewId="0" topLeftCell="A1">
      <selection activeCell="E20" sqref="E20"/>
    </sheetView>
  </sheetViews>
  <sheetFormatPr defaultColWidth="9.140625" defaultRowHeight="12.75"/>
  <cols>
    <col min="1" max="3" width="9.140625" style="41" customWidth="1"/>
    <col min="4" max="6" width="9.140625" style="42" customWidth="1"/>
    <col min="7" max="7" width="9.421875" style="42" customWidth="1"/>
    <col min="8" max="8" width="9.140625" style="42" customWidth="1"/>
    <col min="9" max="16384" width="9.140625" style="41" customWidth="1"/>
  </cols>
  <sheetData>
    <row r="1" spans="10:18" ht="12.75">
      <c r="J1" s="103" t="s">
        <v>195</v>
      </c>
      <c r="O1" s="84" t="s">
        <v>337</v>
      </c>
      <c r="P1" s="84" t="s">
        <v>148</v>
      </c>
      <c r="Q1" s="84" t="s">
        <v>339</v>
      </c>
      <c r="R1" s="84" t="s">
        <v>142</v>
      </c>
    </row>
    <row r="2" spans="1:18" s="40" customFormat="1" ht="15.75">
      <c r="A2" s="187" t="s">
        <v>192</v>
      </c>
      <c r="C2" s="40" t="s">
        <v>156</v>
      </c>
      <c r="D2" s="94" t="s">
        <v>153</v>
      </c>
      <c r="E2" s="94" t="s">
        <v>163</v>
      </c>
      <c r="F2" s="94" t="s">
        <v>166</v>
      </c>
      <c r="G2" s="94" t="s">
        <v>164</v>
      </c>
      <c r="H2" s="94" t="s">
        <v>165</v>
      </c>
      <c r="J2" s="40" t="s">
        <v>153</v>
      </c>
      <c r="K2" s="40" t="s">
        <v>163</v>
      </c>
      <c r="L2" s="40" t="s">
        <v>164</v>
      </c>
      <c r="M2" s="40" t="s">
        <v>166</v>
      </c>
      <c r="O2" s="40" t="s">
        <v>338</v>
      </c>
      <c r="P2" s="40" t="s">
        <v>338</v>
      </c>
      <c r="Q2" s="40" t="s">
        <v>139</v>
      </c>
      <c r="R2" s="40" t="s">
        <v>338</v>
      </c>
    </row>
    <row r="3" spans="1:18" s="113" customFormat="1" ht="15.75">
      <c r="A3" s="128" t="s">
        <v>143</v>
      </c>
      <c r="B3" s="124" t="s">
        <v>144</v>
      </c>
      <c r="C3" s="109">
        <v>-1.7</v>
      </c>
      <c r="D3" s="110">
        <f>rdaY!O3</f>
        <v>1.1768493658970551</v>
      </c>
      <c r="E3" s="110">
        <f>rdaY!N55</f>
        <v>28.113376812495414</v>
      </c>
      <c r="F3" s="110">
        <f>rdaY!N79</f>
        <v>25.110558940036107</v>
      </c>
      <c r="G3" s="111">
        <f>rdaY!N3</f>
        <v>11643.230074165434</v>
      </c>
      <c r="H3" s="112">
        <f>rdaY!P3</f>
        <v>1.0272475363584492</v>
      </c>
      <c r="I3" s="124" t="s">
        <v>144</v>
      </c>
      <c r="J3" s="114">
        <f>rdaY!O3/rdaYQM!O3-1</f>
        <v>0.178788623035671</v>
      </c>
      <c r="K3" s="114">
        <f>rdaY!O55/rdaYQM!O55-1</f>
        <v>-0.0027790542059547008</v>
      </c>
      <c r="L3" s="114">
        <f>rdaY!N3/rdaYQM!N3-1</f>
        <v>0.11107248544534021</v>
      </c>
      <c r="M3" s="141">
        <f>rdaY!N79/rdaYQM!N79-1</f>
        <v>-0.05744553032412625</v>
      </c>
      <c r="O3" s="225">
        <f>F3/42.2</f>
        <v>0.5950369417070167</v>
      </c>
      <c r="P3" s="225">
        <f>G3/2180/7.58</f>
        <v>0.7046083412508433</v>
      </c>
      <c r="Q3" s="110">
        <f>D3*D21</f>
        <v>0.9286879008017572</v>
      </c>
      <c r="R3" s="225">
        <f>E3/42.2</f>
        <v>0.6661937633292752</v>
      </c>
    </row>
    <row r="4" spans="1:18" s="40" customFormat="1" ht="12.75">
      <c r="A4" s="84" t="s">
        <v>186</v>
      </c>
      <c r="D4" s="96">
        <f>rdaY!O4</f>
        <v>0.09270432965407835</v>
      </c>
      <c r="E4" s="96">
        <f>rdaY!N56</f>
        <v>2.916147168421226</v>
      </c>
      <c r="F4" s="96">
        <f>rdaY!N80</f>
        <v>1.6608204660050436</v>
      </c>
      <c r="G4" s="98">
        <f>rdaY!N4</f>
        <v>498.1742650948215</v>
      </c>
      <c r="H4" s="99">
        <f>rdaY!P4</f>
        <v>0.015511861846975901</v>
      </c>
      <c r="J4" s="104">
        <f>rdaY!O4/rdaYQM!O4-1</f>
        <v>0.01108705046232239</v>
      </c>
      <c r="K4" s="104">
        <f>rdaY!O56/rdaYQM!O56-1</f>
        <v>-0.0021249700720213927</v>
      </c>
      <c r="O4" s="226">
        <f>F4/F3*O3</f>
        <v>0.039355935213389655</v>
      </c>
      <c r="P4" s="226">
        <f>G4/G3*P3</f>
        <v>0.030147797505193624</v>
      </c>
      <c r="Q4" s="96">
        <f>Q3*SQRT((D4/D3)^2+(D22/D21)^2)</f>
        <v>0.10256125660927833</v>
      </c>
      <c r="R4" s="226">
        <f>E4/E3*R3</f>
        <v>0.06910301346969729</v>
      </c>
    </row>
    <row r="5" spans="1:18" s="40" customFormat="1" ht="12.75">
      <c r="A5" s="95" t="s">
        <v>189</v>
      </c>
      <c r="B5" s="95" t="s">
        <v>35</v>
      </c>
      <c r="C5" s="98"/>
      <c r="D5" s="96">
        <f>rdaY!O5</f>
        <v>0.11753323514363244</v>
      </c>
      <c r="E5" s="96">
        <f>rdaY!N57</f>
        <v>3.3805700028776426</v>
      </c>
      <c r="F5" s="96">
        <f>rdaY!Q79</f>
        <v>2.0001488670026877</v>
      </c>
      <c r="G5" s="98">
        <f>rdaY!M5</f>
        <v>1121.3037137346137</v>
      </c>
      <c r="H5" s="96">
        <f>rdaY!P5</f>
        <v>0.019666387889100634</v>
      </c>
      <c r="J5" s="104">
        <f>rdaY!O5/rdaYQM!O5-1</f>
        <v>-0.07945408130895382</v>
      </c>
      <c r="K5" s="121">
        <f>rdaY!N57/rdaYQM!N57-1</f>
        <v>-0.11224998455622126</v>
      </c>
      <c r="O5" s="226">
        <f>F5/F3*O3</f>
        <v>0.04739689258300208</v>
      </c>
      <c r="P5" s="226">
        <f>G5/G3*P3</f>
        <v>0.06785745405186352</v>
      </c>
      <c r="Q5" s="96">
        <f>Q3*SQRT((D5/D3)^2+(D23/D21)^2)</f>
        <v>0.11925694874296691</v>
      </c>
      <c r="R5" s="226">
        <f>E5/E3*R3</f>
        <v>0.08010829390705314</v>
      </c>
    </row>
    <row r="6" spans="1:18" s="40" customFormat="1" ht="12.75">
      <c r="A6" s="95" t="s">
        <v>190</v>
      </c>
      <c r="B6" s="95" t="s">
        <v>35</v>
      </c>
      <c r="C6" s="98"/>
      <c r="D6" s="96">
        <f>rdaY!O6</f>
        <v>0.11888646035887027</v>
      </c>
      <c r="E6" s="96">
        <f>rdaY!N58</f>
        <v>3.3834911841544937</v>
      </c>
      <c r="F6" s="96">
        <f>rdaY!Q80</f>
        <v>2.00128606386901</v>
      </c>
      <c r="G6" s="98">
        <f>rdaY!M6</f>
        <v>1136.6734838617392</v>
      </c>
      <c r="H6" s="96">
        <f>rdaY!P6</f>
        <v>0.01989281790229355</v>
      </c>
      <c r="J6" s="104">
        <f>rdaY!O6/rdaYQM!O6-1</f>
        <v>-0.13707020977510964</v>
      </c>
      <c r="K6" s="121">
        <f>rdaY!N58/rdaYQM!N58-1</f>
        <v>-0.11571353181557797</v>
      </c>
      <c r="M6" s="120"/>
      <c r="O6" s="226">
        <f>F6/F3*O3</f>
        <v>0.047423840376042886</v>
      </c>
      <c r="P6" s="226">
        <f>G6/G3*P3</f>
        <v>0.06878757981298801</v>
      </c>
      <c r="Q6" s="96">
        <f>Q3*SQRT((D6/D3)^2+(D24/D21)^2)</f>
        <v>0.12012164882145755</v>
      </c>
      <c r="R6" s="226">
        <f>E6/E3*R3</f>
        <v>0.08017751621219178</v>
      </c>
    </row>
    <row r="7" spans="1:18" s="40" customFormat="1" ht="12.75">
      <c r="A7" s="84"/>
      <c r="B7" s="95" t="s">
        <v>36</v>
      </c>
      <c r="C7" s="96">
        <f>SQRT(D7^2-D4^2)</f>
        <v>0.10830211654337223</v>
      </c>
      <c r="D7" s="96">
        <f>rdaY!S7</f>
        <v>0.14256030718396412</v>
      </c>
      <c r="E7" s="96">
        <f>rdaY!O57</f>
        <v>4.269117750103386</v>
      </c>
      <c r="F7" s="96">
        <f>rdaY!R79</f>
        <v>2.7147811434239144</v>
      </c>
      <c r="G7" s="98">
        <f>rdaY!N5</f>
        <v>1556.6564665495757</v>
      </c>
      <c r="H7" s="96">
        <f>rdaY!T7</f>
        <v>0.02385407238423208</v>
      </c>
      <c r="J7" s="104"/>
      <c r="K7" s="121"/>
      <c r="M7" s="120"/>
      <c r="O7" s="226">
        <f>F7/F3*O3</f>
        <v>0.0643313067162065</v>
      </c>
      <c r="P7" s="226">
        <f>G7/G3*P3</f>
        <v>0.09420350914705379</v>
      </c>
      <c r="Q7" s="96">
        <f>Q3*SQRT((D7/D3)^2+(D25/D21)^2)</f>
        <v>0.15647845956207512</v>
      </c>
      <c r="R7" s="226">
        <f>E7/E3*R3</f>
        <v>0.10116392772756838</v>
      </c>
    </row>
    <row r="8" spans="1:18" s="40" customFormat="1" ht="12.75">
      <c r="A8" s="84"/>
      <c r="B8" s="95" t="s">
        <v>36</v>
      </c>
      <c r="C8" s="96">
        <f>SQRT(D8^2-D5^2)</f>
        <v>0.10280437673282139</v>
      </c>
      <c r="D8" s="96">
        <f>rdaY!S8</f>
        <v>0.15614993192042148</v>
      </c>
      <c r="E8" s="96">
        <f>rdaY!O58</f>
        <v>4.669234863898895</v>
      </c>
      <c r="F8" s="96">
        <f>rdaY!R80</f>
        <v>2.975047852162823</v>
      </c>
      <c r="G8" s="98">
        <f>rdaY!N6</f>
        <v>1751.5494782762305</v>
      </c>
      <c r="H8" s="96">
        <f>rdaY!T8</f>
        <v>0.026127972451799195</v>
      </c>
      <c r="J8" s="104"/>
      <c r="K8" s="121"/>
      <c r="M8" s="120"/>
      <c r="O8" s="226">
        <f>F8/F3*O3</f>
        <v>0.0704987642692612</v>
      </c>
      <c r="P8" s="226">
        <f>G8/G3*P3</f>
        <v>0.10599776562393978</v>
      </c>
      <c r="Q8" s="96">
        <f>Q3*SQRT((D8/D3)^2+(D26/D21)^2)</f>
        <v>0.17131780284412657</v>
      </c>
      <c r="R8" s="226">
        <f>E8/E3*R3</f>
        <v>0.11064537592177476</v>
      </c>
    </row>
    <row r="9" spans="1:18" s="115" customFormat="1" ht="12.75">
      <c r="A9" s="124"/>
      <c r="B9" s="124" t="s">
        <v>154</v>
      </c>
      <c r="C9" s="115">
        <v>-1.95</v>
      </c>
      <c r="D9" s="112">
        <f>rdaY!O11</f>
        <v>0.9855298565432399</v>
      </c>
      <c r="E9" s="112">
        <f>rdaY!N59</f>
        <v>20.799798167877125</v>
      </c>
      <c r="F9" s="116">
        <f>rdaY!N83</f>
        <v>18.803700519544766</v>
      </c>
      <c r="G9" s="119">
        <f>rdaY!N11</f>
        <v>7301.453660550545</v>
      </c>
      <c r="H9" s="116">
        <f>rdaY!P11</f>
        <v>0.9975610774473134</v>
      </c>
      <c r="I9" s="124" t="s">
        <v>154</v>
      </c>
      <c r="J9" s="114">
        <f>rdaY!O11/rdaYQM!O11-1</f>
        <v>0.06803656290855753</v>
      </c>
      <c r="K9" s="114">
        <f>rdaY!O59/rdaYQM!O59-1</f>
        <v>-0.12255464389241366</v>
      </c>
      <c r="L9" s="114">
        <f>rdaY!N11/rdaYQM!N11-1</f>
        <v>0.03246349334446008</v>
      </c>
      <c r="M9" s="141">
        <f>rdaY!N83/rdaYQM!N83-1</f>
        <v>-0.03330697730723964</v>
      </c>
      <c r="O9" s="225">
        <f>F9/42.2</f>
        <v>0.44558532036835935</v>
      </c>
      <c r="R9" s="225">
        <f>E9/42.2</f>
        <v>0.49288621250893655</v>
      </c>
    </row>
    <row r="10" spans="1:18" ht="12.75">
      <c r="A10" s="84"/>
      <c r="B10" s="84"/>
      <c r="D10" s="99">
        <f>rdaY!O12</f>
        <v>0.11194882920452735</v>
      </c>
      <c r="E10" s="99">
        <f>rdaY!N60</f>
        <v>2.712565273693941</v>
      </c>
      <c r="F10" s="42">
        <f>rdaY!N84</f>
        <v>1.5449368183372245</v>
      </c>
      <c r="G10" s="100">
        <f>rdaY!N12</f>
        <v>572.7235564127967</v>
      </c>
      <c r="H10" s="42">
        <f>rdaY!P12</f>
        <v>0.018731970545832363</v>
      </c>
      <c r="I10" s="84"/>
      <c r="J10" s="104">
        <f>rdaY!O12/rdaYQM!O12-1</f>
        <v>-0.20261010356946718</v>
      </c>
      <c r="K10" s="104">
        <f>rdaY!O60/rdaYQM!O60-1</f>
        <v>-0.14297164866535994</v>
      </c>
      <c r="O10" s="226">
        <f>F10/F9*O9</f>
        <v>0.03660987721178257</v>
      </c>
      <c r="R10" s="226">
        <f>E10/E9*R9</f>
        <v>0.06427879795483271</v>
      </c>
    </row>
    <row r="11" spans="1:18" ht="12.75">
      <c r="A11" s="95" t="s">
        <v>189</v>
      </c>
      <c r="B11" s="95" t="s">
        <v>35</v>
      </c>
      <c r="D11" s="96">
        <f>rdaY!O13</f>
        <v>0.12725271545686984</v>
      </c>
      <c r="E11" s="96">
        <f>rdaY!N61</f>
        <v>2.9931166529556874</v>
      </c>
      <c r="F11" s="96">
        <f>rdaY!Q83</f>
        <v>1.7571274878190826</v>
      </c>
      <c r="G11" s="100">
        <f>rdaY!M13</f>
        <v>851.3877113969128</v>
      </c>
      <c r="H11" s="42">
        <f>rdaY!P13</f>
        <v>0.021292711453554644</v>
      </c>
      <c r="I11" s="84"/>
      <c r="J11" s="104">
        <f>rdaY!O13/rdaYQM!O13-1</f>
        <v>-0.1645108798328122</v>
      </c>
      <c r="K11" s="121">
        <f>rdaY!N61/rdaYQM!N61-1</f>
        <v>-0.24451284840742327</v>
      </c>
      <c r="O11" s="226">
        <f>F11/F9*O9</f>
        <v>0.041638092128414274</v>
      </c>
      <c r="R11" s="226">
        <f>E11/E9*R9</f>
        <v>0.0709269349041632</v>
      </c>
    </row>
    <row r="12" spans="1:18" ht="12.75">
      <c r="A12" s="95" t="s">
        <v>190</v>
      </c>
      <c r="B12" s="95" t="s">
        <v>35</v>
      </c>
      <c r="D12" s="96">
        <f>rdaY!O14</f>
        <v>0.1281312481513272</v>
      </c>
      <c r="E12" s="96">
        <f>rdaY!N62</f>
        <v>2.9949228852002627</v>
      </c>
      <c r="F12" s="96">
        <f>rdaY!Q84</f>
        <v>1.757843105142835</v>
      </c>
      <c r="G12" s="100">
        <f>rdaY!M14</f>
        <v>859.3652941911882</v>
      </c>
      <c r="H12" s="42">
        <f>rdaY!P14</f>
        <v>0.021439712978028477</v>
      </c>
      <c r="I12" s="84"/>
      <c r="J12" s="104">
        <f>rdaY!O14/rdaYQM!O14-1</f>
        <v>-0.15874279460732188</v>
      </c>
      <c r="K12" s="121">
        <f>rdaY!N62/rdaYQM!N62-1</f>
        <v>-0.2464138738542262</v>
      </c>
      <c r="O12" s="226">
        <f>F12/F9*O9</f>
        <v>0.0416550498849013</v>
      </c>
      <c r="R12" s="226">
        <f>E12/E9*R9</f>
        <v>0.07096973661611997</v>
      </c>
    </row>
    <row r="13" spans="1:18" ht="12.75">
      <c r="A13" s="95"/>
      <c r="B13" s="95" t="s">
        <v>36</v>
      </c>
      <c r="C13" s="96">
        <f>SQRT(D13^2-D10^2)</f>
        <v>0.0906955235506797</v>
      </c>
      <c r="D13" s="96">
        <f>rdaY!S15</f>
        <v>0.14407712640248047</v>
      </c>
      <c r="E13" s="96">
        <f>rdaY!O61</f>
        <v>3.560811577588838</v>
      </c>
      <c r="F13" s="96">
        <f>rdaY!R83</f>
        <v>2.2352873432051856</v>
      </c>
      <c r="G13" s="98">
        <f>rdaY!N13</f>
        <v>1087.81320772884</v>
      </c>
      <c r="H13" s="42">
        <f>rdaY!T15</f>
        <v>0.02410787595794066</v>
      </c>
      <c r="I13" s="84"/>
      <c r="J13" s="104"/>
      <c r="K13" s="121"/>
      <c r="O13" s="226">
        <f>F13/F9*O9</f>
        <v>0.05296889438874847</v>
      </c>
      <c r="R13" s="226">
        <f>E13/E9*R9</f>
        <v>0.08437942126987766</v>
      </c>
    </row>
    <row r="14" spans="1:18" ht="12.75">
      <c r="A14" s="95"/>
      <c r="B14" s="95" t="s">
        <v>36</v>
      </c>
      <c r="C14" s="96">
        <f>SQRT(D14^2-D11^2)</f>
        <v>0.08609154713380486</v>
      </c>
      <c r="D14" s="96">
        <f>rdaY!S16</f>
        <v>0.15363921400163183</v>
      </c>
      <c r="E14" s="96">
        <f>rdaY!O62</f>
        <v>3.825838090980358</v>
      </c>
      <c r="F14" s="96">
        <f>rdaY!R84</f>
        <v>2.413983163877947</v>
      </c>
      <c r="G14" s="98">
        <f>rdaY!N14</f>
        <v>1198.7016991975922</v>
      </c>
      <c r="H14" s="42">
        <f>rdaY!T16</f>
        <v>0.025707863599943873</v>
      </c>
      <c r="I14" s="84"/>
      <c r="J14" s="104"/>
      <c r="K14" s="121"/>
      <c r="O14" s="226">
        <f>F14/F9*O9</f>
        <v>0.0572033925089561</v>
      </c>
      <c r="R14" s="226">
        <f>E14/E9*R9</f>
        <v>0.09065967040237814</v>
      </c>
    </row>
    <row r="15" spans="1:18" s="115" customFormat="1" ht="12.75">
      <c r="A15" s="124"/>
      <c r="B15" s="124" t="s">
        <v>155</v>
      </c>
      <c r="C15" s="115">
        <v>-1.45</v>
      </c>
      <c r="D15" s="112">
        <f>rdaY!O19</f>
        <v>1.1130223250996</v>
      </c>
      <c r="E15" s="112">
        <f>rdaY!N63</f>
        <v>34.52232755530781</v>
      </c>
      <c r="F15" s="116">
        <f>rdaY!N81</f>
        <v>34.06432353490817</v>
      </c>
      <c r="G15" s="119">
        <f>rdaY!N19</f>
        <v>14938.254918004795</v>
      </c>
      <c r="H15" s="116">
        <f>rdaY!P19</f>
        <v>1.0179171424515674</v>
      </c>
      <c r="I15" s="124" t="s">
        <v>155</v>
      </c>
      <c r="J15" s="114">
        <f>rdaY!O19/rdaYQM!O19-1</f>
        <v>-0.06473008304451267</v>
      </c>
      <c r="K15" s="114">
        <f>rdaY!O63/rdaYQM!O63-1</f>
        <v>0.09798515118839135</v>
      </c>
      <c r="L15" s="114">
        <f>rdaY!N19/rdaYQM!N19-1</f>
        <v>-0.10522955437163906</v>
      </c>
      <c r="M15" s="141">
        <f>rdaY!N81/rdaYQM!N81-1</f>
        <v>-0.04330244199338862</v>
      </c>
      <c r="O15" s="225">
        <f>F15/42.2</f>
        <v>0.8072114581731793</v>
      </c>
      <c r="R15" s="225">
        <f>E15/42.2</f>
        <v>0.8180646340120333</v>
      </c>
    </row>
    <row r="16" spans="1:18" ht="12.75">
      <c r="A16" s="84"/>
      <c r="B16" s="84"/>
      <c r="D16" s="99">
        <f>rdaY!O20</f>
        <v>0.11263169768157524</v>
      </c>
      <c r="E16" s="99">
        <f>rdaY!N64</f>
        <v>4.871229111450889</v>
      </c>
      <c r="F16" s="42">
        <f>rdaY!N82</f>
        <v>2.79389497860979</v>
      </c>
      <c r="G16" s="100">
        <f>rdaY!N20</f>
        <v>885.4406772707057</v>
      </c>
      <c r="H16" s="42">
        <f>rdaY!P20</f>
        <v>0.018846232323196453</v>
      </c>
      <c r="I16" s="84"/>
      <c r="J16" s="104">
        <f>rdaY!O20/rdaYQM!O20-1</f>
        <v>-0.10682742824074443</v>
      </c>
      <c r="K16" s="104">
        <f>rdaY!O64/rdaYQM!O64-1</f>
        <v>0.06302542280617396</v>
      </c>
      <c r="O16" s="226">
        <f>F16/F15*O15</f>
        <v>0.06620604214715141</v>
      </c>
      <c r="R16" s="226">
        <f>E16/E15*R15</f>
        <v>0.11543196946566087</v>
      </c>
    </row>
    <row r="17" spans="1:18" ht="12.75">
      <c r="A17" s="95" t="s">
        <v>189</v>
      </c>
      <c r="B17" s="95" t="s">
        <v>35</v>
      </c>
      <c r="D17" s="96">
        <f>rdaY!O21</f>
        <v>0.13173840362058037</v>
      </c>
      <c r="E17" s="96">
        <f>rdaY!N65</f>
        <v>5.304573510249404</v>
      </c>
      <c r="F17" s="96">
        <f>rdaY!Q81</f>
        <v>3.1854138312360516</v>
      </c>
      <c r="G17" s="98">
        <f>rdaY!M21</f>
        <v>1563.6958339685432</v>
      </c>
      <c r="H17" s="42">
        <f>rdaY!P21</f>
        <v>0.022043284542683624</v>
      </c>
      <c r="I17" s="84"/>
      <c r="J17" s="104">
        <f>rdaY!O21/rdaYQM!O21-1</f>
        <v>-0.10575981318146821</v>
      </c>
      <c r="K17" s="121">
        <f>rdaY!N65/rdaYQM!N65-1</f>
        <v>-0.06165601331468884</v>
      </c>
      <c r="O17" s="226">
        <f>F17/F15*O15</f>
        <v>0.07548374007668368</v>
      </c>
      <c r="R17" s="226">
        <f>E17/E15*R15</f>
        <v>0.1257007940817394</v>
      </c>
    </row>
    <row r="18" spans="1:18" ht="12.75">
      <c r="A18" s="95" t="s">
        <v>190</v>
      </c>
      <c r="B18" s="95" t="s">
        <v>35</v>
      </c>
      <c r="D18" s="96">
        <f>rdaY!O22</f>
        <v>0.13282008171701387</v>
      </c>
      <c r="E18" s="96">
        <f>rdaY!N66</f>
        <v>5.307381171833769</v>
      </c>
      <c r="F18" s="96">
        <f>rdaY!Q82</f>
        <v>3.1866830259160013</v>
      </c>
      <c r="G18" s="98">
        <f>rdaY!M22</f>
        <v>1581.8569577965552</v>
      </c>
      <c r="H18" s="42">
        <f>rdaY!P22</f>
        <v>0.022224277612342677</v>
      </c>
      <c r="I18" s="84"/>
      <c r="J18" s="104">
        <f>rdaY!O22/rdaYQM!O22-1</f>
        <v>-0.0984173830589804</v>
      </c>
      <c r="K18" s="121">
        <f>rdaY!N66/rdaYQM!N66-1</f>
        <v>-0.06369023596377366</v>
      </c>
      <c r="O18" s="226">
        <f>F18/F15*O15</f>
        <v>0.07551381578000002</v>
      </c>
      <c r="R18" s="226">
        <f>E18/E15*R15</f>
        <v>0.12576732634677176</v>
      </c>
    </row>
    <row r="19" spans="1:18" ht="12.75">
      <c r="A19" s="95"/>
      <c r="B19" s="95" t="s">
        <v>36</v>
      </c>
      <c r="C19" s="96">
        <f>SQRT(D19^2-D16^2)</f>
        <v>0.10242829461562242</v>
      </c>
      <c r="D19" s="96">
        <f>rdaY!S23</f>
        <v>0.1522414360826201</v>
      </c>
      <c r="E19" s="96">
        <f>rdaY!O65</f>
        <v>6.195797251704496</v>
      </c>
      <c r="F19" s="96">
        <f>rdaY!R81</f>
        <v>4.047592446245629</v>
      </c>
      <c r="G19" s="98">
        <f>rdaY!N21</f>
        <v>2089.078078275226</v>
      </c>
      <c r="H19" s="42">
        <f>rdaY!T23</f>
        <v>0.02547397875278119</v>
      </c>
      <c r="I19" s="84"/>
      <c r="J19" s="104"/>
      <c r="K19" s="121"/>
      <c r="O19" s="226">
        <f>F19/F15*O15</f>
        <v>0.0959145129442092</v>
      </c>
      <c r="P19" s="41" t="s">
        <v>148</v>
      </c>
      <c r="R19" s="226">
        <f>E19/E15*R15</f>
        <v>0.14681984008778423</v>
      </c>
    </row>
    <row r="20" spans="1:18" ht="14.25">
      <c r="A20" s="95"/>
      <c r="B20" s="95" t="s">
        <v>36</v>
      </c>
      <c r="C20" s="96">
        <f>SQRT(D20^2-D17^2)</f>
        <v>0.09722872759876164</v>
      </c>
      <c r="D20" s="96">
        <f>rdaY!S24</f>
        <v>0.16373280813255825</v>
      </c>
      <c r="E20" s="96">
        <f>rdaY!O66</f>
        <v>6.616702978900197</v>
      </c>
      <c r="F20" s="96">
        <f>rdaY!R82</f>
        <v>4.36534978204678</v>
      </c>
      <c r="G20" s="98">
        <f>rdaY!N22</f>
        <v>2329.2821986328177</v>
      </c>
      <c r="H20" s="42">
        <f>rdaY!T24</f>
        <v>0.027396786202400655</v>
      </c>
      <c r="I20" s="84"/>
      <c r="J20" s="104"/>
      <c r="K20" s="121"/>
      <c r="O20" s="226">
        <f>F20/F15*O15</f>
        <v>0.10344430763144029</v>
      </c>
      <c r="P20" s="40" t="s">
        <v>338</v>
      </c>
      <c r="R20" s="226">
        <f>E20/E15*R15</f>
        <v>0.1567939094526113</v>
      </c>
    </row>
    <row r="21" spans="1:18" s="115" customFormat="1" ht="15.75">
      <c r="A21" s="128" t="s">
        <v>145</v>
      </c>
      <c r="B21" s="124" t="s">
        <v>144</v>
      </c>
      <c r="C21" s="115">
        <v>1.8</v>
      </c>
      <c r="D21" s="116">
        <f>rdaY!O27</f>
        <v>0.789130646379593</v>
      </c>
      <c r="E21" s="116">
        <f>rdaY!N67</f>
        <v>23.668975583366013</v>
      </c>
      <c r="F21" s="116">
        <f>rdaY!N79</f>
        <v>25.110558940036107</v>
      </c>
      <c r="G21" s="117">
        <f>rdaY!N27</f>
        <v>7807.311573277602</v>
      </c>
      <c r="H21" s="112">
        <f>rdaY!P27</f>
        <v>0.9603732460370675</v>
      </c>
      <c r="I21" s="124" t="s">
        <v>144</v>
      </c>
      <c r="J21" s="114">
        <f>rdaY!O27/rdaYQM!O27-1</f>
        <v>0.18066129991262558</v>
      </c>
      <c r="K21" s="114">
        <f>rdaY!O67/rdaYQM!O67-1</f>
        <v>-0.0897122665950002</v>
      </c>
      <c r="L21" s="114">
        <f>rdaY!N27/rdaYQM!N27-1</f>
        <v>0.11283758540597266</v>
      </c>
      <c r="M21" s="141">
        <f>M3</f>
        <v>-0.05744553032412625</v>
      </c>
      <c r="O21" s="225"/>
      <c r="P21" s="225">
        <f>G21/2180/7.58</f>
        <v>0.47247171293829743</v>
      </c>
      <c r="R21" s="225">
        <f>E21/42.2</f>
        <v>0.5608761986579623</v>
      </c>
    </row>
    <row r="22" spans="1:18" ht="12.75">
      <c r="A22" s="84" t="s">
        <v>186</v>
      </c>
      <c r="B22" s="84"/>
      <c r="D22" s="42">
        <f>rdaY!O28</f>
        <v>0.06108011927338411</v>
      </c>
      <c r="E22" s="42">
        <f>rdaY!N68</f>
        <v>2.0205277592020345</v>
      </c>
      <c r="F22" s="42">
        <f>rdaY!N80</f>
        <v>1.6608204660050436</v>
      </c>
      <c r="G22" s="97">
        <f>rdaY!N28</f>
        <v>313.89798854095096</v>
      </c>
      <c r="H22" s="99">
        <f>rdaY!P28</f>
        <v>0.010220303359087635</v>
      </c>
      <c r="I22" s="84"/>
      <c r="J22" s="125">
        <f>rdaY!O28/rdaYQM!O28-1</f>
        <v>0.038689122400391796</v>
      </c>
      <c r="K22" s="125">
        <f>rdaY!O68/rdaYQM!O68-1</f>
        <v>-0.06695590440823374</v>
      </c>
      <c r="O22" s="226"/>
      <c r="P22" s="226">
        <f>G22/G21*P21</f>
        <v>0.018996029419582616</v>
      </c>
      <c r="R22" s="226">
        <f>E22/E21*R21</f>
        <v>0.047879804720427355</v>
      </c>
    </row>
    <row r="23" spans="1:18" ht="12.75">
      <c r="A23" s="95" t="s">
        <v>189</v>
      </c>
      <c r="B23" s="95" t="s">
        <v>35</v>
      </c>
      <c r="D23" s="42">
        <f>rdaY!O29</f>
        <v>0.06370017848016561</v>
      </c>
      <c r="E23" s="42">
        <f>rdaY!N69</f>
        <v>2.4809973649361474</v>
      </c>
      <c r="G23" s="97">
        <f>rdaY!M29</f>
        <v>596.7102134784483</v>
      </c>
      <c r="H23" s="96">
        <f>rdaY!P29</f>
        <v>0.010658707871564511</v>
      </c>
      <c r="I23" s="84"/>
      <c r="J23" s="122">
        <f>rdaY!O29/rdaYQM!O29-1</f>
        <v>-0.3042800802370772</v>
      </c>
      <c r="K23" s="122">
        <f>rdaY!N69/rdaYQM!N69-1</f>
        <v>-0.0031769657709158627</v>
      </c>
      <c r="O23" s="226"/>
      <c r="P23" s="226">
        <f>G23/G21*P21</f>
        <v>0.03611085506756362</v>
      </c>
      <c r="R23" s="226">
        <f>E23/E21*R21</f>
        <v>0.058791406752041406</v>
      </c>
    </row>
    <row r="24" spans="1:18" ht="12.75">
      <c r="A24" s="95" t="s">
        <v>190</v>
      </c>
      <c r="B24" s="95" t="s">
        <v>35</v>
      </c>
      <c r="D24" s="42">
        <f>rdaY!O30</f>
        <v>0.06374415489280921</v>
      </c>
      <c r="E24" s="42">
        <f>rdaY!N70</f>
        <v>2.482013277254294</v>
      </c>
      <c r="G24" s="97">
        <f>rdaY!M30</f>
        <v>596.9144790717546</v>
      </c>
      <c r="H24" s="96">
        <f>rdaY!P30</f>
        <v>0.010666066276937794</v>
      </c>
      <c r="I24" s="84"/>
      <c r="J24" s="122">
        <f>rdaY!O30/rdaYQM!O30-1</f>
        <v>-0.34850884169538354</v>
      </c>
      <c r="K24" s="122">
        <f>rdaY!N70/rdaYQM!N70-1</f>
        <v>-0.010248045564510533</v>
      </c>
      <c r="O24" s="226"/>
      <c r="P24" s="226">
        <f>G24/G21*P21</f>
        <v>0.03612321652052447</v>
      </c>
      <c r="R24" s="226">
        <f>E24/E21*R21</f>
        <v>0.05881548050365625</v>
      </c>
    </row>
    <row r="25" spans="1:18" ht="12.75">
      <c r="A25" s="84"/>
      <c r="B25" s="95" t="s">
        <v>36</v>
      </c>
      <c r="C25" s="96">
        <f>SQRT(D25^2-D22^2)</f>
        <v>0.0693582543231412</v>
      </c>
      <c r="D25" s="42">
        <f>rdaY!S31</f>
        <v>0.09241941578047529</v>
      </c>
      <c r="E25" s="42">
        <f>rdaY!O69</f>
        <v>3.5176404623216464</v>
      </c>
      <c r="G25" s="97">
        <f>rdaY!N29</f>
        <v>1016.1957214504973</v>
      </c>
      <c r="H25" s="96">
        <f>rdaY!T31</f>
        <v>0.015464188295350978</v>
      </c>
      <c r="I25" s="84"/>
      <c r="J25" s="122"/>
      <c r="K25" s="122"/>
      <c r="O25" s="226"/>
      <c r="P25" s="226">
        <f>G25/G21*P21</f>
        <v>0.061496678938448436</v>
      </c>
      <c r="R25" s="226">
        <f>E25/E21*R21</f>
        <v>0.08335640905975464</v>
      </c>
    </row>
    <row r="26" spans="1:18" ht="12.75">
      <c r="A26" s="84"/>
      <c r="B26" s="95" t="s">
        <v>36</v>
      </c>
      <c r="C26" s="96">
        <f>SQRT(D26^2-D23^2)</f>
        <v>0.07855318960705983</v>
      </c>
      <c r="D26" s="42">
        <f>rdaY!S32</f>
        <v>0.10113513897675548</v>
      </c>
      <c r="E26" s="42">
        <f>rdaY!O70</f>
        <v>3.8600295632359916</v>
      </c>
      <c r="G26" s="97">
        <f>rdaY!N30</f>
        <v>1143.3245706099215</v>
      </c>
      <c r="H26" s="96">
        <f>rdaY!T32</f>
        <v>0.01692255701040089</v>
      </c>
      <c r="I26" s="84"/>
      <c r="J26" s="122"/>
      <c r="K26" s="122"/>
      <c r="O26" s="226"/>
      <c r="P26" s="226">
        <f>G26/G21*P21</f>
        <v>0.06919008076601398</v>
      </c>
      <c r="R26" s="226">
        <f>E26/E21*R21</f>
        <v>0.09146989486341212</v>
      </c>
    </row>
    <row r="27" spans="1:18" s="115" customFormat="1" ht="12.75">
      <c r="A27" s="124"/>
      <c r="B27" s="124" t="s">
        <v>154</v>
      </c>
      <c r="C27" s="115">
        <v>1.45</v>
      </c>
      <c r="D27" s="112">
        <f>rdaY!O35</f>
        <v>0.8889593104840282</v>
      </c>
      <c r="E27" s="112">
        <f>rdaY!N71</f>
        <v>33.83979895242889</v>
      </c>
      <c r="F27" s="116">
        <f>F15</f>
        <v>34.06432353490817</v>
      </c>
      <c r="G27" s="119">
        <f>rdaY!N35</f>
        <v>11931.028239308547</v>
      </c>
      <c r="H27" s="116">
        <f>rdaY!P35</f>
        <v>0.9803050697179096</v>
      </c>
      <c r="I27" s="124" t="s">
        <v>154</v>
      </c>
      <c r="J27" s="114">
        <f>rdaY!O35/rdaYQM!O35-1</f>
        <v>0.1453748740237275</v>
      </c>
      <c r="K27" s="114">
        <f>rdaY!O71/rdaYQM!O71-1</f>
        <v>-0.07479355583340885</v>
      </c>
      <c r="L27" s="114">
        <f>rdaY!N35/rdaYQM!N35-1</f>
        <v>0.09577734498063006</v>
      </c>
      <c r="M27" s="141">
        <f>M15</f>
        <v>-0.04330244199338862</v>
      </c>
      <c r="N27" s="123" t="s">
        <v>187</v>
      </c>
      <c r="O27" s="226"/>
      <c r="P27" s="226"/>
      <c r="R27" s="225">
        <f>E27/42.2</f>
        <v>0.8018909704367035</v>
      </c>
    </row>
    <row r="28" spans="1:18" ht="12.75">
      <c r="A28" s="84"/>
      <c r="B28" s="84"/>
      <c r="D28" s="99">
        <f>rdaY!O36</f>
        <v>0.08551252960309454</v>
      </c>
      <c r="E28" s="99">
        <f>rdaY!N72</f>
        <v>3.4106398343567794</v>
      </c>
      <c r="F28" s="42">
        <f>F16</f>
        <v>2.79389497860979</v>
      </c>
      <c r="G28" s="100">
        <f>rdaY!N36</f>
        <v>599.6802765724044</v>
      </c>
      <c r="H28" s="42">
        <f>rdaY!P36</f>
        <v>0.01430848537860372</v>
      </c>
      <c r="I28" s="84"/>
      <c r="J28" s="125">
        <f>rdaY!O36/rdaYQM!O36-1</f>
        <v>0.08182153037852724</v>
      </c>
      <c r="K28" s="125">
        <f>rdaY!O72/rdaYQM!O72-1</f>
        <v>-0.040583477750658514</v>
      </c>
      <c r="N28" s="41" t="s">
        <v>188</v>
      </c>
      <c r="O28" s="226"/>
      <c r="P28" s="226"/>
      <c r="R28" s="226">
        <f>E28/E27*R27</f>
        <v>0.08082084915537391</v>
      </c>
    </row>
    <row r="29" spans="1:18" ht="12.75">
      <c r="A29" s="95" t="s">
        <v>189</v>
      </c>
      <c r="B29" s="95" t="s">
        <v>35</v>
      </c>
      <c r="D29" s="42">
        <f>rdaY!O37</f>
        <v>0.0879049103484023</v>
      </c>
      <c r="E29" s="96">
        <f>rdaY!N73</f>
        <v>3.983648133849453</v>
      </c>
      <c r="G29" s="98">
        <f>rdaY!M37</f>
        <v>980.3279024588062</v>
      </c>
      <c r="H29" s="42">
        <f>rdaY!P37</f>
        <v>0.014708793322634537</v>
      </c>
      <c r="I29" s="84"/>
      <c r="J29" s="122">
        <f>rdaY!O37/rdaYQM!O37-1</f>
        <v>-0.03772209923488623</v>
      </c>
      <c r="K29" s="122">
        <f>rdaY!N73/rdaYQM!N73-1</f>
        <v>0.06174594235680053</v>
      </c>
      <c r="R29" s="226">
        <f>E29/E27*R27</f>
        <v>0.09439924487794911</v>
      </c>
    </row>
    <row r="30" spans="1:18" ht="12.75">
      <c r="A30" s="95" t="s">
        <v>190</v>
      </c>
      <c r="B30" s="95" t="s">
        <v>35</v>
      </c>
      <c r="D30" s="42">
        <f>rdaY!O38</f>
        <v>0.08794535520004403</v>
      </c>
      <c r="E30" s="96">
        <f>rdaY!N74</f>
        <v>3.984941485424911</v>
      </c>
      <c r="G30" s="98">
        <f>rdaY!M38</f>
        <v>980.6182713363397</v>
      </c>
      <c r="H30" s="42">
        <f>rdaY!P38</f>
        <v>0.014715560805377026</v>
      </c>
      <c r="I30" s="84"/>
      <c r="J30" s="122">
        <f>rdaY!O38/rdaYQM!O38-1</f>
        <v>-0.03727935733593768</v>
      </c>
      <c r="K30" s="122">
        <f>rdaY!N74/rdaYQM!N74-1</f>
        <v>0.05514477415952879</v>
      </c>
      <c r="R30" s="226">
        <f>E30/E27*R27</f>
        <v>0.09442989301954764</v>
      </c>
    </row>
    <row r="31" spans="1:18" ht="12.75">
      <c r="A31" s="95"/>
      <c r="B31" s="95" t="s">
        <v>36</v>
      </c>
      <c r="C31" s="96">
        <f>SQRT(D31^2-D28^2)</f>
        <v>0.078132393187803</v>
      </c>
      <c r="D31" s="42">
        <f>rdaY!S39</f>
        <v>0.11583204903813782</v>
      </c>
      <c r="E31" s="96">
        <f>rdaY!O73</f>
        <v>5.346065616711527</v>
      </c>
      <c r="G31" s="98">
        <f>rdaY!N37</f>
        <v>1594.0895593231137</v>
      </c>
      <c r="H31" s="42">
        <f>rdaY!T39</f>
        <v>0.01938173490748807</v>
      </c>
      <c r="I31" s="84"/>
      <c r="J31" s="122"/>
      <c r="K31" s="122"/>
      <c r="R31" s="226">
        <f>E31/E27*R27</f>
        <v>0.1266840193533537</v>
      </c>
    </row>
    <row r="32" spans="1:18" ht="12.75">
      <c r="A32" s="95"/>
      <c r="B32" s="95" t="s">
        <v>36</v>
      </c>
      <c r="C32" s="96">
        <f>SQRT(D32^2-D29^2)</f>
        <v>0.08849053016732374</v>
      </c>
      <c r="D32" s="42">
        <f>rdaY!S40</f>
        <v>0.12473109954079085</v>
      </c>
      <c r="E32" s="96">
        <f>rdaY!O74</f>
        <v>5.808942910311402</v>
      </c>
      <c r="G32" s="98">
        <f>rdaY!N38</f>
        <v>1783.8899567222888</v>
      </c>
      <c r="H32" s="42">
        <f>rdaY!T40</f>
        <v>0.020870779081384884</v>
      </c>
      <c r="I32" s="84"/>
      <c r="J32" s="122"/>
      <c r="K32" s="122"/>
      <c r="R32" s="226">
        <f>E32/E27*R27</f>
        <v>0.13765267559979624</v>
      </c>
    </row>
    <row r="33" spans="1:18" s="115" customFormat="1" ht="12.75">
      <c r="A33" s="124"/>
      <c r="B33" s="124" t="s">
        <v>155</v>
      </c>
      <c r="C33" s="115">
        <v>2.05</v>
      </c>
      <c r="D33" s="112">
        <f>rdaY!O43</f>
        <v>0.665658786147366</v>
      </c>
      <c r="E33" s="112">
        <f>rdaY!N75</f>
        <v>17.845307395704147</v>
      </c>
      <c r="F33" s="116">
        <f>F9</f>
        <v>18.803700519544766</v>
      </c>
      <c r="G33" s="119">
        <f>rdaY!N43</f>
        <v>4931.638294389993</v>
      </c>
      <c r="H33" s="116">
        <f>rdaY!P43</f>
        <v>0.9319019115480498</v>
      </c>
      <c r="I33" s="124" t="s">
        <v>155</v>
      </c>
      <c r="J33" s="114">
        <f>rdaY!O43/rdaYQM!O43-1</f>
        <v>0.34166490228561397</v>
      </c>
      <c r="K33" s="114">
        <f>rdaY!O75/rdaYQM!O75-1</f>
        <v>0.07918941798699053</v>
      </c>
      <c r="L33" s="114">
        <f>rdaY!N43/rdaYQM!N43-1</f>
        <v>0.296978099831267</v>
      </c>
      <c r="M33" s="141">
        <f>M9</f>
        <v>-0.03330697730723964</v>
      </c>
      <c r="R33" s="225">
        <f>E33/42.2</f>
        <v>0.42287458283659113</v>
      </c>
    </row>
    <row r="34" spans="4:18" ht="12.75">
      <c r="D34" s="99">
        <f>rdaY!O44</f>
        <v>0.06935838651909121</v>
      </c>
      <c r="E34" s="99">
        <f>rdaY!N76</f>
        <v>1.879581451970402</v>
      </c>
      <c r="F34" s="42">
        <f>F10</f>
        <v>1.5449368183372245</v>
      </c>
      <c r="G34" s="100">
        <f>rdaY!N44</f>
        <v>316.01519291167557</v>
      </c>
      <c r="H34" s="42">
        <f>rdaY!P44</f>
        <v>0.01160547423866699</v>
      </c>
      <c r="I34" s="84"/>
      <c r="J34" s="125">
        <f>rdaY!O44/rdaYQM!O44-1</f>
        <v>-0.07800210649736827</v>
      </c>
      <c r="K34" s="125">
        <f>rdaY!O76/rdaYQM!O76-1</f>
        <v>0.055701391807046585</v>
      </c>
      <c r="R34" s="226">
        <f>E34/E33*R33</f>
        <v>0.04453984483342185</v>
      </c>
    </row>
    <row r="35" spans="1:18" ht="12.75">
      <c r="A35" s="95" t="s">
        <v>189</v>
      </c>
      <c r="B35" s="95" t="s">
        <v>35</v>
      </c>
      <c r="D35" s="42">
        <f>rdaY!O45</f>
        <v>0.07101559075871033</v>
      </c>
      <c r="E35" s="96">
        <f>rdaY!N77</f>
        <v>2.1705091384202246</v>
      </c>
      <c r="G35" s="98">
        <f>rdaY!M45</f>
        <v>450.1356072094108</v>
      </c>
      <c r="H35" s="42">
        <f>rdaY!P45</f>
        <v>0.011882767902437781</v>
      </c>
      <c r="J35" s="122">
        <f>rdaY!O45/rdaYQM!O45-1</f>
        <v>-0.12023251837447058</v>
      </c>
      <c r="K35" s="122">
        <f>rdaY!N77/rdaYQM!N77-1</f>
        <v>-0.040653870950426385</v>
      </c>
      <c r="R35" s="226">
        <f>E35/E33*R33</f>
        <v>0.051433865839341814</v>
      </c>
    </row>
    <row r="36" spans="1:18" ht="12.75">
      <c r="A36" s="95" t="s">
        <v>190</v>
      </c>
      <c r="B36" s="95" t="s">
        <v>35</v>
      </c>
      <c r="D36" s="42">
        <f>rdaY!O46</f>
        <v>0.0710436629502224</v>
      </c>
      <c r="E36" s="96">
        <f>rdaY!N78</f>
        <v>2.171169273670326</v>
      </c>
      <c r="G36" s="98">
        <f>rdaY!M46</f>
        <v>450.2436552610728</v>
      </c>
      <c r="H36" s="42">
        <f>rdaY!P46</f>
        <v>0.011887465115158069</v>
      </c>
      <c r="J36" s="122">
        <f>rdaY!O46/rdaYQM!O46-1</f>
        <v>-0.11988474965261076</v>
      </c>
      <c r="K36" s="122">
        <f>rdaY!N78/rdaYQM!N78-1</f>
        <v>-0.043905022651415715</v>
      </c>
      <c r="R36" s="226">
        <f>E36/E33*R33</f>
        <v>0.051449508854747056</v>
      </c>
    </row>
    <row r="37" spans="1:18" ht="12.75">
      <c r="A37" s="95"/>
      <c r="B37" s="95" t="s">
        <v>36</v>
      </c>
      <c r="C37" s="96">
        <f>SQRT(D37^2-D34^2)</f>
        <v>0.05850606815722881</v>
      </c>
      <c r="D37" s="42">
        <f>rdaY!S47</f>
        <v>0.09073888797946532</v>
      </c>
      <c r="E37" s="96">
        <f>rdaY!O77</f>
        <v>2.8715780289048958</v>
      </c>
      <c r="G37" s="97">
        <f>rdaY!N45</f>
        <v>687.4487540450463</v>
      </c>
      <c r="H37" s="42">
        <f>rdaY!T47</f>
        <v>0.015182991989023748</v>
      </c>
      <c r="J37" s="122"/>
      <c r="K37" s="122"/>
      <c r="R37" s="226">
        <f>E37/E33*R33</f>
        <v>0.06804687272286483</v>
      </c>
    </row>
    <row r="38" spans="1:18" ht="12.75">
      <c r="A38" s="95"/>
      <c r="B38" s="95" t="s">
        <v>36</v>
      </c>
      <c r="C38" s="96">
        <f>SQRT(D38^2-D35^2)</f>
        <v>0.06626231167391089</v>
      </c>
      <c r="D38" s="42">
        <f>rdaY!S48</f>
        <v>0.09712830730111141</v>
      </c>
      <c r="E38" s="96">
        <f>rdaY!O78</f>
        <v>3.1115709783429386</v>
      </c>
      <c r="G38" s="97">
        <f>rdaY!N46</f>
        <v>762.973018437268</v>
      </c>
      <c r="H38" s="42">
        <f>rdaY!T48</f>
        <v>0.016252109150752907</v>
      </c>
      <c r="J38" s="122"/>
      <c r="K38" s="122"/>
      <c r="R38" s="226">
        <f>E38/E33*R33</f>
        <v>0.07373390943940612</v>
      </c>
    </row>
    <row r="39" spans="9:16" ht="12.75">
      <c r="I39" s="84" t="s">
        <v>153</v>
      </c>
      <c r="J39" s="94" t="s">
        <v>163</v>
      </c>
      <c r="K39" s="94" t="s">
        <v>164</v>
      </c>
      <c r="O39" s="164" t="s">
        <v>337</v>
      </c>
      <c r="P39" s="84" t="s">
        <v>148</v>
      </c>
    </row>
    <row r="40" spans="1:16" ht="15.75">
      <c r="A40" s="188" t="s">
        <v>37</v>
      </c>
      <c r="B40" s="40"/>
      <c r="C40" s="40" t="s">
        <v>162</v>
      </c>
      <c r="D40" s="94" t="s">
        <v>165</v>
      </c>
      <c r="E40" s="94" t="s">
        <v>153</v>
      </c>
      <c r="F40" s="94" t="s">
        <v>163</v>
      </c>
      <c r="G40" s="94" t="s">
        <v>164</v>
      </c>
      <c r="H40" s="94" t="s">
        <v>340</v>
      </c>
      <c r="I40" s="40" t="s">
        <v>198</v>
      </c>
      <c r="J40" s="40" t="s">
        <v>198</v>
      </c>
      <c r="K40" s="40" t="s">
        <v>198</v>
      </c>
      <c r="O40" s="120" t="s">
        <v>341</v>
      </c>
      <c r="P40" s="120" t="s">
        <v>341</v>
      </c>
    </row>
    <row r="41" spans="1:16" s="115" customFormat="1" ht="15.75">
      <c r="A41" s="127" t="s">
        <v>143</v>
      </c>
      <c r="B41" s="115" t="s">
        <v>157</v>
      </c>
      <c r="C41" s="118" t="str">
        <f>rdaPt!$C$4</f>
        <v>0.5</v>
      </c>
      <c r="D41" s="112">
        <f>rdaPt!Q3</f>
        <v>0.9521527405023116</v>
      </c>
      <c r="E41" s="116">
        <f>rdaPt!P3</f>
        <v>0.75129866779647</v>
      </c>
      <c r="F41" s="116">
        <f>rdaPt!O43</f>
        <v>4.0122522559025295</v>
      </c>
      <c r="G41" s="116">
        <f>rdaPt!O3</f>
        <v>1008.5335386883659</v>
      </c>
      <c r="H41" s="116">
        <f>rdaPt!R63</f>
        <v>3.4070735159598815</v>
      </c>
      <c r="I41" s="141">
        <f>rdaPt!P3/rdaPtQM!P3-1</f>
        <v>0.49186603234063075</v>
      </c>
      <c r="J41" s="141">
        <f>rdaPt!O43/rdaPtQM!O43-1</f>
        <v>0.17329246686751532</v>
      </c>
      <c r="K41" s="141">
        <f>rdaPt!O3/rdaPtQM!O3-1</f>
        <v>0.5062884536169225</v>
      </c>
      <c r="O41" s="225">
        <f>H41/42.2*100</f>
        <v>8.073633924075548</v>
      </c>
      <c r="P41" s="225">
        <f>G41/2180/7.58*100</f>
        <v>6.103298992328713</v>
      </c>
    </row>
    <row r="42" spans="4:16" ht="12.75">
      <c r="D42" s="99">
        <f>rdaPt!Q4</f>
        <v>0.015498380695135799</v>
      </c>
      <c r="E42" s="42">
        <f>rdaPt!P4</f>
        <v>0.09262376156002038</v>
      </c>
      <c r="F42" s="42">
        <f>rdaPt!O44</f>
        <v>0.467938695486761</v>
      </c>
      <c r="G42" s="42">
        <f>rdaPt!O4</f>
        <v>95.4849560184215</v>
      </c>
      <c r="H42" s="42">
        <f>rdaPt!R64</f>
        <v>0.26903847454962354</v>
      </c>
      <c r="O42" s="227">
        <f>H42/H41*O41</f>
        <v>0.637531930212378</v>
      </c>
      <c r="P42" s="226">
        <f>G42/G41*P41</f>
        <v>0.5778421971050174</v>
      </c>
    </row>
    <row r="43" spans="1:16" ht="12.75">
      <c r="A43" s="95" t="s">
        <v>189</v>
      </c>
      <c r="B43" s="95" t="s">
        <v>35</v>
      </c>
      <c r="D43" s="96">
        <f>rdaPt!U5</f>
        <v>0.017313669891848276</v>
      </c>
      <c r="E43" s="42">
        <f>rdaPt!T5</f>
        <v>0.1034725668014317</v>
      </c>
      <c r="F43" s="42">
        <f>rdaPt!N45</f>
        <v>0.5277592679852556</v>
      </c>
      <c r="G43" s="42">
        <f>rdaPt!N5</f>
        <v>129.18578184715048</v>
      </c>
      <c r="H43" s="42">
        <f>rdaPt!R65</f>
        <v>0.3080053947790133</v>
      </c>
      <c r="O43" s="227">
        <f>H43/H41*O41</f>
        <v>0.7298706037417376</v>
      </c>
      <c r="P43" s="226">
        <f>G43/G41*P41</f>
        <v>0.7817880337388982</v>
      </c>
    </row>
    <row r="44" spans="1:16" ht="12.75">
      <c r="A44" s="95" t="s">
        <v>190</v>
      </c>
      <c r="B44" s="95" t="s">
        <v>35</v>
      </c>
      <c r="D44" s="96">
        <f>rdaPt!U6</f>
        <v>0.017418776413733992</v>
      </c>
      <c r="E44" s="42">
        <f>rdaPt!T6</f>
        <v>0.10410072025907655</v>
      </c>
      <c r="F44" s="42">
        <f>rdaPt!N46</f>
        <v>0.5281404161285688</v>
      </c>
      <c r="G44" s="42">
        <f>rdaPt!N6</f>
        <v>130.1896848660305</v>
      </c>
      <c r="H44" s="42">
        <f>rdaPt!R66</f>
        <v>0.3081425045779213</v>
      </c>
      <c r="O44" s="227">
        <f>H44/H41*O41</f>
        <v>0.7301955084784865</v>
      </c>
      <c r="P44" s="226">
        <f>G44/G41*P41</f>
        <v>0.7878633104138758</v>
      </c>
    </row>
    <row r="45" spans="1:16" ht="12.75">
      <c r="A45" s="95"/>
      <c r="B45" s="95" t="s">
        <v>36</v>
      </c>
      <c r="D45" s="96">
        <f>rdaPt!Q5</f>
        <v>0.019340102818515295</v>
      </c>
      <c r="E45" s="42">
        <f>rdaPt!P5</f>
        <v>0.11558324106534941</v>
      </c>
      <c r="F45" s="42">
        <f>rdaPt!O45</f>
        <v>0.6457353104510309</v>
      </c>
      <c r="G45" s="42">
        <f>rdaPt!O5</f>
        <v>159.48783452015815</v>
      </c>
      <c r="H45" s="42">
        <f>rdaPt!S65</f>
        <v>0.3958859339831892</v>
      </c>
      <c r="O45" s="227">
        <f>H45/H41*O41</f>
        <v>0.938118326974382</v>
      </c>
      <c r="P45" s="226">
        <f>G45/G41*P41</f>
        <v>0.9651656612049948</v>
      </c>
    </row>
    <row r="46" spans="1:16" ht="12.75">
      <c r="A46" s="95"/>
      <c r="B46" s="95" t="s">
        <v>36</v>
      </c>
      <c r="D46" s="96">
        <f>rdaPt!Q6</f>
        <v>0.020502673283628318</v>
      </c>
      <c r="E46" s="42">
        <f>rdaPt!P6</f>
        <v>0.12253117012165055</v>
      </c>
      <c r="F46" s="42">
        <f>rdaPt!O46</f>
        <v>0.6998702037591624</v>
      </c>
      <c r="G46" s="42">
        <f>rdaPt!O6</f>
        <v>173.99392724446696</v>
      </c>
      <c r="H46" s="42">
        <f>rdaPt!S66</f>
        <v>0.42893600723616476</v>
      </c>
      <c r="O46" s="227">
        <f>H46/H45*O45</f>
        <v>1.0164360361046558</v>
      </c>
      <c r="P46" s="226">
        <f>G46/G41*P41</f>
        <v>1.0529515579655961</v>
      </c>
    </row>
    <row r="47" spans="2:16" s="115" customFormat="1" ht="12.75">
      <c r="B47" s="115" t="s">
        <v>158</v>
      </c>
      <c r="C47" s="118" t="str">
        <f>rdaPt!$C$8</f>
        <v>1.5</v>
      </c>
      <c r="D47" s="112">
        <f>rdaPt!Q7</f>
        <v>1.028190036225145</v>
      </c>
      <c r="E47" s="116">
        <f>rdaPt!P7</f>
        <v>1.1834969213126536</v>
      </c>
      <c r="F47" s="116">
        <f>rdaPt!O47</f>
        <v>1.1367427083432424</v>
      </c>
      <c r="G47" s="116">
        <f>rdaPt!O7</f>
        <v>506.871202305943</v>
      </c>
      <c r="H47" s="116">
        <f>rdaPt!R67</f>
        <v>1.0870118118510443</v>
      </c>
      <c r="I47" s="141">
        <f>rdaPt!P7/rdaPtQM!P7-1</f>
        <v>0.3534117779832182</v>
      </c>
      <c r="J47" s="141">
        <f>rdaPt!O47/rdaPtQM!O47-1</f>
        <v>0.03012964859841638</v>
      </c>
      <c r="K47" s="141">
        <f>rdaPt!O7/rdaPtQM!O7-1</f>
        <v>0.2699397416678062</v>
      </c>
      <c r="O47" s="225">
        <f>H47/42.2*100</f>
        <v>2.5758573740546074</v>
      </c>
      <c r="P47" s="225">
        <f>G47/2180/7.58*100</f>
        <v>3.0674106309817173</v>
      </c>
    </row>
    <row r="48" spans="4:16" ht="12.75">
      <c r="D48" s="99">
        <f>rdaPt!Q8</f>
        <v>0.021124330148274827</v>
      </c>
      <c r="E48" s="42">
        <f>rdaPt!P8</f>
        <v>0.12624640968995202</v>
      </c>
      <c r="F48" s="42">
        <f>rdaPt!O48</f>
        <v>0.16894651523685814</v>
      </c>
      <c r="G48" s="42">
        <f>rdaPt!O8</f>
        <v>30.586790008659122</v>
      </c>
      <c r="H48" s="42">
        <f>rdaPt!R68</f>
        <v>0.09561724004082924</v>
      </c>
      <c r="O48" s="227">
        <f>H48/H47*O47</f>
        <v>0.22658113753751002</v>
      </c>
      <c r="P48" s="226">
        <f>G48/G47*P47</f>
        <v>0.18510076014051413</v>
      </c>
    </row>
    <row r="49" spans="1:16" ht="12.75">
      <c r="A49" s="95" t="s">
        <v>189</v>
      </c>
      <c r="B49" s="95" t="s">
        <v>35</v>
      </c>
      <c r="D49" s="96">
        <f>rdaPt!U9</f>
        <v>0.024372977187405165</v>
      </c>
      <c r="E49" s="42">
        <f>rdaPt!T9</f>
        <v>0.14566146437624666</v>
      </c>
      <c r="F49" s="42">
        <f>rdaPt!N49</f>
        <v>0.18254863942268262</v>
      </c>
      <c r="G49" s="42">
        <f>rdaPt!N9</f>
        <v>53.367147288440805</v>
      </c>
      <c r="H49" s="42">
        <f>rdaPt!R69</f>
        <v>0.10739136751975917</v>
      </c>
      <c r="O49" s="227">
        <f>H49/H47*O47</f>
        <v>0.2544819135539317</v>
      </c>
      <c r="P49" s="226">
        <f>G49/G47*P47</f>
        <v>0.3229596674520152</v>
      </c>
    </row>
    <row r="50" spans="1:16" ht="12.75">
      <c r="A50" s="95" t="s">
        <v>190</v>
      </c>
      <c r="B50" s="95" t="s">
        <v>35</v>
      </c>
      <c r="D50" s="96">
        <f>rdaPt!U10</f>
        <v>0.024558112463570272</v>
      </c>
      <c r="E50" s="42">
        <f>rdaPt!T10</f>
        <v>0.14676789775229912</v>
      </c>
      <c r="F50" s="42">
        <f>rdaPt!N50</f>
        <v>0.18263710015957021</v>
      </c>
      <c r="G50" s="42">
        <f>rdaPt!N10</f>
        <v>53.979843683844294</v>
      </c>
      <c r="H50" s="42">
        <f>rdaPt!R70</f>
        <v>0.10742964216919894</v>
      </c>
      <c r="O50" s="227">
        <f>H50/H47*O47</f>
        <v>0.2545726117753529</v>
      </c>
      <c r="P50" s="226">
        <f>G50/G47*P47</f>
        <v>0.326667495847621</v>
      </c>
    </row>
    <row r="51" spans="1:16" ht="12.75">
      <c r="A51" s="95"/>
      <c r="B51" s="95" t="s">
        <v>36</v>
      </c>
      <c r="D51" s="96">
        <f>rdaPt!Q9</f>
        <v>0.02789904486108502</v>
      </c>
      <c r="E51" s="42">
        <f>rdaPt!P9</f>
        <v>0.1667344821240893</v>
      </c>
      <c r="F51" s="42">
        <f>rdaPt!O49</f>
        <v>0.21080035110461212</v>
      </c>
      <c r="G51" s="42">
        <f>rdaPt!O9</f>
        <v>71.11645931118166</v>
      </c>
      <c r="H51" s="42">
        <f>rdaPt!S69</f>
        <v>0.13408123539782119</v>
      </c>
      <c r="O51" s="227">
        <f>H51/H47*O47</f>
        <v>0.3177280459664009</v>
      </c>
      <c r="P51" s="226">
        <f>G51/G47*P47</f>
        <v>0.43037241479982113</v>
      </c>
    </row>
    <row r="52" spans="1:16" ht="12.75">
      <c r="A52" s="95"/>
      <c r="B52" s="95" t="s">
        <v>36</v>
      </c>
      <c r="D52" s="96">
        <f>rdaPt!Q10</f>
        <v>0.029888099309917038</v>
      </c>
      <c r="E52" s="42">
        <f>rdaPt!P10</f>
        <v>0.17862176948800965</v>
      </c>
      <c r="F52" s="42">
        <f>rdaPt!O50</f>
        <v>0.2242407647102193</v>
      </c>
      <c r="G52" s="42">
        <f>rdaPt!O10</f>
        <v>79.24301085999264</v>
      </c>
      <c r="H52" s="42">
        <f>rdaPt!S70</f>
        <v>0.14400653656060308</v>
      </c>
      <c r="O52" s="227">
        <f>H52/H51*O51</f>
        <v>0.3412477169682538</v>
      </c>
      <c r="P52" s="226">
        <f>G52/G47*P47</f>
        <v>0.47955151690828485</v>
      </c>
    </row>
    <row r="53" spans="2:16" s="115" customFormat="1" ht="12.75">
      <c r="B53" s="115" t="s">
        <v>159</v>
      </c>
      <c r="C53" s="118" t="str">
        <f>rdaPt!$C$12</f>
        <v>2.5</v>
      </c>
      <c r="D53" s="112">
        <f>rdaPt!Q11</f>
        <v>1.1721582265287969</v>
      </c>
      <c r="E53" s="116">
        <f>rdaPt!P11</f>
        <v>2.7979247275802592</v>
      </c>
      <c r="F53" s="116">
        <f>rdaPt!O51</f>
        <v>0.1609995217464329</v>
      </c>
      <c r="G53" s="116">
        <f>rdaPt!O11</f>
        <v>202.63910144634903</v>
      </c>
      <c r="H53" s="116">
        <f>rdaPt!R71</f>
        <v>0.18381925544650193</v>
      </c>
      <c r="I53" s="141">
        <f>rdaPt!P11/rdaPtQM!P11-1</f>
        <v>0.26059936625696745</v>
      </c>
      <c r="J53" s="141">
        <f>rdaPt!O51/rdaPtQM!O51-1</f>
        <v>-0.36479995764740303</v>
      </c>
      <c r="K53" s="141">
        <f>rdaPt!O11/rdaPtQM!O11-1</f>
        <v>-0.15972292420812106</v>
      </c>
      <c r="O53" s="225">
        <f>H53/42.2*100</f>
        <v>0.43559065271682923</v>
      </c>
      <c r="P53" s="225">
        <f>G53/2180/7.58*100</f>
        <v>1.2263023253270862</v>
      </c>
    </row>
    <row r="54" spans="4:16" ht="12.75">
      <c r="D54" s="99">
        <f>rdaPt!Q12</f>
        <v>0.10683702550532816</v>
      </c>
      <c r="E54" s="42">
        <f>rdaPt!P12</f>
        <v>0.6384955545254545</v>
      </c>
      <c r="F54" s="42">
        <f>rdaPt!O52</f>
        <v>0.062181262706381996</v>
      </c>
      <c r="G54" s="42">
        <f>rdaPt!O12</f>
        <v>20.38584232047979</v>
      </c>
      <c r="H54" s="42">
        <f>rdaPt!R72</f>
        <v>0.03765200969474555</v>
      </c>
      <c r="O54" s="227">
        <f>H54/H53*O53</f>
        <v>0.08922277178849657</v>
      </c>
      <c r="P54" s="226">
        <f>G54/G53*P53</f>
        <v>0.12336812423131725</v>
      </c>
    </row>
    <row r="55" spans="1:16" ht="12.75">
      <c r="A55" s="95" t="s">
        <v>189</v>
      </c>
      <c r="B55" s="95" t="s">
        <v>35</v>
      </c>
      <c r="D55" s="96">
        <f>rdaPt!U13</f>
        <v>0.11063560658048371</v>
      </c>
      <c r="E55" s="42">
        <f>rdaPt!T13</f>
        <v>0.6611972079880023</v>
      </c>
      <c r="F55" s="42">
        <f>rdaPt!N53</f>
        <v>0.0629477288070796</v>
      </c>
      <c r="G55" s="42">
        <f>rdaPt!N13</f>
        <v>26.856146446828213</v>
      </c>
      <c r="H55" s="42">
        <f>rdaPt!R73</f>
        <v>0.03857062187629842</v>
      </c>
      <c r="O55" s="227">
        <f>H55/H53*O53</f>
        <v>0.09139957790592043</v>
      </c>
      <c r="P55" s="226">
        <f>G55/G53*P53</f>
        <v>0.16252418512519795</v>
      </c>
    </row>
    <row r="56" spans="1:16" ht="12.75">
      <c r="A56" s="95" t="s">
        <v>190</v>
      </c>
      <c r="B56" s="95" t="s">
        <v>35</v>
      </c>
      <c r="D56" s="96">
        <f>rdaPt!U14</f>
        <v>0.11086418673825602</v>
      </c>
      <c r="E56" s="42">
        <f>rdaPt!T14</f>
        <v>0.6625632832217523</v>
      </c>
      <c r="F56" s="42">
        <f>rdaPt!N54</f>
        <v>0.06295287589236653</v>
      </c>
      <c r="G56" s="42">
        <f>rdaPt!N14</f>
        <v>27.05114838532441</v>
      </c>
      <c r="H56" s="42">
        <f>rdaPt!R74</f>
        <v>0.038573572581116</v>
      </c>
      <c r="O56" s="227">
        <f>H56/H53*O53</f>
        <v>0.09140657009743128</v>
      </c>
      <c r="P56" s="226">
        <f>G56/G53*P53</f>
        <v>0.16370426996032783</v>
      </c>
    </row>
    <row r="57" spans="1:16" ht="12.75">
      <c r="A57" s="95"/>
      <c r="B57" s="95" t="s">
        <v>36</v>
      </c>
      <c r="D57" s="96">
        <f>rdaPt!Q13</f>
        <v>0.11519713952674503</v>
      </c>
      <c r="E57" s="42">
        <f>rdaPt!P13</f>
        <v>0.6884585295591836</v>
      </c>
      <c r="F57" s="42">
        <f>rdaPt!O53</f>
        <v>0.06469417158903751</v>
      </c>
      <c r="G57" s="42">
        <f>rdaPt!O13</f>
        <v>32.77790427581275</v>
      </c>
      <c r="H57" s="42">
        <f>rdaPt!S73</f>
        <v>0.04101566707316135</v>
      </c>
      <c r="O57" s="227">
        <f>H57/H53*O53</f>
        <v>0.09719352387005059</v>
      </c>
      <c r="P57" s="226">
        <f>G57/G53*P53</f>
        <v>0.19836063200971138</v>
      </c>
    </row>
    <row r="58" spans="1:16" ht="12.75">
      <c r="A58" s="95"/>
      <c r="B58" s="95" t="s">
        <v>36</v>
      </c>
      <c r="D58" s="96">
        <f>rdaPt!Q14</f>
        <v>0.11795251579939323</v>
      </c>
      <c r="E58" s="42">
        <f>rdaPt!P14</f>
        <v>0.7049256250516827</v>
      </c>
      <c r="F58" s="42">
        <f>rdaPt!O54</f>
        <v>0.065594417946602</v>
      </c>
      <c r="G58" s="42">
        <f>rdaPt!O14</f>
        <v>35.63263616634512</v>
      </c>
      <c r="H58" s="42">
        <f>rdaPt!S74</f>
        <v>0.041992711354720616</v>
      </c>
      <c r="O58" s="227">
        <f>H58/H57*O57</f>
        <v>0.09950879467943273</v>
      </c>
      <c r="P58" s="226">
        <f>G58/G53*P53</f>
        <v>0.21563649007737118</v>
      </c>
    </row>
    <row r="59" spans="2:16" s="115" customFormat="1" ht="12.75">
      <c r="B59" s="115" t="s">
        <v>160</v>
      </c>
      <c r="C59" s="118" t="str">
        <f>rdaPt!$C$16</f>
        <v>3.5</v>
      </c>
      <c r="D59" s="112">
        <f>rdaPt!Q15</f>
        <v>1.1005080301108736</v>
      </c>
      <c r="E59" s="116">
        <f>rdaPt!P15</f>
        <v>1.823342321256682</v>
      </c>
      <c r="F59" s="116">
        <f>rdaPt!O55</f>
        <v>0.0769972206600712</v>
      </c>
      <c r="G59" s="116">
        <f>rdaPt!O15</f>
        <v>35.606935628635334</v>
      </c>
      <c r="H59" s="116">
        <f>rdaPt!R75</f>
        <v>0.04956443560489269</v>
      </c>
      <c r="I59" s="141">
        <f>rdaPt!P15/rdaPtQM!P15-1</f>
        <v>0.4824786745799785</v>
      </c>
      <c r="J59" s="141">
        <f>rdaPt!O55/rdaPtQM!O55-1</f>
        <v>0.0844352439982683</v>
      </c>
      <c r="K59" s="141">
        <f>rdaPt!O15/rdaPtQM!O15-1</f>
        <v>0.07745546320254704</v>
      </c>
      <c r="O59" s="225">
        <f>H59/42.2*100</f>
        <v>0.11745126920590684</v>
      </c>
      <c r="P59" s="225">
        <f>G59/2180/7.58*100</f>
        <v>0.21548095923988364</v>
      </c>
    </row>
    <row r="60" spans="4:16" ht="12.75">
      <c r="D60" s="99">
        <f>rdaPt!Q16</f>
        <v>0.10543181238186797</v>
      </c>
      <c r="E60" s="42">
        <f>rdaPt!P16</f>
        <v>0.6300975077973058</v>
      </c>
      <c r="F60" s="42">
        <f>rdaPt!O56</f>
        <v>0.03258372027312114</v>
      </c>
      <c r="G60" s="42">
        <f>rdaPt!O16</f>
        <v>7.269764538903593</v>
      </c>
      <c r="H60" s="42">
        <f>rdaPt!R76</f>
        <v>0.013819179467631969</v>
      </c>
      <c r="O60" s="227">
        <f>H60/H59*O59</f>
        <v>0.03274687077637907</v>
      </c>
      <c r="P60" s="226">
        <f>G60/G59*P59</f>
        <v>0.04399412105071042</v>
      </c>
    </row>
    <row r="61" spans="1:16" ht="12.75">
      <c r="A61" s="95" t="s">
        <v>189</v>
      </c>
      <c r="B61" s="95" t="s">
        <v>35</v>
      </c>
      <c r="D61" s="96">
        <f>rdaPt!U17</f>
        <v>0.10708264070381496</v>
      </c>
      <c r="E61" s="42">
        <f>rdaPt!T17</f>
        <v>0.6399634371402685</v>
      </c>
      <c r="F61" s="42">
        <f>rdaPt!N57</f>
        <v>0.03291860481851708</v>
      </c>
      <c r="G61" s="42">
        <f>rdaPt!N17</f>
        <v>7.892235464121129</v>
      </c>
      <c r="H61" s="42">
        <f>rdaPt!R77</f>
        <v>0.01401415280258398</v>
      </c>
      <c r="O61" s="227">
        <f>H61/H59*O59</f>
        <v>0.03320889289711843</v>
      </c>
      <c r="P61" s="226">
        <f>G61/G59*P59</f>
        <v>0.047761101547536544</v>
      </c>
    </row>
    <row r="62" spans="1:16" ht="12.75">
      <c r="A62" s="95" t="s">
        <v>190</v>
      </c>
      <c r="B62" s="95" t="s">
        <v>35</v>
      </c>
      <c r="D62" s="96">
        <f>rdaPt!U18</f>
        <v>0.10718299216657158</v>
      </c>
      <c r="E62" s="42">
        <f>rdaPt!T18</f>
        <v>0.6405631726959634</v>
      </c>
      <c r="F62" s="42">
        <f>rdaPt!N58</f>
        <v>0.03292085596544279</v>
      </c>
      <c r="G62" s="42">
        <f>rdaPt!N18</f>
        <v>7.9127713988548845</v>
      </c>
      <c r="H62" s="42">
        <f>rdaPt!R78</f>
        <v>0.014014734703268866</v>
      </c>
      <c r="O62" s="227">
        <f>H62/H59*O59</f>
        <v>0.03321027180869399</v>
      </c>
      <c r="P62" s="226">
        <f>G62/G59*P59</f>
        <v>0.047885377979562854</v>
      </c>
    </row>
    <row r="63" spans="1:16" ht="12.75">
      <c r="A63" s="95"/>
      <c r="B63" s="95" t="s">
        <v>36</v>
      </c>
      <c r="D63" s="96">
        <f>rdaPt!Q17</f>
        <v>0.10910625952985331</v>
      </c>
      <c r="E63" s="42">
        <f>rdaPt!P17</f>
        <v>0.6520572933513352</v>
      </c>
      <c r="F63" s="42">
        <f>rdaPt!O57</f>
        <v>0.033684124781658296</v>
      </c>
      <c r="G63" s="42">
        <f>rdaPt!O17</f>
        <v>8.555169423158292</v>
      </c>
      <c r="H63" s="42">
        <f>rdaPt!S77</f>
        <v>0.014564918556518515</v>
      </c>
      <c r="O63" s="227">
        <f>H63/H59*O59</f>
        <v>0.03451402501544672</v>
      </c>
      <c r="P63" s="226">
        <f>G63/G59*P59</f>
        <v>0.05177295044393922</v>
      </c>
    </row>
    <row r="64" spans="1:16" ht="12.75">
      <c r="A64" s="95"/>
      <c r="B64" s="95" t="s">
        <v>36</v>
      </c>
      <c r="D64" s="96">
        <f>rdaPt!Q18</f>
        <v>0.11034943721170096</v>
      </c>
      <c r="E64" s="42">
        <f>rdaPt!P18</f>
        <v>0.6594869594206643</v>
      </c>
      <c r="F64" s="42">
        <f>rdaPt!O58</f>
        <v>0.03408000954457395</v>
      </c>
      <c r="G64" s="42">
        <f>rdaPt!O18</f>
        <v>8.900608790426935</v>
      </c>
      <c r="H64" s="42">
        <f>rdaPt!S78</f>
        <v>0.01478933277630093</v>
      </c>
      <c r="O64" s="227">
        <f>H64/H63*O63</f>
        <v>0.035045812266115944</v>
      </c>
      <c r="P64" s="226">
        <f>G64/G59*P59</f>
        <v>0.05386343098948788</v>
      </c>
    </row>
    <row r="65" spans="2:16" s="115" customFormat="1" ht="12.75">
      <c r="B65" s="115" t="s">
        <v>161</v>
      </c>
      <c r="C65" s="118" t="str">
        <f>rdaPt!$C$20</f>
        <v>4.5</v>
      </c>
      <c r="D65" s="112">
        <f>rdaPt!Q19</f>
        <v>1.2137878128707253</v>
      </c>
      <c r="E65" s="116">
        <f>rdaPt!P19</f>
        <v>3.588272862167873</v>
      </c>
      <c r="F65" s="116">
        <f>rdaPt!O59</f>
        <v>0.01176292086211199</v>
      </c>
      <c r="G65" s="116">
        <f>rdaPt!O19</f>
        <v>11.379549816673823</v>
      </c>
      <c r="H65" s="116">
        <f>rdaPt!R79</f>
        <v>0.008049027273873658</v>
      </c>
      <c r="I65" s="141">
        <f>rdaPt!P19/rdaPtQM!P19-1</f>
        <v>1.6071749795517145</v>
      </c>
      <c r="J65" s="141">
        <f>rdaPt!O59/rdaPtQM!O59-1</f>
        <v>-0.08566063413182201</v>
      </c>
      <c r="K65" s="141">
        <f>rdaPt!O19/rdaPtQM!O19-1</f>
        <v>0.4615912106199269</v>
      </c>
      <c r="O65" s="228">
        <f>H65/42.2*100</f>
        <v>0.019073524345672176</v>
      </c>
      <c r="P65" s="225">
        <f>G65/2180/7.58*100</f>
        <v>0.06886513166392622</v>
      </c>
    </row>
    <row r="66" spans="4:16" ht="12.75">
      <c r="D66" s="99">
        <f>rdaPt!Q20</f>
        <v>0.37159142274996154</v>
      </c>
      <c r="E66" s="42">
        <f>rdaPt!P20</f>
        <v>2.2207607372390457</v>
      </c>
      <c r="F66" s="42">
        <f>rdaPt!O60</f>
        <v>0.011510259235002453</v>
      </c>
      <c r="G66" s="42">
        <f>rdaPt!O20</f>
        <v>2.858932502021122</v>
      </c>
      <c r="H66" s="42">
        <f>rdaPt!R80</f>
        <v>0.004552585670805943</v>
      </c>
      <c r="O66" s="229">
        <f>H66/H65*O65</f>
        <v>0.010788117703331618</v>
      </c>
      <c r="P66" s="226">
        <f>G66/G65*P65</f>
        <v>0.017301278727343335</v>
      </c>
    </row>
    <row r="67" spans="1:16" ht="12.75">
      <c r="A67" s="95" t="s">
        <v>189</v>
      </c>
      <c r="B67" s="95" t="s">
        <v>35</v>
      </c>
      <c r="D67" s="96">
        <f>rdaPt!U21</f>
        <v>0.3734151704740381</v>
      </c>
      <c r="E67" s="42">
        <f>rdaPt!T21</f>
        <v>2.2316600936081605</v>
      </c>
      <c r="F67" s="42">
        <f>rdaPt!N61</f>
        <v>0.011532476880255603</v>
      </c>
      <c r="G67" s="42">
        <f>rdaPt!N21</f>
        <v>3.022821452503153</v>
      </c>
      <c r="H67" s="42">
        <f>rdaPt!R81</f>
        <v>0.004569589624542314</v>
      </c>
      <c r="O67" s="227">
        <f>H67/H65*O65</f>
        <v>0.010828411432564725</v>
      </c>
      <c r="P67" s="226">
        <f>G67/G65*P65</f>
        <v>0.0182930784325189</v>
      </c>
    </row>
    <row r="68" spans="1:16" ht="12.75">
      <c r="A68" s="95" t="s">
        <v>190</v>
      </c>
      <c r="B68" s="95" t="s">
        <v>35</v>
      </c>
      <c r="D68" s="96">
        <f>rdaPt!U22</f>
        <v>0.3735266574001799</v>
      </c>
      <c r="E68" s="42">
        <f>rdaPt!T22</f>
        <v>2.232326378600583</v>
      </c>
      <c r="F68" s="42">
        <f>rdaPt!N62</f>
        <v>0.011532626853900642</v>
      </c>
      <c r="G68" s="42">
        <f>rdaPt!N22</f>
        <v>3.0282998591858425</v>
      </c>
      <c r="H68" s="42">
        <f>rdaPt!R82</f>
        <v>0.004569636866198379</v>
      </c>
      <c r="O68" s="227">
        <f>H68/H65*O65</f>
        <v>0.010828523379617011</v>
      </c>
      <c r="P68" s="226">
        <f>G68/G65*P65</f>
        <v>0.018326231870360452</v>
      </c>
    </row>
    <row r="69" spans="1:16" ht="12.75">
      <c r="A69" s="95"/>
      <c r="B69" s="95" t="s">
        <v>36</v>
      </c>
      <c r="D69" s="96">
        <f>rdaPt!Q21</f>
        <v>0.37567700764703105</v>
      </c>
      <c r="E69" s="42">
        <f>rdaPt!P21</f>
        <v>2.245177626253661</v>
      </c>
      <c r="F69" s="42">
        <f>rdaPt!O61</f>
        <v>0.0115839532645648</v>
      </c>
      <c r="G69" s="42">
        <f>rdaPt!O21</f>
        <v>3.2017337894291993</v>
      </c>
      <c r="H69" s="42">
        <f>rdaPt!S81</f>
        <v>0.004619217419015795</v>
      </c>
      <c r="O69" s="227">
        <f>H69/H65*O65</f>
        <v>0.010946012841269658</v>
      </c>
      <c r="P69" s="226">
        <f>G69/G65*P65</f>
        <v>0.019375794518585846</v>
      </c>
    </row>
    <row r="70" spans="1:16" ht="12.75">
      <c r="A70" s="95"/>
      <c r="B70" s="95" t="s">
        <v>36</v>
      </c>
      <c r="D70" s="96">
        <f>rdaPt!Q22</f>
        <v>0.37708065940046714</v>
      </c>
      <c r="E70" s="42">
        <f>rdaPt!P22</f>
        <v>2.2535663416866463</v>
      </c>
      <c r="F70" s="42">
        <f>rdaPt!O62</f>
        <v>0.01161094659257974</v>
      </c>
      <c r="G70" s="42">
        <f>rdaPt!O22</f>
        <v>3.29650928330865</v>
      </c>
      <c r="H70" s="42">
        <f>rdaPt!S82</f>
        <v>0.00463957901042579</v>
      </c>
      <c r="O70" s="227">
        <f>H70/H69*O69</f>
        <v>0.010994263057881022</v>
      </c>
      <c r="P70" s="226">
        <f>G70/G65*P65</f>
        <v>0.01994934329421129</v>
      </c>
    </row>
    <row r="71" spans="1:16" s="115" customFormat="1" ht="15.75">
      <c r="A71" s="127" t="s">
        <v>145</v>
      </c>
      <c r="B71" s="115" t="s">
        <v>157</v>
      </c>
      <c r="C71" s="118" t="str">
        <f>rdaPt!$C$24</f>
        <v>.5</v>
      </c>
      <c r="D71" s="112">
        <f>rdaPt!Q23</f>
        <v>0.9212077621270912</v>
      </c>
      <c r="E71" s="116">
        <f>rdaPt!P23</f>
        <v>0.6244462247213847</v>
      </c>
      <c r="F71" s="116">
        <f>rdaPt!O63</f>
        <v>3.1082442373662875</v>
      </c>
      <c r="G71" s="116">
        <f>rdaPt!O23</f>
        <v>838.2484725894087</v>
      </c>
      <c r="H71" s="116"/>
      <c r="I71" s="141">
        <f>rdaPt!P23/rdaPtQM!P23-1</f>
        <v>0.23098827148521628</v>
      </c>
      <c r="J71" s="141">
        <f>rdaPt!O63/rdaPtQM!O63-1</f>
        <v>-0.07319245197863944</v>
      </c>
      <c r="K71" s="141">
        <f>rdaPt!O23/rdaPtQM!O23-1</f>
        <v>0.24288869086113007</v>
      </c>
      <c r="P71" s="225">
        <f>G71/2180/7.58*100</f>
        <v>5.072792189667454</v>
      </c>
    </row>
    <row r="72" spans="4:16" ht="12.75">
      <c r="D72" s="99">
        <f>rdaPt!Q24</f>
        <v>0.010626098349333804</v>
      </c>
      <c r="E72" s="42">
        <f>rdaPt!P24</f>
        <v>0.06350529253233035</v>
      </c>
      <c r="F72" s="42">
        <f>rdaPt!O64</f>
        <v>0.32882036101329354</v>
      </c>
      <c r="G72" s="42">
        <f>rdaPt!O24</f>
        <v>53.72106604611707</v>
      </c>
      <c r="P72" s="226">
        <f>G72/G71*P71</f>
        <v>0.32510146235940235</v>
      </c>
    </row>
    <row r="73" spans="1:16" ht="12.75">
      <c r="A73" s="95" t="s">
        <v>189</v>
      </c>
      <c r="B73" s="95" t="s">
        <v>35</v>
      </c>
      <c r="D73" s="96">
        <f>rdaPt!U25</f>
        <v>0.011296589909800436</v>
      </c>
      <c r="E73" s="42">
        <f>rdaPt!T25</f>
        <v>0.06509713550218986</v>
      </c>
      <c r="F73" s="42">
        <f>rdaPt!N65</f>
        <v>0.37930094134032866</v>
      </c>
      <c r="G73" s="42">
        <f>rdaPt!N25</f>
        <v>76.5159692954996</v>
      </c>
      <c r="P73" s="226">
        <f>G73/G71*P71</f>
        <v>0.4630483968888408</v>
      </c>
    </row>
    <row r="74" spans="1:16" ht="12.75">
      <c r="A74" s="95" t="s">
        <v>190</v>
      </c>
      <c r="B74" s="95" t="s">
        <v>35</v>
      </c>
      <c r="D74" s="96">
        <f>rdaPt!U26</f>
        <v>0.01130773744216571</v>
      </c>
      <c r="E74" s="42">
        <f>rdaPt!T26</f>
        <v>0.06512408500991462</v>
      </c>
      <c r="F74" s="42">
        <f>rdaPt!N66</f>
        <v>0.37941554362178087</v>
      </c>
      <c r="G74" s="42">
        <f>rdaPt!N26</f>
        <v>76.53433346699396</v>
      </c>
      <c r="P74" s="226">
        <f>G74/G71*P71</f>
        <v>0.4631595305547794</v>
      </c>
    </row>
    <row r="75" spans="1:16" ht="12.75">
      <c r="A75" s="95"/>
      <c r="B75" s="95" t="s">
        <v>36</v>
      </c>
      <c r="D75" s="96">
        <f>rdaPt!Q25</f>
        <v>0.014044594193553266</v>
      </c>
      <c r="E75" s="42">
        <f>rdaPt!P25</f>
        <v>0.08393542327936254</v>
      </c>
      <c r="F75" s="42">
        <f>rdaPt!O65</f>
        <v>0.5011071012826496</v>
      </c>
      <c r="G75" s="42">
        <f>rdaPt!O25</f>
        <v>116.85129493160495</v>
      </c>
      <c r="P75" s="226">
        <f>G75/G71*P71</f>
        <v>0.7071439503498158</v>
      </c>
    </row>
    <row r="76" spans="1:16" ht="12.75">
      <c r="A76" s="95"/>
      <c r="B76" s="95" t="s">
        <v>36</v>
      </c>
      <c r="D76" s="96">
        <f>rdaPt!Q26</f>
        <v>0.015060736144505002</v>
      </c>
      <c r="E76" s="42">
        <f>rdaPt!P26</f>
        <v>0.09000824415190872</v>
      </c>
      <c r="F76" s="42">
        <f>rdaPt!O66</f>
        <v>0.5428357004399167</v>
      </c>
      <c r="G76" s="42">
        <f>rdaPt!O26</f>
        <v>129.68811829652427</v>
      </c>
      <c r="P76" s="226">
        <f>G76/G71*P71</f>
        <v>0.7848280016008102</v>
      </c>
    </row>
    <row r="77" spans="2:16" s="115" customFormat="1" ht="12.75">
      <c r="B77" s="115" t="s">
        <v>158</v>
      </c>
      <c r="C77" s="118" t="str">
        <f>rdaPt!$C$28</f>
        <v>1.5</v>
      </c>
      <c r="D77" s="112">
        <f>rdaPt!Q27</f>
        <v>0.9490552859828528</v>
      </c>
      <c r="E77" s="116">
        <f>rdaPt!P27</f>
        <v>0.7375189560791594</v>
      </c>
      <c r="F77" s="116">
        <f>rdaPt!O67</f>
        <v>1.0635754088640756</v>
      </c>
      <c r="G77" s="116">
        <f>rdaPt!O27</f>
        <v>315.86657578850657</v>
      </c>
      <c r="H77" s="116"/>
      <c r="I77" s="141">
        <f>rdaPt!P27/rdaPtQM!P27-1</f>
        <v>0.23471519099153948</v>
      </c>
      <c r="J77" s="141">
        <f>rdaPt!O67/rdaPtQM!O67-1</f>
        <v>-0.09702860233364363</v>
      </c>
      <c r="K77" s="141">
        <f>rdaPt!O27/rdaPtQM!O27-1</f>
        <v>0.15856379868193704</v>
      </c>
      <c r="P77" s="225">
        <f>G77/2180/7.58*100</f>
        <v>1.9115161566441539</v>
      </c>
    </row>
    <row r="78" spans="4:16" ht="12.75">
      <c r="D78" s="99">
        <f>rdaPt!Q28</f>
        <v>0.013370529916881419</v>
      </c>
      <c r="E78" s="42">
        <f>rdaPt!P28</f>
        <v>0.0799069786265495</v>
      </c>
      <c r="F78" s="42">
        <f>rdaPt!O68</f>
        <v>0.1159795909383487</v>
      </c>
      <c r="G78" s="42">
        <f>rdaPt!O28</f>
        <v>19.980214738690147</v>
      </c>
      <c r="P78" s="226">
        <f>G78/G77*P77</f>
        <v>0.12091340525943542</v>
      </c>
    </row>
    <row r="79" spans="1:16" ht="12.75">
      <c r="A79" s="95" t="s">
        <v>189</v>
      </c>
      <c r="B79" s="95" t="s">
        <v>35</v>
      </c>
      <c r="D79" s="96">
        <f>rdaPt!U29</f>
        <v>0.013666248459598147</v>
      </c>
      <c r="E79" s="42">
        <f>rdaPt!T29</f>
        <v>0.08167429640821088</v>
      </c>
      <c r="F79" s="42">
        <f>rdaPt!N69</f>
        <v>0.13280315628962333</v>
      </c>
      <c r="G79" s="42">
        <f>rdaPt!N29</f>
        <v>28.648636736992856</v>
      </c>
      <c r="P79" s="226">
        <f>G79/G77*P77</f>
        <v>0.173371721436136</v>
      </c>
    </row>
    <row r="80" spans="1:16" ht="12.75">
      <c r="A80" s="95" t="s">
        <v>190</v>
      </c>
      <c r="B80" s="95" t="s">
        <v>35</v>
      </c>
      <c r="D80" s="96">
        <f>rdaPt!U30</f>
        <v>0.013671262152624233</v>
      </c>
      <c r="E80" s="42">
        <f>rdaPt!T30</f>
        <v>0.08170425999708626</v>
      </c>
      <c r="F80" s="42">
        <f>rdaPt!N70</f>
        <v>0.13284148092497006</v>
      </c>
      <c r="G80" s="42">
        <f>rdaPt!N30</f>
        <v>28.6556010870995</v>
      </c>
      <c r="P80" s="226">
        <f>G80/G77*P77</f>
        <v>0.17341386729381703</v>
      </c>
    </row>
    <row r="81" spans="1:16" ht="12.75">
      <c r="A81" s="95"/>
      <c r="B81" s="95" t="s">
        <v>36</v>
      </c>
      <c r="D81" s="96">
        <f>rdaPt!Q29</f>
        <v>0.017216731861917085</v>
      </c>
      <c r="E81" s="42">
        <f>rdaPt!P29</f>
        <v>0.10289323111810687</v>
      </c>
      <c r="F81" s="42">
        <f>rdaPt!O69</f>
        <v>0.1737610909820274</v>
      </c>
      <c r="G81" s="42">
        <f>rdaPt!O29</f>
        <v>43.911390173417786</v>
      </c>
      <c r="P81" s="226">
        <f>G81/G77*P77</f>
        <v>0.265736669249218</v>
      </c>
    </row>
    <row r="82" spans="1:16" ht="12.75">
      <c r="A82" s="95"/>
      <c r="B82" s="95" t="s">
        <v>36</v>
      </c>
      <c r="D82" s="96">
        <f>rdaPt!Q30</f>
        <v>0.01837583967560636</v>
      </c>
      <c r="E82" s="42">
        <f>rdaPt!P30</f>
        <v>0.10982046615442312</v>
      </c>
      <c r="F82" s="42">
        <f>rdaPt!O70</f>
        <v>0.18786554873006708</v>
      </c>
      <c r="G82" s="42">
        <f>rdaPt!O30</f>
        <v>48.760454216388695</v>
      </c>
      <c r="P82" s="226">
        <f>G82/G77*P77</f>
        <v>0.2950815413351692</v>
      </c>
    </row>
    <row r="83" spans="2:16" s="115" customFormat="1" ht="12.75">
      <c r="B83" s="115" t="s">
        <v>159</v>
      </c>
      <c r="C83" s="118" t="str">
        <f>rdaPt!$C$32</f>
        <v>2.5</v>
      </c>
      <c r="D83" s="112">
        <f>rdaPt!Q31</f>
        <v>1.0686969338229828</v>
      </c>
      <c r="E83" s="116">
        <f>rdaPt!P31</f>
        <v>1.5076572906545709</v>
      </c>
      <c r="F83" s="116">
        <f>rdaPt!O71</f>
        <v>0.19702999911461264</v>
      </c>
      <c r="G83" s="116">
        <f>rdaPt!O31</f>
        <v>109.19175761082575</v>
      </c>
      <c r="H83" s="116"/>
      <c r="I83" s="141">
        <f>rdaPt!P31/rdaPtQM!P31-1</f>
        <v>0.5779371242562774</v>
      </c>
      <c r="J83" s="141">
        <f>rdaPt!O71/rdaPtQM!O71-1</f>
        <v>-0.30409541685104735</v>
      </c>
      <c r="K83" s="141">
        <f>rdaPt!O31/rdaPtQM!O31-1</f>
        <v>0.05180474308062788</v>
      </c>
      <c r="P83" s="225">
        <f>G83/2180/7.58*100</f>
        <v>0.6607910581372137</v>
      </c>
    </row>
    <row r="84" spans="4:16" ht="12.75">
      <c r="D84" s="99">
        <f>rdaPt!Q32</f>
        <v>0.05769879711114791</v>
      </c>
      <c r="E84" s="42">
        <f>rdaPt!P32</f>
        <v>0.34482825858060584</v>
      </c>
      <c r="F84" s="42">
        <f>rdaPt!O72</f>
        <v>0.047311627069197316</v>
      </c>
      <c r="G84" s="42">
        <f>rdaPt!O32</f>
        <v>11.111767303952316</v>
      </c>
      <c r="P84" s="226">
        <f>G84/G83*P83</f>
        <v>0.0672446037614214</v>
      </c>
    </row>
    <row r="85" spans="1:16" ht="12.75">
      <c r="A85" s="95" t="s">
        <v>189</v>
      </c>
      <c r="B85" s="95" t="s">
        <v>35</v>
      </c>
      <c r="D85" s="96">
        <f>rdaPt!U33</f>
        <v>0.057987605677843355</v>
      </c>
      <c r="E85" s="42">
        <f>rdaPt!T33</f>
        <v>0.3465542799207892</v>
      </c>
      <c r="F85" s="42">
        <f>rdaPt!N73</f>
        <v>0.048806014915929063</v>
      </c>
      <c r="G85" s="42">
        <f>rdaPt!N33</f>
        <v>13.185043470615893</v>
      </c>
      <c r="P85" s="226">
        <f>G85/G83*P83</f>
        <v>0.07979135987155898</v>
      </c>
    </row>
    <row r="86" spans="1:16" ht="12.75">
      <c r="A86" s="95" t="s">
        <v>190</v>
      </c>
      <c r="B86" s="95" t="s">
        <v>35</v>
      </c>
      <c r="D86" s="96">
        <f>rdaPt!U34</f>
        <v>0.05799254414226076</v>
      </c>
      <c r="E86" s="42">
        <f>rdaPt!T34</f>
        <v>0.34658379391710065</v>
      </c>
      <c r="F86" s="42">
        <f>rdaPt!N74</f>
        <v>0.04880959413228971</v>
      </c>
      <c r="G86" s="42">
        <f>rdaPt!N34</f>
        <v>13.186851886699547</v>
      </c>
      <c r="P86" s="226">
        <f>G86/G83*P83</f>
        <v>0.07980230378530867</v>
      </c>
    </row>
    <row r="87" spans="1:16" ht="12.75">
      <c r="A87" s="95"/>
      <c r="B87" s="95" t="s">
        <v>36</v>
      </c>
      <c r="D87" s="96">
        <f>rdaPt!Q33</f>
        <v>0.06181240560484466</v>
      </c>
      <c r="E87" s="42">
        <f>rdaPt!P33</f>
        <v>0.3694126264424061</v>
      </c>
      <c r="F87" s="42">
        <f>rdaPt!O73</f>
        <v>0.05303713981816089</v>
      </c>
      <c r="G87" s="42">
        <f>rdaPt!O33</f>
        <v>17.498254042806654</v>
      </c>
      <c r="P87" s="226">
        <f>G87/G83*P83</f>
        <v>0.10589343058027313</v>
      </c>
    </row>
    <row r="88" spans="1:16" ht="12.75">
      <c r="A88" s="95"/>
      <c r="B88" s="95" t="s">
        <v>36</v>
      </c>
      <c r="D88" s="96">
        <f>rdaPt!Q33</f>
        <v>0.06181240560484466</v>
      </c>
      <c r="E88" s="42">
        <f>rdaPt!P34</f>
        <v>0.3776550386477105</v>
      </c>
      <c r="F88" s="42">
        <f>rdaPt!O74</f>
        <v>0.05466243024195024</v>
      </c>
      <c r="G88" s="42">
        <f>rdaPt!O34</f>
        <v>18.970750264339998</v>
      </c>
      <c r="P88" s="226">
        <f>G88/G83*P83</f>
        <v>0.11480447256384496</v>
      </c>
    </row>
    <row r="89" spans="2:16" s="115" customFormat="1" ht="12.75">
      <c r="B89" s="115" t="s">
        <v>160</v>
      </c>
      <c r="C89" s="118" t="str">
        <f>rdaPt!$C$36</f>
        <v>3.5</v>
      </c>
      <c r="D89" s="112">
        <f>rdaPt!Q35</f>
        <v>1.0333632387797127</v>
      </c>
      <c r="E89" s="116">
        <f>rdaPt!P35</f>
        <v>1.2206584453017848</v>
      </c>
      <c r="F89" s="116">
        <f>rdaPt!O75</f>
        <v>0.04354783264717917</v>
      </c>
      <c r="G89" s="116">
        <f>rdaPt!O35</f>
        <v>23.83749128164512</v>
      </c>
      <c r="H89" s="116"/>
      <c r="I89" s="141">
        <f>rdaPt!P35/rdaPtQM!P35-1</f>
        <v>0.1375796171518049</v>
      </c>
      <c r="J89" s="141">
        <f>rdaPt!O75/rdaPtQM!O75-1</f>
        <v>-0.3489204654870064</v>
      </c>
      <c r="K89" s="141">
        <f>rdaPt!O35/rdaPtQM!O35-1</f>
        <v>-0.173214836513354</v>
      </c>
      <c r="P89" s="225">
        <f>G89/2180/7.58*100</f>
        <v>0.14425631963426885</v>
      </c>
    </row>
    <row r="90" spans="4:16" ht="12.75">
      <c r="D90" s="99">
        <f>rdaPt!Q36</f>
        <v>0.06767282991240584</v>
      </c>
      <c r="E90" s="42">
        <f>rdaPt!P36</f>
        <v>0.404436578581771</v>
      </c>
      <c r="F90" s="42">
        <f>rdaPt!O76</f>
        <v>0.01525953834355353</v>
      </c>
      <c r="G90" s="42">
        <f>rdaPt!O36</f>
        <v>4.266906983866291</v>
      </c>
      <c r="P90" s="226">
        <f>G90/G89*P89</f>
        <v>0.02582185727691348</v>
      </c>
    </row>
    <row r="91" spans="1:16" ht="12.75">
      <c r="A91" s="95" t="s">
        <v>189</v>
      </c>
      <c r="B91" s="95" t="s">
        <v>35</v>
      </c>
      <c r="D91" s="96">
        <f>rdaPt!U37</f>
        <v>0.06783445649706066</v>
      </c>
      <c r="E91" s="42">
        <f>rdaPt!T37</f>
        <v>0.40540251576793956</v>
      </c>
      <c r="F91" s="42">
        <f>rdaPt!N77</f>
        <v>0.015487744873059064</v>
      </c>
      <c r="G91" s="42">
        <f>rdaPt!N37</f>
        <v>4.539520901952377</v>
      </c>
      <c r="P91" s="226">
        <f>G91/G89*P89</f>
        <v>0.02747162318724055</v>
      </c>
    </row>
    <row r="92" spans="1:16" ht="12.75">
      <c r="A92" s="95" t="s">
        <v>190</v>
      </c>
      <c r="B92" s="95" t="s">
        <v>35</v>
      </c>
      <c r="D92" s="96">
        <f>rdaPt!U38</f>
        <v>0.06783722388119233</v>
      </c>
      <c r="E92" s="42">
        <f>rdaPt!T38</f>
        <v>0.4054190546266113</v>
      </c>
      <c r="F92" s="42">
        <f>rdaPt!N78</f>
        <v>0.015488295870641215</v>
      </c>
      <c r="G92" s="42">
        <f>rdaPt!N38</f>
        <v>4.539771241287927</v>
      </c>
      <c r="P92" s="226">
        <f>G92/G89*P89</f>
        <v>0.027473138155018808</v>
      </c>
    </row>
    <row r="93" spans="1:16" ht="12.75">
      <c r="A93" s="95"/>
      <c r="B93" s="95" t="s">
        <v>36</v>
      </c>
      <c r="D93" s="96">
        <f>rdaPt!Q37</f>
        <v>0.07001341309042038</v>
      </c>
      <c r="E93" s="42">
        <f>rdaPt!P37</f>
        <v>0.4184247249859857</v>
      </c>
      <c r="F93" s="42">
        <f>rdaPt!O77</f>
        <v>0.01615303171657655</v>
      </c>
      <c r="G93" s="42">
        <f>rdaPt!O37</f>
        <v>5.187924297341891</v>
      </c>
      <c r="P93" s="226">
        <f>G93/G89*P89</f>
        <v>0.031395538097249466</v>
      </c>
    </row>
    <row r="94" spans="1:16" ht="12.75">
      <c r="A94" s="95"/>
      <c r="B94" s="95" t="s">
        <v>36</v>
      </c>
      <c r="D94" s="96">
        <f>rdaPt!Q37</f>
        <v>0.07001341309042038</v>
      </c>
      <c r="E94" s="42">
        <f>rdaPt!P38</f>
        <v>0.42322060388311944</v>
      </c>
      <c r="F94" s="42">
        <f>rdaPt!O78</f>
        <v>0.01641558293626768</v>
      </c>
      <c r="G94" s="42">
        <f>rdaPt!O38</f>
        <v>5.428982259744827</v>
      </c>
      <c r="P94" s="226">
        <f>G94/G89*P89</f>
        <v>0.03285433818925242</v>
      </c>
    </row>
    <row r="95" spans="2:16" s="115" customFormat="1" ht="12.75">
      <c r="B95" s="115" t="s">
        <v>161</v>
      </c>
      <c r="C95" s="118" t="str">
        <f>rdaPt!$C$40</f>
        <v>4.5</v>
      </c>
      <c r="D95" s="112">
        <f>rdaPt!Q39</f>
        <v>1.0279478807872153</v>
      </c>
      <c r="E95" s="116">
        <f>rdaPt!P39</f>
        <v>1.1817853963822185</v>
      </c>
      <c r="F95" s="116">
        <f>rdaPt!O79</f>
        <v>0.00736028110634257</v>
      </c>
      <c r="G95" s="116">
        <f>rdaPt!O39</f>
        <v>3.7478158176143515</v>
      </c>
      <c r="H95" s="116"/>
      <c r="I95" s="141">
        <f>rdaPt!P39/rdaPtQM!P39-1</f>
        <v>0.13490204546098084</v>
      </c>
      <c r="J95" s="141">
        <f>rdaPt!O79/rdaPtQM!O79-1</f>
        <v>-0.501113060807218</v>
      </c>
      <c r="K95" s="141">
        <f>rdaPt!O39/rdaPtQM!O39-1</f>
        <v>-0.36377003171242495</v>
      </c>
      <c r="P95" s="225">
        <f>G95/2180/7.58*100</f>
        <v>0.02268049561626656</v>
      </c>
    </row>
    <row r="96" spans="4:16" ht="12.75">
      <c r="D96" s="99">
        <f>rdaPt!Q40</f>
        <v>0.1390513940251253</v>
      </c>
      <c r="E96" s="42">
        <f>rdaPt!P40</f>
        <v>0.8310199251212029</v>
      </c>
      <c r="F96" s="42">
        <f>rdaPt!O80</f>
        <v>0.00495678377579739</v>
      </c>
      <c r="G96" s="42">
        <f>rdaPt!O40</f>
        <v>1.565875248719294</v>
      </c>
      <c r="P96" s="226">
        <f>G96/G95*P95</f>
        <v>0.009476139821834947</v>
      </c>
    </row>
    <row r="97" spans="1:16" ht="12.75">
      <c r="A97" s="95" t="s">
        <v>189</v>
      </c>
      <c r="B97" s="95" t="s">
        <v>35</v>
      </c>
      <c r="D97" s="96">
        <f>rdaPt!U41</f>
        <v>0.1391251918886888</v>
      </c>
      <c r="E97" s="42">
        <f>rdaPt!T41</f>
        <v>0.8314609670502149</v>
      </c>
      <c r="F97" s="42">
        <f>rdaPt!N81</f>
        <v>0.004976961746937227</v>
      </c>
      <c r="G97" s="42">
        <f>rdaPt!N41</f>
        <v>1.5847113825325962</v>
      </c>
      <c r="P97" s="226">
        <f>G97/G95*P95</f>
        <v>0.009590129641818138</v>
      </c>
    </row>
    <row r="98" spans="1:16" ht="12.75">
      <c r="A98" s="95" t="s">
        <v>190</v>
      </c>
      <c r="B98" s="95" t="s">
        <v>35</v>
      </c>
      <c r="D98" s="96">
        <f>rdaPt!U42</f>
        <v>0.1391264566536396</v>
      </c>
      <c r="E98" s="42">
        <f>rdaPt!T42</f>
        <v>0.8314685257293786</v>
      </c>
      <c r="F98" s="42">
        <f>rdaPt!N82</f>
        <v>0.004977010728752564</v>
      </c>
      <c r="G98" s="42">
        <f>rdaPt!N42</f>
        <v>1.584729109476438</v>
      </c>
      <c r="P98" s="226">
        <f>G98/G95*P95</f>
        <v>0.009590236919200927</v>
      </c>
    </row>
    <row r="99" spans="1:16" ht="12.75">
      <c r="A99" s="95"/>
      <c r="B99" s="95" t="s">
        <v>36</v>
      </c>
      <c r="D99" s="96">
        <f>rdaPt!Q41</f>
        <v>0.14013335564428747</v>
      </c>
      <c r="E99" s="42">
        <f>rdaPt!P41</f>
        <v>0.8374861074277082</v>
      </c>
      <c r="F99" s="42">
        <f>rdaPt!O81</f>
        <v>0.00503701069304812</v>
      </c>
      <c r="G99" s="42">
        <f>rdaPt!O41</f>
        <v>1.6331632299617245</v>
      </c>
      <c r="P99" s="226">
        <f>G99/G95*P95</f>
        <v>0.009883343600746318</v>
      </c>
    </row>
    <row r="100" spans="1:16" ht="12.75">
      <c r="A100" s="95"/>
      <c r="B100" s="95" t="s">
        <v>36</v>
      </c>
      <c r="D100" s="96">
        <f>rdaPt!Q42</f>
        <v>0.1405108044487501</v>
      </c>
      <c r="E100" s="42">
        <f>rdaPt!P42</f>
        <v>0.8397418739334719</v>
      </c>
      <c r="F100" s="42">
        <f>rdaPt!O82</f>
        <v>0.005061200065830485</v>
      </c>
      <c r="G100" s="42">
        <f>rdaPt!O42</f>
        <v>1.652418190260881</v>
      </c>
      <c r="P100" s="226">
        <f>G100/G95*P95</f>
        <v>0.009999868014940821</v>
      </c>
    </row>
    <row r="101" spans="3:16" ht="12.75">
      <c r="C101" s="40" t="s">
        <v>162</v>
      </c>
      <c r="D101" s="94" t="s">
        <v>165</v>
      </c>
      <c r="E101" s="94" t="s">
        <v>153</v>
      </c>
      <c r="F101" s="94" t="s">
        <v>163</v>
      </c>
      <c r="G101" s="94" t="s">
        <v>164</v>
      </c>
      <c r="P101" s="226"/>
    </row>
    <row r="102" spans="5:16" ht="12.75">
      <c r="E102" s="153"/>
      <c r="F102" s="153"/>
      <c r="G102" s="153"/>
      <c r="P102" s="226"/>
    </row>
    <row r="103" spans="5:7" ht="12.75">
      <c r="E103" s="153" t="s">
        <v>198</v>
      </c>
      <c r="F103" s="153" t="s">
        <v>198</v>
      </c>
      <c r="G103" s="153" t="s">
        <v>198</v>
      </c>
    </row>
    <row r="104" spans="1:7" ht="12" customHeight="1">
      <c r="A104" s="189" t="s">
        <v>191</v>
      </c>
      <c r="C104" s="40" t="s">
        <v>167</v>
      </c>
      <c r="D104" s="94" t="s">
        <v>153</v>
      </c>
      <c r="E104" s="94" t="s">
        <v>153</v>
      </c>
      <c r="F104" s="94" t="s">
        <v>202</v>
      </c>
      <c r="G104" s="94" t="s">
        <v>203</v>
      </c>
    </row>
    <row r="105" spans="1:8" s="115" customFormat="1" ht="17.25" customHeight="1">
      <c r="A105" s="127" t="s">
        <v>143</v>
      </c>
      <c r="B105" s="124" t="s">
        <v>168</v>
      </c>
      <c r="C105" s="115">
        <v>15.37</v>
      </c>
      <c r="D105" s="112">
        <f>rdaCent!P8</f>
        <v>1.2403498545665272</v>
      </c>
      <c r="E105" s="114">
        <f>rdaCent!P8/rdaCentQM!P8-1</f>
        <v>-0.03443300085470191</v>
      </c>
      <c r="F105" s="154">
        <f>rdaCent!$E$37/rdaCentQM!$E$37-1</f>
        <v>0.3389830508474576</v>
      </c>
      <c r="G105" s="141">
        <f>rdaCent!$E$8/rdaCentQM!$E$8-1</f>
        <v>0.3359375</v>
      </c>
      <c r="H105" s="116"/>
    </row>
    <row r="106" ht="12.75">
      <c r="D106" s="99">
        <f>rdaCent!P9</f>
        <v>0.11645844970709951</v>
      </c>
    </row>
    <row r="107" spans="1:4" ht="12.75">
      <c r="A107" s="95" t="s">
        <v>194</v>
      </c>
      <c r="B107" s="95" t="s">
        <v>35</v>
      </c>
      <c r="C107" s="96">
        <f>SQRT(D107^2-D106^2)</f>
        <v>0.12418993240708012</v>
      </c>
      <c r="D107" s="96">
        <f>rdaCent!$R$9</f>
        <v>0.17025190107442606</v>
      </c>
    </row>
    <row r="108" spans="1:5" ht="12.75">
      <c r="A108" s="95"/>
      <c r="B108" s="95" t="s">
        <v>36</v>
      </c>
      <c r="C108" s="96">
        <f>SQRT(D108^2-D106^2)</f>
        <v>0.15051225129993306</v>
      </c>
      <c r="D108" s="96">
        <f>rdaCent!$T$9</f>
        <v>0.190306353807631</v>
      </c>
      <c r="E108" s="42">
        <f>SQRT(D108^2-D107^2)/D105</f>
        <v>0.06855654600401047</v>
      </c>
    </row>
    <row r="109" spans="2:8" s="115" customFormat="1" ht="12.75">
      <c r="B109" s="124" t="s">
        <v>169</v>
      </c>
      <c r="C109" s="115">
        <v>10.63</v>
      </c>
      <c r="D109" s="112">
        <f>rdaCent!P10</f>
        <v>0.8720748346104408</v>
      </c>
      <c r="E109" s="114">
        <f>rdaCent!P10/rdaCentQM!P10-1</f>
        <v>-0.18904982119404534</v>
      </c>
      <c r="F109" s="116"/>
      <c r="G109" s="141">
        <f>rdaCent!$E$10/rdaCentQM!$E$10-1</f>
        <v>0.04613095238095233</v>
      </c>
      <c r="H109" s="116"/>
    </row>
    <row r="110" ht="12.75">
      <c r="D110" s="99">
        <f>rdaCent!P11</f>
        <v>0.09806368680843518</v>
      </c>
    </row>
    <row r="111" spans="1:4" ht="12.75">
      <c r="A111" s="95" t="s">
        <v>194</v>
      </c>
      <c r="B111" s="95" t="s">
        <v>35</v>
      </c>
      <c r="C111" s="96">
        <f>SQRT(D111^2-D110^2)</f>
        <v>0.03515446046217101</v>
      </c>
      <c r="D111" s="96">
        <f>rdaCent!$R$11</f>
        <v>0.10417448229220631</v>
      </c>
    </row>
    <row r="112" spans="1:5" ht="12.75">
      <c r="A112" s="95"/>
      <c r="B112" s="95" t="s">
        <v>36</v>
      </c>
      <c r="C112" s="96">
        <f>SQRT(D112^2-D110^2)</f>
        <v>0.06935599700849403</v>
      </c>
      <c r="D112" s="96">
        <f>rdaCent!$T$11</f>
        <v>0.12011136911843565</v>
      </c>
      <c r="E112" s="42">
        <f>SQRT(D112^2-D111^2)/D109</f>
        <v>0.06855654600401043</v>
      </c>
    </row>
    <row r="113" spans="2:8" s="115" customFormat="1" ht="12.75">
      <c r="B113" s="124" t="s">
        <v>170</v>
      </c>
      <c r="C113" s="115">
        <v>6.95</v>
      </c>
      <c r="D113" s="112">
        <f>rdaCent!P12</f>
        <v>0.8929415829633429</v>
      </c>
      <c r="E113" s="114">
        <f>rdaCent!P12/rdaCentQM!P12-1</f>
        <v>0.16726000648394668</v>
      </c>
      <c r="F113" s="116"/>
      <c r="G113" s="141">
        <f>rdaCent!$E$12/rdaCentQM!$E$12-1</f>
        <v>0.382716049382716</v>
      </c>
      <c r="H113" s="116"/>
    </row>
    <row r="114" ht="12.75">
      <c r="D114" s="99">
        <f>rdaCent!P13</f>
        <v>0.12861202806684702</v>
      </c>
    </row>
    <row r="115" spans="1:4" ht="12.75">
      <c r="A115" s="95" t="s">
        <v>194</v>
      </c>
      <c r="B115" s="95" t="s">
        <v>35</v>
      </c>
      <c r="C115" s="96">
        <f>SQRT(D115^2-D114^2)</f>
        <v>0.03599562598012095</v>
      </c>
      <c r="D115" s="96">
        <f>rdaCent!$R$13</f>
        <v>0.13355425434320017</v>
      </c>
    </row>
    <row r="116" spans="1:5" ht="12.75">
      <c r="A116" s="95"/>
      <c r="B116" s="95" t="s">
        <v>36</v>
      </c>
      <c r="C116" s="96">
        <f>SQRT(D116^2-D114^2)</f>
        <v>0.07101552676317086</v>
      </c>
      <c r="D116" s="96">
        <f>rdaCent!$T$13</f>
        <v>0.14691582217350888</v>
      </c>
      <c r="E116" s="42">
        <f>SQRT(D116^2-D115^2)/D113</f>
        <v>0.06855654600401044</v>
      </c>
    </row>
    <row r="117" spans="2:8" s="115" customFormat="1" ht="12.75">
      <c r="B117" s="124" t="s">
        <v>171</v>
      </c>
      <c r="C117" s="115">
        <v>3.07</v>
      </c>
      <c r="D117" s="112">
        <f>rdaCent!P14</f>
        <v>1.142158835071395</v>
      </c>
      <c r="E117" s="114">
        <f>rdaCent!P14/rdaCentQM!P14-1</f>
        <v>0.7283459858938415</v>
      </c>
      <c r="F117" s="116"/>
      <c r="G117" s="141">
        <f>rdaCent!$E$14/rdaCentQM!$E$14-1</f>
        <v>0.7549999999999999</v>
      </c>
      <c r="H117" s="116"/>
    </row>
    <row r="118" ht="12.75">
      <c r="D118" s="99">
        <f>rdaCent!P15</f>
        <v>0.17430736405098066</v>
      </c>
    </row>
    <row r="119" spans="1:4" ht="12.75">
      <c r="A119" s="95" t="s">
        <v>194</v>
      </c>
      <c r="B119" s="95" t="s">
        <v>35</v>
      </c>
      <c r="C119" s="96">
        <f>SQRT(D119^2-D118^2)</f>
        <v>0.04038141287355556</v>
      </c>
      <c r="D119" s="96">
        <f>rdaCent!$R$15</f>
        <v>0.17892377055066122</v>
      </c>
    </row>
    <row r="120" spans="1:5" ht="12.75">
      <c r="A120" s="95"/>
      <c r="B120" s="95" t="s">
        <v>36</v>
      </c>
      <c r="C120" s="96">
        <f>SQRT(D120^2-D118^2)</f>
        <v>0.08810184156397244</v>
      </c>
      <c r="D120" s="96">
        <f>rdaCent!$T$15</f>
        <v>0.19530742855653085</v>
      </c>
      <c r="E120" s="42">
        <f>SQRT(D120^2-D119^2)/D117</f>
        <v>0.06855654600401047</v>
      </c>
    </row>
    <row r="121" spans="1:8" s="115" customFormat="1" ht="15.75">
      <c r="A121" s="127" t="s">
        <v>145</v>
      </c>
      <c r="B121" s="124" t="s">
        <v>168</v>
      </c>
      <c r="C121" s="115">
        <f>C105</f>
        <v>15.37</v>
      </c>
      <c r="D121" s="112">
        <f>rdaCent!P23</f>
        <v>0.6510198144979902</v>
      </c>
      <c r="E121" s="114">
        <f>rdaCent!P23/rdaCentQM!P23-1</f>
        <v>0.031116443156749662</v>
      </c>
      <c r="F121" s="141">
        <f>rdaCent!$E$39/rdaCentQM!$E$39-1</f>
        <v>-0.0008620689655172153</v>
      </c>
      <c r="G121" s="141">
        <f>rdaCent!$E$23/rdaCentQM!$E$23-1</f>
        <v>0.14982578397212554</v>
      </c>
      <c r="H121" s="116"/>
    </row>
    <row r="122" ht="12.75">
      <c r="D122" s="99">
        <f>rdaCent!P24</f>
        <v>0.060912323200382</v>
      </c>
    </row>
    <row r="123" spans="1:4" ht="12.75">
      <c r="A123" s="95" t="s">
        <v>194</v>
      </c>
      <c r="B123" s="95" t="s">
        <v>35</v>
      </c>
      <c r="C123" s="96">
        <f>SQRT(D123^2-D122^2)</f>
        <v>0.019530594434939708</v>
      </c>
      <c r="D123" s="96">
        <f>rdaCent!$R$24</f>
        <v>0.06396682919021306</v>
      </c>
    </row>
    <row r="124" spans="1:5" ht="12.75">
      <c r="A124" s="95"/>
      <c r="B124" s="95" t="s">
        <v>36</v>
      </c>
      <c r="C124" s="96">
        <f>SQRT(D124^2-D122^2)</f>
        <v>0.06768414784109346</v>
      </c>
      <c r="D124" s="96">
        <f>rdaCent!$T$24</f>
        <v>0.09105742686152948</v>
      </c>
      <c r="E124" s="42">
        <f>SQRT(D124^2-D123^2)/D121</f>
        <v>0.09954396013822238</v>
      </c>
    </row>
    <row r="125" spans="2:8" s="115" customFormat="1" ht="12.75">
      <c r="B125" s="124" t="s">
        <v>169</v>
      </c>
      <c r="C125" s="115">
        <f>C109</f>
        <v>10.63</v>
      </c>
      <c r="D125" s="112">
        <f>rdaCent!P25</f>
        <v>0.7537648235495349</v>
      </c>
      <c r="E125" s="114">
        <f>rdaCent!P25/rdaCentQM!P25-1</f>
        <v>-0.009320388157726844</v>
      </c>
      <c r="F125" s="116"/>
      <c r="G125" s="141">
        <f>rdaCent!$E$25/rdaCentQM!$E$25-1</f>
        <v>0.09647302904564325</v>
      </c>
      <c r="H125" s="116"/>
    </row>
    <row r="126" ht="12.75">
      <c r="D126" s="99">
        <f>rdaCent!P26</f>
        <v>0.07100325986264147</v>
      </c>
    </row>
    <row r="127" spans="1:4" ht="12.75">
      <c r="A127" s="95" t="s">
        <v>194</v>
      </c>
      <c r="B127" s="95" t="s">
        <v>35</v>
      </c>
      <c r="C127" s="96">
        <f>SQRT(D127^2-D126^2)</f>
        <v>0.01884412058873838</v>
      </c>
      <c r="D127" s="96">
        <f>rdaCent!$R$26</f>
        <v>0.07346130812805274</v>
      </c>
    </row>
    <row r="128" spans="1:5" ht="12.75">
      <c r="A128" s="95"/>
      <c r="B128" s="95" t="s">
        <v>36</v>
      </c>
      <c r="C128" s="96">
        <f>SQRT(D128^2-D126^2)</f>
        <v>0.07736286114622733</v>
      </c>
      <c r="D128" s="96">
        <f>rdaCent!$T$26</f>
        <v>0.10500702450718354</v>
      </c>
      <c r="E128" s="42">
        <f>SQRT(D128^2-D127^2)/D125</f>
        <v>0.09954396013822236</v>
      </c>
    </row>
    <row r="129" spans="2:8" s="115" customFormat="1" ht="12.75">
      <c r="B129" s="124" t="s">
        <v>170</v>
      </c>
      <c r="C129" s="115">
        <f>C113</f>
        <v>6.95</v>
      </c>
      <c r="D129" s="112">
        <f>rdaCent!P27</f>
        <v>0.8032425533838449</v>
      </c>
      <c r="E129" s="114">
        <f>rdaCent!P27/rdaCentQM!P27-1</f>
        <v>0.1811039702177355</v>
      </c>
      <c r="F129" s="116"/>
      <c r="G129" s="141">
        <f>rdaCent!$E$27/rdaCentQM!$E$27-1</f>
        <v>0.23630136986301364</v>
      </c>
      <c r="H129" s="116"/>
    </row>
    <row r="130" ht="12.75">
      <c r="D130" s="99">
        <f>rdaCent!P28</f>
        <v>0.09789294494035382</v>
      </c>
    </row>
    <row r="131" spans="1:4" ht="12.75">
      <c r="A131" s="95" t="s">
        <v>194</v>
      </c>
      <c r="B131" s="95" t="s">
        <v>35</v>
      </c>
      <c r="C131" s="96">
        <f>SQRT(D131^2-D130^2)</f>
        <v>0.012048638300757579</v>
      </c>
      <c r="D131" s="96">
        <f>rdaCent!$R$28</f>
        <v>0.09863162958198363</v>
      </c>
    </row>
    <row r="132" spans="1:5" ht="12.75">
      <c r="A132" s="95"/>
      <c r="B132" s="95" t="s">
        <v>36</v>
      </c>
      <c r="C132" s="96">
        <f>SQRT(D132^2-D130^2)</f>
        <v>0.08086063695029812</v>
      </c>
      <c r="D132" s="96">
        <f>rdaCent!$T$28</f>
        <v>0.12697035589893832</v>
      </c>
      <c r="E132" s="42">
        <f>SQRT(D132^2-D131^2)/D129</f>
        <v>0.09954396013822239</v>
      </c>
    </row>
    <row r="133" spans="1:8" s="115" customFormat="1" ht="12.75">
      <c r="A133" s="109"/>
      <c r="B133" s="124" t="s">
        <v>171</v>
      </c>
      <c r="C133" s="115">
        <f>C117</f>
        <v>3.07</v>
      </c>
      <c r="D133" s="112">
        <f>rdaCent!P29</f>
        <v>0.9768496685592422</v>
      </c>
      <c r="E133" s="114">
        <f>rdaCent!P29/rdaCentQM!P29-1</f>
        <v>0.280798346685182</v>
      </c>
      <c r="F133" s="116"/>
      <c r="G133" s="141">
        <f>rdaCent!$E$29/rdaCentQM!$E$29-1</f>
        <v>0.16025641025641035</v>
      </c>
      <c r="H133" s="116"/>
    </row>
    <row r="134" ht="12.75">
      <c r="D134" s="99">
        <f>rdaCent!P30</f>
        <v>0.1439416550954626</v>
      </c>
    </row>
    <row r="135" spans="1:4" ht="12.75">
      <c r="A135" s="95" t="s">
        <v>194</v>
      </c>
      <c r="B135" s="95" t="s">
        <v>35</v>
      </c>
      <c r="C135" s="96">
        <f>SQRT(D135^2-D134^2)</f>
        <v>0.009768496685592197</v>
      </c>
      <c r="D135" s="96">
        <f>rdaCent!$R$30</f>
        <v>0.14427274031887502</v>
      </c>
    </row>
    <row r="136" spans="2:5" ht="12.75">
      <c r="B136" s="95" t="s">
        <v>36</v>
      </c>
      <c r="C136" s="96">
        <f>SQRT(D136^2-D134^2)</f>
        <v>0.09772891520485474</v>
      </c>
      <c r="D136" s="96">
        <f>rdaCent!$T$30</f>
        <v>0.1739831628024356</v>
      </c>
      <c r="E136" s="42">
        <f>SQRT(D136^2-D135^2)/D133</f>
        <v>0.09954396013822235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&amp;L&amp;F&amp;C&amp;D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6.28125" style="1" customWidth="1"/>
    <col min="3" max="3" width="4.57421875" style="1" customWidth="1"/>
    <col min="4" max="4" width="5.421875" style="1" customWidth="1"/>
    <col min="5" max="5" width="8.57421875" style="1" customWidth="1"/>
    <col min="6" max="7" width="6.421875" style="1" customWidth="1"/>
    <col min="8" max="8" width="5.28125" style="1" customWidth="1"/>
    <col min="9" max="9" width="9.8515625" style="1" customWidth="1"/>
    <col min="10" max="11" width="7.00390625" style="1" customWidth="1"/>
    <col min="12" max="12" width="9.8515625" style="1" customWidth="1"/>
    <col min="13" max="13" width="8.00390625" style="1" customWidth="1"/>
    <col min="14" max="14" width="10.7109375" style="1" bestFit="1" customWidth="1"/>
    <col min="15" max="15" width="6.8515625" style="1" customWidth="1"/>
    <col min="16" max="16" width="6.28125" style="1" customWidth="1"/>
    <col min="17" max="17" width="7.57421875" style="1" customWidth="1"/>
    <col min="18" max="18" width="8.140625" style="1" customWidth="1"/>
    <col min="19" max="16384" width="10.421875" style="1" customWidth="1"/>
  </cols>
  <sheetData>
    <row r="1" spans="1:14" ht="26.25" customHeight="1">
      <c r="A1" s="102" t="s">
        <v>179</v>
      </c>
      <c r="E1" s="5" t="s">
        <v>10</v>
      </c>
      <c r="G1" s="5" t="s">
        <v>9</v>
      </c>
      <c r="K1" s="5" t="s">
        <v>23</v>
      </c>
      <c r="L1" s="5" t="s">
        <v>20</v>
      </c>
      <c r="N1" s="2" t="s">
        <v>26</v>
      </c>
    </row>
    <row r="2" spans="2:18" s="2" customFormat="1" ht="21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8</v>
      </c>
      <c r="H2" s="2" t="s">
        <v>4</v>
      </c>
      <c r="I2" s="2" t="s">
        <v>12</v>
      </c>
      <c r="J2" s="2" t="s">
        <v>13</v>
      </c>
      <c r="K2" s="2" t="s">
        <v>22</v>
      </c>
      <c r="L2" s="2" t="s">
        <v>21</v>
      </c>
      <c r="M2" s="2" t="s">
        <v>14</v>
      </c>
      <c r="N2" s="2" t="s">
        <v>27</v>
      </c>
      <c r="O2" s="2" t="s">
        <v>15</v>
      </c>
      <c r="P2" s="6" t="s">
        <v>16</v>
      </c>
      <c r="Q2" s="2" t="s">
        <v>33</v>
      </c>
      <c r="R2" s="2" t="s">
        <v>34</v>
      </c>
    </row>
    <row r="3" spans="1:16" ht="23.25">
      <c r="A3" s="17" t="s">
        <v>17</v>
      </c>
      <c r="B3" s="17">
        <v>-1.7</v>
      </c>
      <c r="C3" s="17">
        <v>1</v>
      </c>
      <c r="D3" s="17">
        <v>578</v>
      </c>
      <c r="E3" s="17">
        <v>0.128</v>
      </c>
      <c r="F3" s="17">
        <v>0.486</v>
      </c>
      <c r="G3" s="19">
        <f>(I7*G7+I9*G9)/(I7+I9)</f>
        <v>0.6791003636363636</v>
      </c>
      <c r="H3" s="17">
        <v>0.99</v>
      </c>
      <c r="I3" s="18">
        <f>I7+I9</f>
        <v>2750000000</v>
      </c>
      <c r="J3" s="17">
        <v>0.88</v>
      </c>
      <c r="K3" s="17">
        <v>2180</v>
      </c>
      <c r="L3" s="18">
        <f>I3/J3/(K3*1000000)</f>
        <v>1.43348623853211</v>
      </c>
      <c r="M3" s="17">
        <v>0.92</v>
      </c>
      <c r="N3" s="27">
        <f>(D3/E3/F3/G3/H3/M3)/(I3/(K3*1E-27*J3))/C3*1E+33</f>
        <v>10479.271358698612</v>
      </c>
      <c r="O3" s="19">
        <f>N3/(2*197)/N79</f>
        <v>0.9983548728748146</v>
      </c>
      <c r="P3" s="19">
        <f>1+(LN(O3)/LN(197*2))</f>
        <v>0.9997245004756607</v>
      </c>
    </row>
    <row r="4" spans="1:16" ht="23.25">
      <c r="A4" s="17" t="s">
        <v>24</v>
      </c>
      <c r="B4" s="17"/>
      <c r="C4" s="17"/>
      <c r="D4" s="17">
        <v>27</v>
      </c>
      <c r="E4" s="17"/>
      <c r="F4" s="17"/>
      <c r="G4" s="19">
        <f>(I7*G8+I9*G10)/(I7+I9)</f>
        <v>0.009708363636363637</v>
      </c>
      <c r="H4" s="17"/>
      <c r="I4" s="18"/>
      <c r="J4" s="17"/>
      <c r="K4" s="31" t="s">
        <v>35</v>
      </c>
      <c r="L4" s="32" t="s">
        <v>36</v>
      </c>
      <c r="M4" s="17"/>
      <c r="N4" s="27">
        <f>SQRT((D4/D3)^2+(G4/G3)^2)*N3</f>
        <v>511.92707192110487</v>
      </c>
      <c r="O4" s="19">
        <f>SQRT((N4/N3)^2+(N80/N79)^2)*O3</f>
        <v>0.09168778258181533</v>
      </c>
      <c r="P4" s="19">
        <f>O4/O3/LN(197*2)</f>
        <v>0.01536704765006274</v>
      </c>
    </row>
    <row r="5" spans="1:18" ht="23.25">
      <c r="A5" s="17" t="s">
        <v>31</v>
      </c>
      <c r="B5" s="17"/>
      <c r="C5" s="17"/>
      <c r="D5" s="17"/>
      <c r="E5" s="17"/>
      <c r="F5" s="17"/>
      <c r="G5" s="17"/>
      <c r="H5" s="17"/>
      <c r="I5" s="18"/>
      <c r="J5" s="17"/>
      <c r="K5" s="14">
        <v>0.114</v>
      </c>
      <c r="L5" s="14">
        <v>0.151</v>
      </c>
      <c r="M5" s="27">
        <f>SQRT((K5*N3)^2+N4^2)</f>
        <v>1299.7025556537978</v>
      </c>
      <c r="N5" s="27">
        <f>SQRT((L5*N3)^2+N4^2)</f>
        <v>1663.1187766556607</v>
      </c>
      <c r="O5" s="19">
        <f>SQRT((Q5*O3)^2+O4^2)</f>
        <v>0.12767775377327914</v>
      </c>
      <c r="P5" s="19">
        <f>SQRT((R5*P3)^2+P4^2)</f>
        <v>0.03639431546506095</v>
      </c>
      <c r="Q5" s="14">
        <v>0.089</v>
      </c>
      <c r="R5" s="14">
        <v>0.033</v>
      </c>
    </row>
    <row r="6" spans="1:18" ht="23.25">
      <c r="A6" s="17" t="s">
        <v>32</v>
      </c>
      <c r="B6" s="17"/>
      <c r="C6" s="17"/>
      <c r="D6" s="17"/>
      <c r="E6" s="17"/>
      <c r="F6" s="17"/>
      <c r="G6" s="17"/>
      <c r="H6" s="17"/>
      <c r="I6" s="18"/>
      <c r="J6" s="17"/>
      <c r="K6" s="14">
        <v>0.115</v>
      </c>
      <c r="L6" s="14">
        <v>0.152</v>
      </c>
      <c r="M6" s="27">
        <f>SQRT((K6*N3)^2+N4^2)</f>
        <v>1309.3412074524078</v>
      </c>
      <c r="N6" s="27">
        <f>SQRT((L6*N3)^2+N4^2)</f>
        <v>1673.0923612018616</v>
      </c>
      <c r="O6" s="19">
        <f>SQRT((Q6*O3)^2+O4^2)</f>
        <v>0.13777072214401934</v>
      </c>
      <c r="P6" s="19">
        <f>SQRT((R6*P3)^2+P4^2)</f>
        <v>0.037302939379081274</v>
      </c>
      <c r="Q6" s="14">
        <v>0.103</v>
      </c>
      <c r="R6" s="14">
        <v>0.034</v>
      </c>
    </row>
    <row r="7" spans="1:16" ht="22.5">
      <c r="A7" s="14" t="s">
        <v>18</v>
      </c>
      <c r="B7" s="14">
        <v>-1.7</v>
      </c>
      <c r="C7" s="14">
        <v>1</v>
      </c>
      <c r="D7" s="14">
        <v>172</v>
      </c>
      <c r="E7" s="14">
        <v>0.128</v>
      </c>
      <c r="F7" s="14">
        <f>F3</f>
        <v>0.486</v>
      </c>
      <c r="G7" s="14">
        <v>0.502</v>
      </c>
      <c r="H7" s="14">
        <v>0.99</v>
      </c>
      <c r="I7" s="26">
        <v>1184000000</v>
      </c>
      <c r="J7" s="14">
        <f>$J$3</f>
        <v>0.88</v>
      </c>
      <c r="K7" s="14">
        <f>$K$3</f>
        <v>2180</v>
      </c>
      <c r="L7" s="15">
        <f>I7/J7/(K7*1000000)</f>
        <v>0.6171809841534612</v>
      </c>
      <c r="M7" s="14">
        <f>$M$3</f>
        <v>0.92</v>
      </c>
      <c r="N7" s="28">
        <f>(D7/E7/F7/G7/H7/M7)/(I7/(K7*1E-27*J7))/C7*1E+33</f>
        <v>9798.124020648842</v>
      </c>
      <c r="O7" s="7">
        <f>N7/(2*197)/N79</f>
        <v>0.9334623110915737</v>
      </c>
      <c r="P7" s="7">
        <f>1+(LN(O7)/LN(197*2))</f>
        <v>0.9884788072815484</v>
      </c>
    </row>
    <row r="8" spans="1:16" ht="22.5">
      <c r="A8" s="14"/>
      <c r="B8" s="14"/>
      <c r="C8" s="14"/>
      <c r="D8" s="14">
        <v>15</v>
      </c>
      <c r="E8" s="14"/>
      <c r="F8" s="14"/>
      <c r="G8" s="14">
        <v>0.008</v>
      </c>
      <c r="H8" s="14"/>
      <c r="I8" s="15"/>
      <c r="J8" s="14"/>
      <c r="K8" s="14"/>
      <c r="L8" s="15"/>
      <c r="M8" s="14"/>
      <c r="N8" s="28">
        <f>SQRT((D8/D7)^2+(G8/G7)^2)*N7</f>
        <v>868.6370800761237</v>
      </c>
      <c r="O8" s="7"/>
      <c r="P8" s="7"/>
    </row>
    <row r="9" spans="1:16" ht="22.5">
      <c r="A9" s="14" t="s">
        <v>19</v>
      </c>
      <c r="B9" s="14">
        <v>-1.7</v>
      </c>
      <c r="C9" s="14">
        <v>1</v>
      </c>
      <c r="D9" s="14">
        <v>404</v>
      </c>
      <c r="E9" s="14">
        <v>0.128</v>
      </c>
      <c r="F9" s="14">
        <f>F3</f>
        <v>0.486</v>
      </c>
      <c r="G9" s="14">
        <v>0.813</v>
      </c>
      <c r="H9" s="14">
        <v>0.99</v>
      </c>
      <c r="I9" s="15">
        <v>1566000000</v>
      </c>
      <c r="J9" s="14">
        <f>$J$3</f>
        <v>0.88</v>
      </c>
      <c r="K9" s="14">
        <f>$K$3</f>
        <v>2180</v>
      </c>
      <c r="L9" s="15">
        <f>I9/J9/(K9*1000000)</f>
        <v>0.8163052543786489</v>
      </c>
      <c r="M9" s="14">
        <f>$M$3</f>
        <v>0.92</v>
      </c>
      <c r="N9" s="28">
        <f>(D9/E9/F9/G9/H9/M9)/(I9/(K9*1E-27*J9))/C9*1E+33</f>
        <v>10744.07340166454</v>
      </c>
      <c r="O9" s="7">
        <f>N9/(2*197)/N79</f>
        <v>1.0235824293425453</v>
      </c>
      <c r="P9" s="7">
        <f>1+(LN(O9)/LN(197*2))</f>
        <v>1.0039001490975772</v>
      </c>
    </row>
    <row r="10" spans="1:16" ht="22.5">
      <c r="A10" s="14"/>
      <c r="B10" s="14"/>
      <c r="C10" s="14"/>
      <c r="D10" s="14">
        <v>23</v>
      </c>
      <c r="E10" s="14"/>
      <c r="F10" s="14"/>
      <c r="G10" s="14">
        <v>0.011</v>
      </c>
      <c r="H10" s="14"/>
      <c r="I10" s="15"/>
      <c r="J10" s="14"/>
      <c r="K10" s="14"/>
      <c r="L10" s="15"/>
      <c r="M10" s="14"/>
      <c r="N10" s="28">
        <f>SQRT((D10/D9)^2+(G10/G9)^2)*N9</f>
        <v>628.7044330584224</v>
      </c>
      <c r="O10" s="7"/>
      <c r="P10" s="7"/>
    </row>
    <row r="11" spans="1:16" ht="23.25">
      <c r="A11" s="17" t="s">
        <v>17</v>
      </c>
      <c r="B11" s="17">
        <v>-1.95</v>
      </c>
      <c r="C11" s="17">
        <v>0.5</v>
      </c>
      <c r="D11" s="17">
        <v>211</v>
      </c>
      <c r="E11" s="17">
        <v>0.128</v>
      </c>
      <c r="F11" s="17">
        <v>0.52</v>
      </c>
      <c r="G11" s="19">
        <f>(I15*G15+I17*G17)/(I15+I17)</f>
        <v>0.6866698181818182</v>
      </c>
      <c r="H11" s="17">
        <v>0.99</v>
      </c>
      <c r="I11" s="18">
        <f>I3</f>
        <v>2750000000</v>
      </c>
      <c r="J11" s="17">
        <v>0.88</v>
      </c>
      <c r="K11" s="17">
        <f>$K$3</f>
        <v>2180</v>
      </c>
      <c r="L11" s="18">
        <f>I11/J11/(K11*1000000)</f>
        <v>1.43348623853211</v>
      </c>
      <c r="M11" s="17">
        <f>$M$3</f>
        <v>0.92</v>
      </c>
      <c r="N11" s="27">
        <f>(D11/E11/F11/G11/H11/M11)/(I11/(K11*1E-27*J11))/C11*1E+33</f>
        <v>7071.875865459358</v>
      </c>
      <c r="O11" s="19">
        <f>N11/(2*197)/N83</f>
        <v>0.9227491742973394</v>
      </c>
      <c r="P11" s="19">
        <f>1+(LN(O11)/LN(197*2))</f>
        <v>0.9865473374772085</v>
      </c>
    </row>
    <row r="12" spans="1:16" ht="23.25">
      <c r="A12" s="17" t="s">
        <v>24</v>
      </c>
      <c r="B12" s="17"/>
      <c r="C12" s="17"/>
      <c r="D12" s="17">
        <v>16</v>
      </c>
      <c r="E12" s="17"/>
      <c r="F12" s="17"/>
      <c r="G12" s="19">
        <v>0.014</v>
      </c>
      <c r="H12" s="17"/>
      <c r="I12" s="18"/>
      <c r="J12" s="17"/>
      <c r="K12" s="17"/>
      <c r="L12" s="18"/>
      <c r="M12" s="17"/>
      <c r="N12" s="27">
        <f>SQRT((D12/D11)^2+(G12/G11)^2)*N11</f>
        <v>555.3010770010944</v>
      </c>
      <c r="O12" s="19">
        <f>SQRT((N12/N11)^2+(N84/N83)^2)*O11</f>
        <v>0.14039409040126977</v>
      </c>
      <c r="P12" s="19">
        <f>O12/O11/LN(197*2)</f>
        <v>0.025458280806611208</v>
      </c>
    </row>
    <row r="13" spans="1:18" ht="23.25">
      <c r="A13" s="17" t="s">
        <v>31</v>
      </c>
      <c r="B13" s="17"/>
      <c r="C13" s="17"/>
      <c r="D13" s="17"/>
      <c r="E13" s="17"/>
      <c r="F13" s="17"/>
      <c r="G13" s="17"/>
      <c r="H13" s="17"/>
      <c r="I13" s="18"/>
      <c r="J13" s="17"/>
      <c r="K13" s="14">
        <v>0.114</v>
      </c>
      <c r="L13" s="14">
        <v>0.151</v>
      </c>
      <c r="M13" s="27">
        <f>SQRT((K13*N11)^2+N12^2)</f>
        <v>978.9319729887335</v>
      </c>
      <c r="N13" s="27">
        <f>SQRT((L13*N11)^2+N12^2)</f>
        <v>1203.607021329748</v>
      </c>
      <c r="O13" s="19">
        <f>SQRT((Q13*O11)^2+O12^2)</f>
        <v>0.15230924303527207</v>
      </c>
      <c r="P13" s="19">
        <f>SQRT((R13*P11)^2+P12^2)</f>
        <v>0.027674725204911363</v>
      </c>
      <c r="Q13" s="14">
        <v>0.064</v>
      </c>
      <c r="R13" s="14">
        <v>0.011</v>
      </c>
    </row>
    <row r="14" spans="1:18" ht="23.25">
      <c r="A14" s="17" t="s">
        <v>32</v>
      </c>
      <c r="B14" s="17"/>
      <c r="C14" s="17"/>
      <c r="D14" s="17"/>
      <c r="E14" s="17"/>
      <c r="F14" s="17"/>
      <c r="G14" s="17"/>
      <c r="H14" s="17"/>
      <c r="I14" s="18"/>
      <c r="J14" s="17"/>
      <c r="K14" s="14">
        <v>0.115</v>
      </c>
      <c r="L14" s="14">
        <v>0.152</v>
      </c>
      <c r="M14" s="27">
        <f>SQRT((K14*N11)^2+N12^2)</f>
        <v>984.764146793711</v>
      </c>
      <c r="N14" s="27">
        <f>SQRT((L14*N11)^2+N12^2)</f>
        <v>1209.885665902352</v>
      </c>
      <c r="O14" s="19">
        <f>SQRT((Q14*O11)^2+O12^2)</f>
        <v>0.15230924303527207</v>
      </c>
      <c r="P14" s="19">
        <f>SQRT((R14*P11)^2+P12^2)</f>
        <v>0.027674725204911363</v>
      </c>
      <c r="Q14" s="14">
        <v>0.064</v>
      </c>
      <c r="R14" s="14">
        <v>0.011</v>
      </c>
    </row>
    <row r="15" spans="1:16" ht="22.5">
      <c r="A15" s="14" t="s">
        <v>18</v>
      </c>
      <c r="B15" s="14">
        <v>-1.95</v>
      </c>
      <c r="C15" s="14">
        <v>0.5</v>
      </c>
      <c r="D15" s="14">
        <v>50</v>
      </c>
      <c r="E15" s="14">
        <v>0.128</v>
      </c>
      <c r="F15" s="14">
        <f>F11</f>
        <v>0.52</v>
      </c>
      <c r="G15" s="14">
        <v>0.509</v>
      </c>
      <c r="H15" s="14">
        <v>0.99</v>
      </c>
      <c r="I15" s="15">
        <f>I7</f>
        <v>1184000000</v>
      </c>
      <c r="J15" s="14">
        <f>$J$3</f>
        <v>0.88</v>
      </c>
      <c r="K15" s="14">
        <f>$K$3</f>
        <v>2180</v>
      </c>
      <c r="L15" s="15">
        <f>I15/J15/(K15*1000000)</f>
        <v>0.6171809841534612</v>
      </c>
      <c r="M15" s="14">
        <f>$M$3</f>
        <v>0.92</v>
      </c>
      <c r="N15" s="28">
        <f>(D15/E15/F15/G15/H15/M15)/(I15/(K15*1E-27*J15))/C15*1E+33</f>
        <v>5250.895143160455</v>
      </c>
      <c r="O15" s="7">
        <f>N15/(2*197)/N83</f>
        <v>0.6851448257651922</v>
      </c>
      <c r="P15" s="7">
        <f>1+(LN(O15)/LN(197*2))</f>
        <v>0.9367297797048864</v>
      </c>
    </row>
    <row r="16" spans="1:16" ht="22.5">
      <c r="A16" s="14"/>
      <c r="B16" s="14"/>
      <c r="C16" s="14"/>
      <c r="D16" s="14">
        <v>8</v>
      </c>
      <c r="E16" s="14"/>
      <c r="F16" s="14"/>
      <c r="G16" s="14">
        <v>0.012</v>
      </c>
      <c r="H16" s="14"/>
      <c r="I16" s="15"/>
      <c r="J16" s="14"/>
      <c r="K16" s="14"/>
      <c r="L16" s="15"/>
      <c r="M16" s="14"/>
      <c r="N16" s="28">
        <f>SQRT((D16/D15)^2+(G16/G15)^2)*N15</f>
        <v>849.2145740505755</v>
      </c>
      <c r="O16" s="7"/>
      <c r="P16" s="7"/>
    </row>
    <row r="17" spans="1:16" ht="22.5">
      <c r="A17" s="14" t="s">
        <v>19</v>
      </c>
      <c r="B17" s="14">
        <v>-1.95</v>
      </c>
      <c r="C17" s="14">
        <v>0.5</v>
      </c>
      <c r="D17" s="14">
        <v>161</v>
      </c>
      <c r="E17" s="14">
        <v>0.128</v>
      </c>
      <c r="F17" s="14">
        <f>F11</f>
        <v>0.52</v>
      </c>
      <c r="G17" s="14">
        <v>0.821</v>
      </c>
      <c r="H17" s="14">
        <v>0.99</v>
      </c>
      <c r="I17" s="15">
        <f>I9</f>
        <v>1566000000</v>
      </c>
      <c r="J17" s="14">
        <f>$J$3</f>
        <v>0.88</v>
      </c>
      <c r="K17" s="14">
        <f>$K$3</f>
        <v>2180</v>
      </c>
      <c r="L17" s="15">
        <f>I17/J17/(K17*1000000)</f>
        <v>0.8163052543786489</v>
      </c>
      <c r="M17" s="14">
        <f>$M$3</f>
        <v>0.92</v>
      </c>
      <c r="N17" s="28">
        <f>(D17/E17/F17/G17/H17/M17)/(I17/(K17*1E-27*J17))/C17*1E+33</f>
        <v>7925.447389282261</v>
      </c>
      <c r="O17" s="7">
        <f>N17/(2*197)/N83</f>
        <v>1.0341244916524248</v>
      </c>
      <c r="P17" s="7">
        <f>1+(LN(O17)/LN(197*2))</f>
        <v>1.0056146580856264</v>
      </c>
    </row>
    <row r="18" spans="1:16" ht="22.5">
      <c r="A18" s="14"/>
      <c r="B18" s="14"/>
      <c r="C18" s="14"/>
      <c r="D18" s="14">
        <v>14</v>
      </c>
      <c r="E18" s="14"/>
      <c r="F18" s="14"/>
      <c r="G18" s="14">
        <v>0.016</v>
      </c>
      <c r="H18" s="14"/>
      <c r="I18" s="15"/>
      <c r="J18" s="14"/>
      <c r="K18" s="14"/>
      <c r="L18" s="15"/>
      <c r="M18" s="14"/>
      <c r="N18" s="28">
        <f>SQRT((D18/D17)^2+(G18/G17)^2)*N17</f>
        <v>706.2652295339435</v>
      </c>
      <c r="O18" s="7"/>
      <c r="P18" s="7"/>
    </row>
    <row r="19" spans="1:16" ht="23.25">
      <c r="A19" s="17" t="s">
        <v>17</v>
      </c>
      <c r="B19" s="17">
        <v>-1.45</v>
      </c>
      <c r="C19" s="17">
        <v>0.5</v>
      </c>
      <c r="D19" s="17">
        <v>431</v>
      </c>
      <c r="E19" s="17">
        <v>0.128</v>
      </c>
      <c r="F19" s="17">
        <v>0.459</v>
      </c>
      <c r="G19" s="19">
        <f>(I23*G23+I25*G25)/(I23+I25)</f>
        <v>0.6731003636363636</v>
      </c>
      <c r="H19" s="17">
        <v>0.99</v>
      </c>
      <c r="I19" s="18">
        <f>I3</f>
        <v>2750000000</v>
      </c>
      <c r="J19" s="17">
        <v>0.88</v>
      </c>
      <c r="K19" s="17">
        <f>$K$3</f>
        <v>2180</v>
      </c>
      <c r="L19" s="18">
        <f>I19/J19/(K19*1000000)</f>
        <v>1.43348623853211</v>
      </c>
      <c r="M19" s="17">
        <f>$M$3</f>
        <v>0.92</v>
      </c>
      <c r="N19" s="27">
        <f>(D19/E19/F19/G19/H19/M19)/(I19/(K19*1E-27*J19))/C19*1E+33</f>
        <v>16695.069658357195</v>
      </c>
      <c r="O19" s="19">
        <f>N19/(2*197)/N81</f>
        <v>1.1900546622120987</v>
      </c>
      <c r="P19" s="19">
        <f>1+(LN(O19)/LN(197*2))</f>
        <v>1.0291146292012046</v>
      </c>
    </row>
    <row r="20" spans="1:16" ht="23.25">
      <c r="A20" s="17" t="s">
        <v>24</v>
      </c>
      <c r="B20" s="17"/>
      <c r="C20" s="17"/>
      <c r="D20" s="17">
        <v>23</v>
      </c>
      <c r="E20" s="17"/>
      <c r="F20" s="17"/>
      <c r="G20" s="19">
        <v>0.013</v>
      </c>
      <c r="H20" s="17"/>
      <c r="I20" s="18"/>
      <c r="J20" s="17"/>
      <c r="K20" s="17"/>
      <c r="L20" s="18"/>
      <c r="M20" s="17"/>
      <c r="N20" s="27">
        <f>SQRT((D20/D19)^2+(G20/G19)^2)*N19</f>
        <v>947.4743818115194</v>
      </c>
      <c r="O20" s="19">
        <f>SQRT((N20/N19)^2+(N82/N81)^2)*O19</f>
        <v>0.12610295170588134</v>
      </c>
      <c r="P20" s="19">
        <f>O20/O19/LN(197*2)</f>
        <v>0.017730551831812272</v>
      </c>
    </row>
    <row r="21" spans="1:18" ht="23.25">
      <c r="A21" s="17" t="s">
        <v>31</v>
      </c>
      <c r="B21" s="17"/>
      <c r="C21" s="17"/>
      <c r="D21" s="17"/>
      <c r="E21" s="17"/>
      <c r="F21" s="17"/>
      <c r="G21" s="17"/>
      <c r="H21" s="17"/>
      <c r="I21" s="18"/>
      <c r="J21" s="17"/>
      <c r="K21" s="14">
        <v>0.114</v>
      </c>
      <c r="L21" s="14">
        <v>0.151</v>
      </c>
      <c r="M21" s="27">
        <f>SQRT((K21*N19)^2+N20^2)</f>
        <v>2126.0344222170343</v>
      </c>
      <c r="N21" s="27">
        <f>SQRT((L21*N19)^2+N20^2)</f>
        <v>2693.125401833475</v>
      </c>
      <c r="O21" s="19">
        <f>SQRT((Q21*O19)^2+O20^2)</f>
        <v>0.14731881385164594</v>
      </c>
      <c r="P21" s="19">
        <f>SQRT((R21*P19)^2+P20^2)</f>
        <v>0.02103617777983751</v>
      </c>
      <c r="Q21" s="14">
        <v>0.064</v>
      </c>
      <c r="R21" s="14">
        <v>0.011</v>
      </c>
    </row>
    <row r="22" spans="1:18" ht="23.25">
      <c r="A22" s="17" t="s">
        <v>32</v>
      </c>
      <c r="B22" s="17"/>
      <c r="C22" s="17"/>
      <c r="D22" s="17"/>
      <c r="E22" s="17"/>
      <c r="F22" s="17"/>
      <c r="G22" s="17"/>
      <c r="H22" s="17"/>
      <c r="I22" s="18"/>
      <c r="J22" s="17"/>
      <c r="K22" s="14">
        <v>0.115</v>
      </c>
      <c r="L22" s="14">
        <v>0.152</v>
      </c>
      <c r="M22" s="27">
        <f>SQRT((K22*N19)^2+N20^2)</f>
        <v>2140.9928700972414</v>
      </c>
      <c r="N22" s="27">
        <f>SQRT((L22*N19)^2+N20^2)</f>
        <v>2708.759533683754</v>
      </c>
      <c r="O22" s="19">
        <f>SQRT((Q22*O19)^2+O20^2)</f>
        <v>0.14731881385164594</v>
      </c>
      <c r="P22" s="19">
        <f>SQRT((R22*P19)^2+P20^2)</f>
        <v>0.02103617777983751</v>
      </c>
      <c r="Q22" s="14">
        <v>0.064</v>
      </c>
      <c r="R22" s="14">
        <v>0.011</v>
      </c>
    </row>
    <row r="23" spans="1:16" ht="22.5">
      <c r="A23" s="14" t="s">
        <v>18</v>
      </c>
      <c r="B23" s="14">
        <v>-1.45</v>
      </c>
      <c r="C23" s="14">
        <v>0.5</v>
      </c>
      <c r="D23" s="14">
        <v>147</v>
      </c>
      <c r="E23" s="14">
        <v>0.128</v>
      </c>
      <c r="F23" s="14">
        <f>F19</f>
        <v>0.459</v>
      </c>
      <c r="G23" s="14">
        <v>0.496</v>
      </c>
      <c r="H23" s="14">
        <v>0.99</v>
      </c>
      <c r="I23" s="15">
        <f>I7</f>
        <v>1184000000</v>
      </c>
      <c r="J23" s="14">
        <f>$J$3</f>
        <v>0.88</v>
      </c>
      <c r="K23" s="14">
        <f>$K$3</f>
        <v>2180</v>
      </c>
      <c r="L23" s="15">
        <f>I23/J23/(K23*1000000)</f>
        <v>0.6171809841534612</v>
      </c>
      <c r="M23" s="14">
        <f>$M$3</f>
        <v>0.92</v>
      </c>
      <c r="N23" s="28">
        <f>(D23/E23/F23/G23/H23/M23)/(I23/(K23*1E-27*J23))/C23*1E+33</f>
        <v>17947.643737638027</v>
      </c>
      <c r="O23" s="7">
        <f>N23/(2*197)/N81</f>
        <v>1.2793404006557236</v>
      </c>
      <c r="P23" s="7">
        <f>1+(LN(O23)/LN(197*2))</f>
        <v>1.0412199077436528</v>
      </c>
    </row>
    <row r="24" spans="1:16" ht="22.5">
      <c r="A24" s="14"/>
      <c r="B24" s="14"/>
      <c r="C24" s="14"/>
      <c r="D24" s="14">
        <v>14</v>
      </c>
      <c r="E24" s="14"/>
      <c r="F24" s="14"/>
      <c r="G24" s="14">
        <v>0.012</v>
      </c>
      <c r="H24" s="14"/>
      <c r="I24" s="15"/>
      <c r="J24" s="14"/>
      <c r="K24" s="14"/>
      <c r="L24" s="15"/>
      <c r="M24" s="14"/>
      <c r="N24" s="28">
        <f>SQRT((D24/D23)^2+(G24/G23)^2)*N23</f>
        <v>1763.5898096652913</v>
      </c>
      <c r="O24" s="7"/>
      <c r="P24" s="7"/>
    </row>
    <row r="25" spans="1:16" ht="22.5">
      <c r="A25" s="14" t="s">
        <v>19</v>
      </c>
      <c r="B25" s="14">
        <v>-1.45</v>
      </c>
      <c r="C25" s="14">
        <v>0.5</v>
      </c>
      <c r="D25" s="14">
        <v>266</v>
      </c>
      <c r="E25" s="14">
        <v>0.128</v>
      </c>
      <c r="F25" s="14">
        <f>F19</f>
        <v>0.459</v>
      </c>
      <c r="G25" s="14">
        <v>0.807</v>
      </c>
      <c r="H25" s="14">
        <v>0.99</v>
      </c>
      <c r="I25" s="15">
        <f>I9</f>
        <v>1566000000</v>
      </c>
      <c r="J25" s="14">
        <f>$J$3</f>
        <v>0.88</v>
      </c>
      <c r="K25" s="14">
        <f>$K$3</f>
        <v>2180</v>
      </c>
      <c r="L25" s="15">
        <f>I25/J25/(K25*1000000)</f>
        <v>0.8163052543786489</v>
      </c>
      <c r="M25" s="14">
        <f>$M$3</f>
        <v>0.92</v>
      </c>
      <c r="N25" s="28">
        <f>(D25/E25/F25/G25/H25/M25)/(I25/(K25*1E-27*J25))/C25*1E+33</f>
        <v>15091.757857877616</v>
      </c>
      <c r="O25" s="7">
        <f>N25/(2*197)/N81</f>
        <v>1.0757677067105216</v>
      </c>
      <c r="P25" s="7">
        <f>1+(LN(O25)/LN(197*2))</f>
        <v>1.012220593064988</v>
      </c>
    </row>
    <row r="26" spans="1:16" ht="22.5">
      <c r="A26" s="14"/>
      <c r="B26" s="14"/>
      <c r="C26" s="14"/>
      <c r="D26" s="14">
        <v>14</v>
      </c>
      <c r="E26" s="14"/>
      <c r="F26" s="14"/>
      <c r="G26" s="14">
        <v>0.015</v>
      </c>
      <c r="H26" s="14"/>
      <c r="I26" s="15"/>
      <c r="J26" s="14"/>
      <c r="K26" s="14"/>
      <c r="L26" s="15"/>
      <c r="M26" s="14"/>
      <c r="N26" s="28">
        <f>SQRT((D26/D25)^2+(G26/G25)^2)*N25</f>
        <v>842.3814593829308</v>
      </c>
      <c r="O26" s="7"/>
      <c r="P26" s="7"/>
    </row>
    <row r="27" spans="1:16" s="11" customFormat="1" ht="23.25">
      <c r="A27" s="20" t="s">
        <v>17</v>
      </c>
      <c r="B27" s="20">
        <v>1.8</v>
      </c>
      <c r="C27" s="20">
        <v>1.2</v>
      </c>
      <c r="D27" s="20">
        <v>784</v>
      </c>
      <c r="E27" s="20">
        <v>0.127</v>
      </c>
      <c r="F27" s="20">
        <v>0.672</v>
      </c>
      <c r="G27" s="22">
        <f>(I31*G31+I33*G33)/(I31+I33)</f>
        <v>0.7495667892156863</v>
      </c>
      <c r="H27" s="20">
        <v>0.93</v>
      </c>
      <c r="I27" s="21">
        <f>I31+I33</f>
        <v>3264000000</v>
      </c>
      <c r="J27" s="20">
        <f>$J$3</f>
        <v>0.88</v>
      </c>
      <c r="K27" s="20">
        <f>$K$3</f>
        <v>2180</v>
      </c>
      <c r="L27" s="21">
        <f>I27/J27/(K27*1000000)</f>
        <v>1.701417848206839</v>
      </c>
      <c r="M27" s="20">
        <f>$M$3</f>
        <v>0.92</v>
      </c>
      <c r="N27" s="29">
        <f>(D27/E27/F27/G27/H27/M27)/(I27/(K27*1E-27*J27))/C27*1E+33</f>
        <v>7015.6792650289835</v>
      </c>
      <c r="O27" s="22">
        <f>N27/(2*197)/N79</f>
        <v>0.6683802089879564</v>
      </c>
      <c r="P27" s="22">
        <f>1+(LN(O27)/LN(197*2))</f>
        <v>0.9325845991396314</v>
      </c>
    </row>
    <row r="28" spans="1:16" s="11" customFormat="1" ht="23.25">
      <c r="A28" s="20" t="s">
        <v>24</v>
      </c>
      <c r="B28" s="20"/>
      <c r="C28" s="20"/>
      <c r="D28" s="20">
        <v>31</v>
      </c>
      <c r="E28" s="20"/>
      <c r="F28" s="20"/>
      <c r="G28" s="22">
        <f>(I31*G32+I33*G34)/(I31+I33)</f>
        <v>0.00852420343137255</v>
      </c>
      <c r="H28" s="20"/>
      <c r="I28" s="21"/>
      <c r="J28" s="20"/>
      <c r="K28" s="33" t="s">
        <v>35</v>
      </c>
      <c r="L28" s="34" t="s">
        <v>36</v>
      </c>
      <c r="M28" s="20"/>
      <c r="N28" s="29">
        <f>SQRT((D28/D27)^2+(G28/G27)^2)*N27</f>
        <v>288.65086927284244</v>
      </c>
      <c r="O28" s="22">
        <f>SQRT((N28/N27)^2+(N80/N79)^2)*O27</f>
        <v>0.05880500522834885</v>
      </c>
      <c r="P28" s="22">
        <f>O28/O27/LN(197*2)</f>
        <v>0.014721586714216979</v>
      </c>
    </row>
    <row r="29" spans="1:18" s="11" customFormat="1" ht="23.25">
      <c r="A29" s="20" t="s">
        <v>31</v>
      </c>
      <c r="B29" s="20"/>
      <c r="C29" s="20"/>
      <c r="D29" s="20"/>
      <c r="E29" s="20"/>
      <c r="F29" s="20"/>
      <c r="G29" s="20"/>
      <c r="H29" s="20"/>
      <c r="I29" s="21"/>
      <c r="J29" s="20"/>
      <c r="K29" s="8">
        <v>0.129</v>
      </c>
      <c r="L29" s="8">
        <v>0.183</v>
      </c>
      <c r="M29" s="29">
        <f>SQRT((K29*N27)^2+N28^2)</f>
        <v>949.9396172575834</v>
      </c>
      <c r="N29" s="29">
        <f>SQRT((L29*N27)^2+N28^2)</f>
        <v>1315.9178233984828</v>
      </c>
      <c r="O29" s="22">
        <f>SQRT((Q29*O27)^2+O28^2)</f>
        <v>0.0915600900170753</v>
      </c>
      <c r="P29" s="22">
        <f>SQRT((R29*P27)^2+P28^2)</f>
        <v>0.034958754830897734</v>
      </c>
      <c r="Q29" s="8">
        <v>0.105</v>
      </c>
      <c r="R29" s="8">
        <v>0.034</v>
      </c>
    </row>
    <row r="30" spans="1:18" s="11" customFormat="1" ht="23.25">
      <c r="A30" s="20" t="s">
        <v>32</v>
      </c>
      <c r="B30" s="20"/>
      <c r="C30" s="20"/>
      <c r="D30" s="20"/>
      <c r="E30" s="20"/>
      <c r="F30" s="20"/>
      <c r="G30" s="20"/>
      <c r="H30" s="20"/>
      <c r="I30" s="21"/>
      <c r="J30" s="20"/>
      <c r="K30" s="8">
        <v>0.13</v>
      </c>
      <c r="L30" s="8">
        <v>0.171</v>
      </c>
      <c r="M30" s="29">
        <f>SQRT((K30*N27)^2+N28^2)</f>
        <v>956.6259421126271</v>
      </c>
      <c r="N30" s="29">
        <f>SQRT((L30*N27)^2+N28^2)</f>
        <v>1233.9182292042005</v>
      </c>
      <c r="O30" s="22">
        <f>SQRT((Q30*O27)^2+O28^2)</f>
        <v>0.09784346891014058</v>
      </c>
      <c r="P30" s="22">
        <f>SQRT((R30*P27)^2+P28^2)</f>
        <v>0.035806770417212065</v>
      </c>
      <c r="Q30" s="8">
        <v>0.117</v>
      </c>
      <c r="R30" s="8">
        <v>0.035</v>
      </c>
    </row>
    <row r="31" spans="1:16" s="11" customFormat="1" ht="22.5">
      <c r="A31" s="11" t="s">
        <v>18</v>
      </c>
      <c r="B31" s="11">
        <v>1.8</v>
      </c>
      <c r="C31" s="11">
        <v>1.2</v>
      </c>
      <c r="D31" s="11">
        <v>326</v>
      </c>
      <c r="E31" s="11">
        <v>0.127</v>
      </c>
      <c r="F31" s="11">
        <f>F27</f>
        <v>0.672</v>
      </c>
      <c r="G31" s="11">
        <v>0.629</v>
      </c>
      <c r="H31" s="11">
        <v>0.93</v>
      </c>
      <c r="I31" s="12">
        <v>1553000000</v>
      </c>
      <c r="J31" s="11">
        <f>$J$3</f>
        <v>0.88</v>
      </c>
      <c r="K31" s="11">
        <f>$K$3</f>
        <v>2180</v>
      </c>
      <c r="L31" s="12">
        <f>I31/J31/(K31*1000000)</f>
        <v>0.8095287739783152</v>
      </c>
      <c r="M31" s="11">
        <f>$M$3</f>
        <v>0.92</v>
      </c>
      <c r="N31" s="30">
        <f>(D31/E31/F31/G31/H31/M31)/(I31/(K31*1E-27*J31))/C31*1E+33</f>
        <v>7306.504375284937</v>
      </c>
      <c r="O31" s="8">
        <f>N31/(2*197)/N79</f>
        <v>0.6960869698914591</v>
      </c>
      <c r="P31" s="8">
        <f>1+(LN(O31)/LN(197*2))</f>
        <v>0.9393809575087154</v>
      </c>
    </row>
    <row r="32" spans="4:16" s="11" customFormat="1" ht="22.5">
      <c r="D32" s="11">
        <v>21</v>
      </c>
      <c r="G32" s="11">
        <v>0.008</v>
      </c>
      <c r="I32" s="12"/>
      <c r="L32" s="12"/>
      <c r="N32" s="30">
        <f>SQRT((D32/D31)^2+(G32/G31)^2)*N31</f>
        <v>479.7506422905298</v>
      </c>
      <c r="O32" s="8"/>
      <c r="P32" s="8"/>
    </row>
    <row r="33" spans="1:16" s="11" customFormat="1" ht="22.5">
      <c r="A33" s="11" t="s">
        <v>19</v>
      </c>
      <c r="B33" s="11">
        <v>1.8</v>
      </c>
      <c r="C33" s="11">
        <v>1.2</v>
      </c>
      <c r="D33" s="11">
        <v>455</v>
      </c>
      <c r="E33" s="11">
        <v>0.127</v>
      </c>
      <c r="F33" s="11">
        <f>F27</f>
        <v>0.672</v>
      </c>
      <c r="G33" s="11">
        <v>0.859</v>
      </c>
      <c r="H33" s="11">
        <v>0.93</v>
      </c>
      <c r="I33" s="12">
        <v>1711000000</v>
      </c>
      <c r="J33" s="11">
        <f>$J$3</f>
        <v>0.88</v>
      </c>
      <c r="K33" s="11">
        <f>$K$3</f>
        <v>2180</v>
      </c>
      <c r="L33" s="12">
        <f>I33/J33/(K33*1000000)</f>
        <v>0.8918890742285237</v>
      </c>
      <c r="M33" s="11">
        <f>$M$3</f>
        <v>0.92</v>
      </c>
      <c r="N33" s="30">
        <f>(D33/E33/F33/G33/H33/M33)/(I33/(K33*1E-27*J33))/C33*1E+33</f>
        <v>6777.700487647424</v>
      </c>
      <c r="O33" s="8">
        <f>N33/(2*197)/N79</f>
        <v>0.6457080914420685</v>
      </c>
      <c r="P33" s="8">
        <f>1+(LN(O33)/LN(197*2))</f>
        <v>0.9268102300559153</v>
      </c>
    </row>
    <row r="34" spans="4:16" s="11" customFormat="1" ht="22.5">
      <c r="D34" s="11">
        <v>24</v>
      </c>
      <c r="G34" s="11">
        <v>0.009</v>
      </c>
      <c r="I34" s="12"/>
      <c r="L34" s="12"/>
      <c r="N34" s="30">
        <f>SQRT((D34/D33)^2+(G34/G33)^2)*N33</f>
        <v>364.48948715942856</v>
      </c>
      <c r="O34" s="8"/>
      <c r="P34" s="8"/>
    </row>
    <row r="35" spans="1:16" s="11" customFormat="1" ht="23.25">
      <c r="A35" s="20" t="s">
        <v>17</v>
      </c>
      <c r="B35" s="20">
        <v>1.5</v>
      </c>
      <c r="C35" s="20">
        <v>0.6</v>
      </c>
      <c r="D35" s="20">
        <v>583</v>
      </c>
      <c r="E35" s="20">
        <v>0.127</v>
      </c>
      <c r="F35" s="20">
        <v>0.648</v>
      </c>
      <c r="G35" s="22">
        <f>(I39*G39+I41*G41)/(I39+I41)</f>
        <v>0.744905637254902</v>
      </c>
      <c r="H35" s="20">
        <v>0.93</v>
      </c>
      <c r="I35" s="21">
        <f>I27</f>
        <v>3264000000</v>
      </c>
      <c r="J35" s="20">
        <f>$J$3</f>
        <v>0.88</v>
      </c>
      <c r="K35" s="20">
        <f>$K$3</f>
        <v>2180</v>
      </c>
      <c r="L35" s="21">
        <f>I35/J35/(K35*1000000)</f>
        <v>1.701417848206839</v>
      </c>
      <c r="M35" s="20">
        <f>$M$3</f>
        <v>0.92</v>
      </c>
      <c r="N35" s="29">
        <f>(D35/E35/F35/G35/H35/M35)/(I35/(K35*1E-27*J35))/C35*1E+33</f>
        <v>10888.186632038327</v>
      </c>
      <c r="O35" s="22">
        <f>N35/(2*197)/N81</f>
        <v>0.7761295717629062</v>
      </c>
      <c r="P35" s="22">
        <f>1+(LN(O35)/LN(197*2))</f>
        <v>0.9575935545514992</v>
      </c>
    </row>
    <row r="36" spans="1:16" s="11" customFormat="1" ht="23.25">
      <c r="A36" s="20" t="s">
        <v>24</v>
      </c>
      <c r="B36" s="20"/>
      <c r="C36" s="20"/>
      <c r="D36" s="20">
        <v>27</v>
      </c>
      <c r="E36" s="20"/>
      <c r="F36" s="20"/>
      <c r="G36" s="22">
        <f>(I39*G40+I41*G42)/(I39+I41)</f>
        <v>0.011048406862745098</v>
      </c>
      <c r="H36" s="20"/>
      <c r="I36" s="21"/>
      <c r="J36" s="20"/>
      <c r="K36" s="20"/>
      <c r="L36" s="21"/>
      <c r="M36" s="20"/>
      <c r="N36" s="29">
        <f>SQRT((D36/D35)^2+(G36/G35)^2)*N35</f>
        <v>529.4844392745365</v>
      </c>
      <c r="O36" s="22">
        <f>SQRT((N36/N35)^2+(N82/N81)^2)*O35</f>
        <v>0.07904495076297277</v>
      </c>
      <c r="P36" s="22">
        <f>O36/O35/LN(197*2)</f>
        <v>0.017041342791199798</v>
      </c>
    </row>
    <row r="37" spans="1:18" s="11" customFormat="1" ht="23.25">
      <c r="A37" s="20" t="s">
        <v>31</v>
      </c>
      <c r="B37" s="20"/>
      <c r="C37" s="20"/>
      <c r="D37" s="20"/>
      <c r="E37" s="20"/>
      <c r="F37" s="20"/>
      <c r="G37" s="20"/>
      <c r="H37" s="20"/>
      <c r="I37" s="21"/>
      <c r="J37" s="20"/>
      <c r="K37" s="8">
        <v>0.129</v>
      </c>
      <c r="L37" s="8">
        <v>0.183</v>
      </c>
      <c r="M37" s="29">
        <f>SQRT((K37*N35)^2+N36^2)</f>
        <v>1501.0621983760025</v>
      </c>
      <c r="N37" s="29">
        <f>SQRT((L37*N35)^2+N36^2)</f>
        <v>2061.6891291454886</v>
      </c>
      <c r="O37" s="22">
        <f>SQRT((Q37*O35)^2+O36^2)</f>
        <v>0.09135085641944858</v>
      </c>
      <c r="P37" s="22">
        <f>SQRT((R37*P35)^2+P36^2)</f>
        <v>0.019547529401411187</v>
      </c>
      <c r="Q37" s="8">
        <v>0.059</v>
      </c>
      <c r="R37" s="8">
        <v>0.01</v>
      </c>
    </row>
    <row r="38" spans="1:18" s="11" customFormat="1" ht="23.25">
      <c r="A38" s="20" t="s">
        <v>32</v>
      </c>
      <c r="B38" s="20"/>
      <c r="C38" s="20"/>
      <c r="D38" s="20"/>
      <c r="E38" s="20"/>
      <c r="F38" s="20"/>
      <c r="G38" s="20"/>
      <c r="H38" s="20"/>
      <c r="I38" s="21"/>
      <c r="J38" s="20"/>
      <c r="K38" s="8">
        <v>0.13</v>
      </c>
      <c r="L38" s="8">
        <v>0.171</v>
      </c>
      <c r="M38" s="29">
        <f>SQRT((K38*N35)^2+N36^2)</f>
        <v>1511.255388377533</v>
      </c>
      <c r="N38" s="29">
        <f>SQRT((L38*N35)^2+N36^2)</f>
        <v>1935.7041576343825</v>
      </c>
      <c r="O38" s="22">
        <f>SQRT((Q38*O35)^2+O36^2)</f>
        <v>0.09135085641944858</v>
      </c>
      <c r="P38" s="22">
        <f>SQRT((R38*P35)^2+P36^2)</f>
        <v>0.019547529401411187</v>
      </c>
      <c r="Q38" s="8">
        <v>0.059</v>
      </c>
      <c r="R38" s="8">
        <v>0.01</v>
      </c>
    </row>
    <row r="39" spans="1:16" s="11" customFormat="1" ht="22.5">
      <c r="A39" s="11" t="s">
        <v>18</v>
      </c>
      <c r="B39" s="11">
        <v>1.5</v>
      </c>
      <c r="C39" s="11">
        <v>0.6</v>
      </c>
      <c r="D39" s="11">
        <v>250</v>
      </c>
      <c r="E39" s="11">
        <v>0.127</v>
      </c>
      <c r="F39" s="11">
        <f>F35</f>
        <v>0.648</v>
      </c>
      <c r="G39" s="11">
        <v>0.617</v>
      </c>
      <c r="H39" s="11">
        <v>0.93</v>
      </c>
      <c r="I39" s="12">
        <f>I31</f>
        <v>1553000000</v>
      </c>
      <c r="J39" s="11">
        <f>$J$3</f>
        <v>0.88</v>
      </c>
      <c r="K39" s="11">
        <f>$K$3</f>
        <v>2180</v>
      </c>
      <c r="L39" s="12">
        <f>I39/J39/(K39*1000000)</f>
        <v>0.8095287739783152</v>
      </c>
      <c r="M39" s="11">
        <f>$M$3</f>
        <v>0.92</v>
      </c>
      <c r="N39" s="30">
        <f>(D39/E39/F39/G39/H39/M39)/(I39/(K39*1E-27*J39))/C39*1E+33</f>
        <v>11847.365897900609</v>
      </c>
      <c r="O39" s="8">
        <f>N39/(2*197)/N81</f>
        <v>0.8445015989898299</v>
      </c>
      <c r="P39" s="8">
        <f>1+(LN(O39)/LN(197*2))</f>
        <v>0.9717204274171531</v>
      </c>
    </row>
    <row r="40" spans="4:16" s="11" customFormat="1" ht="22.5">
      <c r="D40" s="11">
        <v>17</v>
      </c>
      <c r="G40" s="11">
        <v>0.01</v>
      </c>
      <c r="I40" s="12"/>
      <c r="L40" s="12"/>
      <c r="N40" s="30">
        <f>SQRT((D40/D39)^2+(G40/G39)^2)*N39</f>
        <v>828.1877900955989</v>
      </c>
      <c r="O40" s="8"/>
      <c r="P40" s="8"/>
    </row>
    <row r="41" spans="1:16" s="11" customFormat="1" ht="22.5">
      <c r="A41" s="11" t="s">
        <v>19</v>
      </c>
      <c r="B41" s="11">
        <v>1.5</v>
      </c>
      <c r="C41" s="11">
        <v>0.6</v>
      </c>
      <c r="D41" s="11">
        <v>342</v>
      </c>
      <c r="E41" s="11">
        <v>0.127</v>
      </c>
      <c r="F41" s="11">
        <f>F35</f>
        <v>0.648</v>
      </c>
      <c r="G41" s="11">
        <v>0.861</v>
      </c>
      <c r="H41" s="11">
        <v>0.93</v>
      </c>
      <c r="I41" s="12">
        <f>I33</f>
        <v>1711000000</v>
      </c>
      <c r="J41" s="11">
        <f>$J$3</f>
        <v>0.88</v>
      </c>
      <c r="K41" s="11">
        <f>$K$3</f>
        <v>2180</v>
      </c>
      <c r="L41" s="12">
        <f>I41/J41/(K41*1000000)</f>
        <v>0.8918890742285237</v>
      </c>
      <c r="M41" s="11">
        <f>$M$3</f>
        <v>0.92</v>
      </c>
      <c r="N41" s="30">
        <f>(D41/E41/F41/G41/H41/M41)/(I41/(K41*1E-27*J41))/C41*1E+33</f>
        <v>10541.717112137334</v>
      </c>
      <c r="O41" s="8">
        <f>N41/(2*197)/N81</f>
        <v>0.7514325997879395</v>
      </c>
      <c r="P41" s="8">
        <f>1+(LN(O41)/LN(197*2))</f>
        <v>0.9521825666326017</v>
      </c>
    </row>
    <row r="42" spans="4:16" s="11" customFormat="1" ht="22.5">
      <c r="D42" s="11">
        <v>20</v>
      </c>
      <c r="G42" s="11">
        <v>0.012</v>
      </c>
      <c r="I42" s="12"/>
      <c r="L42" s="12"/>
      <c r="N42" s="30">
        <f>SQRT((D42/D41)^2+(G42/G41)^2)*N41</f>
        <v>633.7407764604459</v>
      </c>
      <c r="O42" s="8"/>
      <c r="P42" s="8"/>
    </row>
    <row r="43" spans="1:16" s="11" customFormat="1" ht="23.25">
      <c r="A43" s="20" t="s">
        <v>17</v>
      </c>
      <c r="B43" s="20">
        <v>2.1</v>
      </c>
      <c r="C43" s="20">
        <v>0.6</v>
      </c>
      <c r="D43" s="20">
        <v>225</v>
      </c>
      <c r="E43" s="20">
        <v>0.127</v>
      </c>
      <c r="F43" s="20">
        <v>0.705</v>
      </c>
      <c r="G43" s="22">
        <f>(I47*G47+I49*G49)/(I47+I49)</f>
        <v>0.7566553308823529</v>
      </c>
      <c r="H43" s="20">
        <v>0.93</v>
      </c>
      <c r="I43" s="21">
        <f>I27</f>
        <v>3264000000</v>
      </c>
      <c r="J43" s="20">
        <f>$J$3</f>
        <v>0.88</v>
      </c>
      <c r="K43" s="20">
        <f>$K$3</f>
        <v>2180</v>
      </c>
      <c r="L43" s="21">
        <f>I43/J43/(K43*1000000)</f>
        <v>1.701417848206839</v>
      </c>
      <c r="M43" s="20">
        <f>$M$3</f>
        <v>0.92</v>
      </c>
      <c r="N43" s="29">
        <f>(D43/E43/F43/G43/H43/M43)/(I43/(K43*1E-27*J43))/C43*1E+33</f>
        <v>3802.4067600151334</v>
      </c>
      <c r="O43" s="22">
        <f>N43/(2*197)/N83</f>
        <v>0.49614384710621307</v>
      </c>
      <c r="P43" s="22">
        <f>1+(LN(O43)/LN(197*2))</f>
        <v>0.8827228536922492</v>
      </c>
    </row>
    <row r="44" spans="1:16" s="11" customFormat="1" ht="23.25">
      <c r="A44" s="20" t="s">
        <v>24</v>
      </c>
      <c r="B44" s="20"/>
      <c r="C44" s="20"/>
      <c r="D44" s="20">
        <v>17</v>
      </c>
      <c r="E44" s="20"/>
      <c r="F44" s="20"/>
      <c r="G44" s="22">
        <f>(I47*G48+I49*G50)/(I47+I49)</f>
        <v>0.013048406862745098</v>
      </c>
      <c r="H44" s="20"/>
      <c r="I44" s="21"/>
      <c r="J44" s="20"/>
      <c r="K44" s="20"/>
      <c r="L44" s="21"/>
      <c r="M44" s="20"/>
      <c r="N44" s="29">
        <f>SQRT((D44/D43)^2+(G44/G43)^2)*N43</f>
        <v>294.681048125831</v>
      </c>
      <c r="O44" s="22">
        <f>SQRT((N44/N43)^2+(N84/N83)^2)*O43</f>
        <v>0.07522618761698205</v>
      </c>
      <c r="P44" s="22">
        <f>O44/O43/LN(197*2)</f>
        <v>0.025370285424719783</v>
      </c>
    </row>
    <row r="45" spans="1:18" s="11" customFormat="1" ht="23.25">
      <c r="A45" s="20" t="s">
        <v>31</v>
      </c>
      <c r="B45" s="20"/>
      <c r="C45" s="20"/>
      <c r="D45" s="20"/>
      <c r="E45" s="20"/>
      <c r="F45" s="20"/>
      <c r="G45" s="20"/>
      <c r="H45" s="20"/>
      <c r="I45" s="21"/>
      <c r="J45" s="20"/>
      <c r="K45" s="8">
        <v>0.129</v>
      </c>
      <c r="L45" s="8">
        <v>0.183</v>
      </c>
      <c r="M45" s="29">
        <f>SQRT((K45*N43)^2+N44^2)</f>
        <v>572.2214984665966</v>
      </c>
      <c r="N45" s="29">
        <f>SQRT((L45*N43)^2+N44^2)</f>
        <v>755.6658216461017</v>
      </c>
      <c r="O45" s="22">
        <f>SQRT((Q45*O43)^2+O44^2)</f>
        <v>0.08072086345757654</v>
      </c>
      <c r="P45" s="22">
        <f>SQRT((R45*P43)^2+P44^2)</f>
        <v>0.02686208007907816</v>
      </c>
      <c r="Q45" s="8">
        <v>0.059</v>
      </c>
      <c r="R45" s="8">
        <v>0.01</v>
      </c>
    </row>
    <row r="46" spans="1:18" s="11" customFormat="1" ht="23.25">
      <c r="A46" s="20" t="s">
        <v>32</v>
      </c>
      <c r="B46" s="20"/>
      <c r="C46" s="20"/>
      <c r="D46" s="20"/>
      <c r="E46" s="20"/>
      <c r="F46" s="20"/>
      <c r="G46" s="20"/>
      <c r="H46" s="20"/>
      <c r="I46" s="21"/>
      <c r="J46" s="20"/>
      <c r="K46" s="8">
        <v>0.13</v>
      </c>
      <c r="L46" s="8">
        <v>0.171</v>
      </c>
      <c r="M46" s="29">
        <f>SQRT((K46*N43)^2+N44^2)</f>
        <v>575.4842676164369</v>
      </c>
      <c r="N46" s="29">
        <f>SQRT((L46*N43)^2+N44^2)</f>
        <v>713.8711281679824</v>
      </c>
      <c r="O46" s="22">
        <f>SQRT((Q46*O43)^2+O44^2)</f>
        <v>0.08072086345757654</v>
      </c>
      <c r="P46" s="22">
        <f>SQRT((R46*P43)^2+P44^2)</f>
        <v>0.02686208007907816</v>
      </c>
      <c r="Q46" s="8">
        <v>0.059</v>
      </c>
      <c r="R46" s="8">
        <v>0.01</v>
      </c>
    </row>
    <row r="47" spans="1:16" s="11" customFormat="1" ht="22.5">
      <c r="A47" s="11" t="s">
        <v>18</v>
      </c>
      <c r="B47" s="11">
        <v>2.1</v>
      </c>
      <c r="C47" s="11">
        <v>0.6</v>
      </c>
      <c r="D47" s="11">
        <v>77</v>
      </c>
      <c r="E47" s="11">
        <v>0.127</v>
      </c>
      <c r="F47" s="11">
        <f>F43</f>
        <v>0.705</v>
      </c>
      <c r="G47" s="11">
        <v>0.645</v>
      </c>
      <c r="H47" s="11">
        <v>0.93</v>
      </c>
      <c r="I47" s="12">
        <f>I31</f>
        <v>1553000000</v>
      </c>
      <c r="J47" s="11">
        <f>$J$3</f>
        <v>0.88</v>
      </c>
      <c r="K47" s="11">
        <f>$K$3</f>
        <v>2180</v>
      </c>
      <c r="L47" s="12">
        <f>I47/J47/(K47*1000000)</f>
        <v>0.8095287739783152</v>
      </c>
      <c r="M47" s="11">
        <f>$M$3</f>
        <v>0.92</v>
      </c>
      <c r="N47" s="30">
        <f>(D47/E47/F47/G47/H47/M47)/(I47/(K47*1E-27*J47))/C47*1E+33</f>
        <v>3208.3656379156396</v>
      </c>
      <c r="O47" s="8">
        <f>N47/(2*197)/N83</f>
        <v>0.4186324533339798</v>
      </c>
      <c r="P47" s="8">
        <f>1+(LN(O47)/LN(197*2))</f>
        <v>0.8542987256069082</v>
      </c>
    </row>
    <row r="48" spans="4:16" s="11" customFormat="1" ht="22.5">
      <c r="D48" s="11">
        <v>10</v>
      </c>
      <c r="G48" s="11">
        <v>0.012</v>
      </c>
      <c r="I48" s="12"/>
      <c r="L48" s="12"/>
      <c r="N48" s="30">
        <f>SQRT((D48/D47)^2+(G48/G47)^2)*N47</f>
        <v>420.9246558362527</v>
      </c>
      <c r="O48" s="8"/>
      <c r="P48" s="8"/>
    </row>
    <row r="49" spans="1:16" s="11" customFormat="1" ht="22.5">
      <c r="A49" s="11" t="s">
        <v>19</v>
      </c>
      <c r="B49" s="11">
        <v>2.1</v>
      </c>
      <c r="C49" s="11">
        <v>0.6</v>
      </c>
      <c r="D49" s="11">
        <v>144</v>
      </c>
      <c r="E49" s="11">
        <v>0.127</v>
      </c>
      <c r="F49" s="11">
        <f>F43</f>
        <v>0.705</v>
      </c>
      <c r="G49" s="11">
        <v>0.858</v>
      </c>
      <c r="H49" s="11">
        <v>0.93</v>
      </c>
      <c r="I49" s="12">
        <f>I33</f>
        <v>1711000000</v>
      </c>
      <c r="J49" s="11">
        <f>$J$3</f>
        <v>0.88</v>
      </c>
      <c r="K49" s="11">
        <f>$K$3</f>
        <v>2180</v>
      </c>
      <c r="L49" s="12">
        <f>I49/J49/(K49*1000000)</f>
        <v>0.8918890742285237</v>
      </c>
      <c r="M49" s="11">
        <f>$M$3</f>
        <v>0.92</v>
      </c>
      <c r="N49" s="30">
        <f>(D49/E49/F49/G49/H49/M49)/(I49/(K49*1E-27*J49))/C49*1E+33</f>
        <v>4094.0156287245327</v>
      </c>
      <c r="O49" s="8">
        <f>N49/(2*197)/N83</f>
        <v>0.5341934181024512</v>
      </c>
      <c r="P49" s="8">
        <f>1+(LN(O49)/LN(197*2))</f>
        <v>0.8950869336599819</v>
      </c>
    </row>
    <row r="50" spans="4:16" s="11" customFormat="1" ht="22.5">
      <c r="D50" s="11">
        <v>13</v>
      </c>
      <c r="G50" s="11">
        <v>0.014</v>
      </c>
      <c r="I50" s="12"/>
      <c r="L50" s="12"/>
      <c r="N50" s="30">
        <f>SQRT((D50/D49)^2+(G50/G49)^2)*N49</f>
        <v>375.5871041946627</v>
      </c>
      <c r="O50" s="8"/>
      <c r="P50" s="8"/>
    </row>
    <row r="51" spans="1:16" ht="22.5">
      <c r="A51" s="1" t="s">
        <v>5</v>
      </c>
      <c r="B51" s="1">
        <v>-1.7</v>
      </c>
      <c r="C51" s="1">
        <v>1</v>
      </c>
      <c r="D51" s="1">
        <v>65</v>
      </c>
      <c r="E51" s="1">
        <v>0.1265</v>
      </c>
      <c r="F51" s="1">
        <v>0.468</v>
      </c>
      <c r="G51" s="1">
        <v>0.6</v>
      </c>
      <c r="H51" s="1">
        <v>0.99</v>
      </c>
      <c r="I51" s="16">
        <v>1450000000</v>
      </c>
      <c r="J51" s="1">
        <v>0.53</v>
      </c>
      <c r="K51" s="1">
        <v>42.1</v>
      </c>
      <c r="L51" s="16">
        <f>I51/J51/(K51*1000000)</f>
        <v>64.98453816160982</v>
      </c>
      <c r="M51" s="1">
        <v>0.74</v>
      </c>
      <c r="N51" s="3">
        <f>(D51/E51/F51/G51/H51/M51)/(I51/(K51*1E-27*J51))/C51*1E+33</f>
        <v>38.436937411692455</v>
      </c>
      <c r="O51" s="3">
        <f>N51/$N$51</f>
        <v>1</v>
      </c>
      <c r="P51" s="3"/>
    </row>
    <row r="52" spans="9:16" ht="22.5">
      <c r="I52" s="16"/>
      <c r="L52" s="16"/>
      <c r="N52" s="3"/>
      <c r="O52" s="3"/>
      <c r="P52" s="3"/>
    </row>
    <row r="53" spans="1:16" ht="22.5">
      <c r="A53" s="1" t="s">
        <v>5</v>
      </c>
      <c r="B53" s="1">
        <v>-1.45</v>
      </c>
      <c r="C53" s="1">
        <v>0.5</v>
      </c>
      <c r="D53" s="1">
        <v>36</v>
      </c>
      <c r="E53" s="1">
        <v>0.1265</v>
      </c>
      <c r="F53" s="1">
        <v>0.397</v>
      </c>
      <c r="G53" s="1">
        <v>0.6</v>
      </c>
      <c r="H53" s="1">
        <v>0.99</v>
      </c>
      <c r="I53" s="16">
        <v>1450000000</v>
      </c>
      <c r="J53" s="1">
        <v>0.53</v>
      </c>
      <c r="K53" s="1">
        <v>42.1</v>
      </c>
      <c r="L53" s="16">
        <f>I53/J53/(K53*1000000)</f>
        <v>64.98453816160982</v>
      </c>
      <c r="M53" s="1">
        <v>0.74</v>
      </c>
      <c r="N53" s="3">
        <f>(D53/E53/F53/G53/H53/M53)/(I53/(K53*1E-27*J53))/C53*1E+33</f>
        <v>50.19070114413443</v>
      </c>
      <c r="O53" s="3"/>
      <c r="P53" s="3"/>
    </row>
    <row r="54" spans="1:16" ht="22.5">
      <c r="A54" s="1" t="s">
        <v>5</v>
      </c>
      <c r="B54" s="1">
        <v>-1.95</v>
      </c>
      <c r="C54" s="1">
        <v>0.5</v>
      </c>
      <c r="D54" s="1">
        <v>29</v>
      </c>
      <c r="E54" s="1">
        <v>0.1265</v>
      </c>
      <c r="F54" s="1">
        <v>0.562</v>
      </c>
      <c r="G54" s="1">
        <v>0.6</v>
      </c>
      <c r="H54" s="1">
        <v>0.99</v>
      </c>
      <c r="I54" s="16">
        <v>1450000000</v>
      </c>
      <c r="J54" s="1">
        <v>0.53</v>
      </c>
      <c r="K54" s="1">
        <v>42.1</v>
      </c>
      <c r="L54" s="16">
        <f>I54/J54/(K54*1000000)</f>
        <v>64.98453816160982</v>
      </c>
      <c r="M54" s="1">
        <v>0.74</v>
      </c>
      <c r="N54" s="3">
        <f>(D54/E54/F54/G54/H54/M54)/(I54/(K54*1E-27*J54))/C54*1E+33</f>
        <v>28.560969863207774</v>
      </c>
      <c r="O54" s="3"/>
      <c r="P54" s="3"/>
    </row>
    <row r="55" spans="1:16" ht="23.25">
      <c r="A55" s="17" t="s">
        <v>6</v>
      </c>
      <c r="B55" s="17">
        <v>-1.7</v>
      </c>
      <c r="C55" s="17">
        <v>1</v>
      </c>
      <c r="D55" s="17">
        <v>118</v>
      </c>
      <c r="E55" s="17">
        <v>0.128</v>
      </c>
      <c r="F55" s="17">
        <v>0.327</v>
      </c>
      <c r="G55" s="17">
        <v>0.656</v>
      </c>
      <c r="H55" s="17">
        <v>0.99</v>
      </c>
      <c r="I55" s="18">
        <v>4531000000</v>
      </c>
      <c r="J55" s="17">
        <v>0.516</v>
      </c>
      <c r="K55" s="17">
        <v>42.2</v>
      </c>
      <c r="L55" s="18">
        <f>I55/J55/(K55*1000000)</f>
        <v>208.08075241559206</v>
      </c>
      <c r="M55" s="17">
        <v>0.74</v>
      </c>
      <c r="N55" s="19">
        <f>(D55/E55/F55/G55/H55/M55)/(I55/(K55*1E-27*J55))/C55*1E+33</f>
        <v>28.19172313925868</v>
      </c>
      <c r="O55" s="19">
        <f>N55/$N$51</f>
        <v>0.7334539387803255</v>
      </c>
      <c r="P55" s="3"/>
    </row>
    <row r="56" spans="1:16" ht="23.25">
      <c r="A56" s="17" t="s">
        <v>24</v>
      </c>
      <c r="B56" s="17"/>
      <c r="C56" s="17"/>
      <c r="D56" s="17">
        <v>12</v>
      </c>
      <c r="E56" s="17"/>
      <c r="F56" s="17"/>
      <c r="G56" s="17">
        <v>0.012</v>
      </c>
      <c r="H56" s="17"/>
      <c r="I56" s="18"/>
      <c r="J56" s="17"/>
      <c r="K56" s="17"/>
      <c r="L56" s="18"/>
      <c r="M56" s="17"/>
      <c r="N56" s="19">
        <f>SQRT((D56/D55)^2+(G56/G55)^2)*N55</f>
        <v>2.912967419353698</v>
      </c>
      <c r="O56" s="19">
        <f>SQRT((N56/N55)^2+(0.15/0.654)^2)*O55</f>
        <v>0.1845062791907599</v>
      </c>
      <c r="P56" s="3"/>
    </row>
    <row r="57" spans="1:16" ht="23.25">
      <c r="A57" s="17" t="s">
        <v>31</v>
      </c>
      <c r="B57" s="17"/>
      <c r="C57" s="17"/>
      <c r="D57" s="17"/>
      <c r="E57" s="17"/>
      <c r="F57" s="17"/>
      <c r="G57" s="17"/>
      <c r="H57" s="17"/>
      <c r="I57" s="18"/>
      <c r="J57" s="17"/>
      <c r="K57" s="17"/>
      <c r="L57" s="7">
        <v>0.087</v>
      </c>
      <c r="M57" s="14">
        <v>0.131</v>
      </c>
      <c r="N57" s="19">
        <f>SQRT((L57*N55)^2+N56^2)</f>
        <v>3.8080202129737213</v>
      </c>
      <c r="O57" s="19">
        <f>SQRT((M57*N55)^2+N56^2)</f>
        <v>4.703666972753261</v>
      </c>
      <c r="P57" s="3"/>
    </row>
    <row r="58" spans="1:16" ht="23.25">
      <c r="A58" s="17" t="s">
        <v>32</v>
      </c>
      <c r="B58" s="17"/>
      <c r="C58" s="17"/>
      <c r="D58" s="17"/>
      <c r="E58" s="17"/>
      <c r="F58" s="17"/>
      <c r="G58" s="17"/>
      <c r="H58" s="17"/>
      <c r="I58" s="18"/>
      <c r="J58" s="17"/>
      <c r="K58" s="17"/>
      <c r="L58" s="7">
        <v>0.088</v>
      </c>
      <c r="M58" s="14">
        <v>0.133</v>
      </c>
      <c r="N58" s="19">
        <f>SQRT((L58*N55)^2+N56^2)</f>
        <v>3.826238787868516</v>
      </c>
      <c r="O58" s="19">
        <f>SQRT((M58*N55)^2+N56^2)</f>
        <v>4.748065213163129</v>
      </c>
      <c r="P58" s="3"/>
    </row>
    <row r="59" spans="1:16" ht="22.5">
      <c r="A59" s="14" t="s">
        <v>6</v>
      </c>
      <c r="B59" s="14">
        <v>-1.95</v>
      </c>
      <c r="C59" s="14">
        <v>0.5</v>
      </c>
      <c r="D59" s="14">
        <v>57</v>
      </c>
      <c r="E59" s="14">
        <v>0.128</v>
      </c>
      <c r="F59" s="14">
        <v>0.374</v>
      </c>
      <c r="G59" s="14">
        <v>0.659</v>
      </c>
      <c r="H59" s="14">
        <v>0.99</v>
      </c>
      <c r="I59" s="15">
        <f>I55</f>
        <v>4531000000</v>
      </c>
      <c r="J59" s="14">
        <f>J55</f>
        <v>0.516</v>
      </c>
      <c r="K59" s="14">
        <f>K55</f>
        <v>42.2</v>
      </c>
      <c r="L59" s="15">
        <f>I59/J59/(K59*1000000)</f>
        <v>208.08075241559206</v>
      </c>
      <c r="M59" s="14">
        <v>0.74</v>
      </c>
      <c r="N59" s="7">
        <f>(D59/E59/F59/G59/H59/M59)/(I59/(K59*1E-27*J59))/C59*1E+33</f>
        <v>23.70494985596208</v>
      </c>
      <c r="O59" s="7">
        <f>N59/$N$51</f>
        <v>0.6167231692281256</v>
      </c>
      <c r="P59" s="3"/>
    </row>
    <row r="60" spans="1:16" ht="22.5">
      <c r="A60" s="14" t="s">
        <v>24</v>
      </c>
      <c r="B60" s="14"/>
      <c r="C60" s="14"/>
      <c r="D60" s="14">
        <v>8</v>
      </c>
      <c r="E60" s="14"/>
      <c r="F60" s="14"/>
      <c r="G60" s="14">
        <v>0.017</v>
      </c>
      <c r="H60" s="14"/>
      <c r="I60" s="15"/>
      <c r="J60" s="14"/>
      <c r="K60" s="14"/>
      <c r="L60" s="15"/>
      <c r="M60" s="14"/>
      <c r="N60" s="7">
        <f>SQRT((D60/D59)^2+(G60/G59)^2)*N59</f>
        <v>3.382741733969189</v>
      </c>
      <c r="O60" s="7">
        <f>SQRT((N60/N59)^2+(0.15/0.654)^2)*O59</f>
        <v>0.16659385342329322</v>
      </c>
      <c r="P60" s="3"/>
    </row>
    <row r="61" spans="1:16" ht="22.5">
      <c r="A61" s="14" t="s">
        <v>31</v>
      </c>
      <c r="B61" s="14"/>
      <c r="C61" s="14"/>
      <c r="D61" s="14"/>
      <c r="E61" s="14"/>
      <c r="F61" s="14"/>
      <c r="G61" s="14"/>
      <c r="H61" s="14"/>
      <c r="I61" s="15"/>
      <c r="J61" s="14"/>
      <c r="K61" s="14"/>
      <c r="L61" s="7">
        <v>0.087</v>
      </c>
      <c r="M61" s="14">
        <v>0.131</v>
      </c>
      <c r="N61" s="7">
        <f>SQRT((L61*N59)^2+N60^2)</f>
        <v>3.9618366065473896</v>
      </c>
      <c r="O61" s="7">
        <f>SQRT((M61*N59)^2+N60^2)</f>
        <v>4.591963688604783</v>
      </c>
      <c r="P61" s="3"/>
    </row>
    <row r="62" spans="1:16" ht="22.5">
      <c r="A62" s="14" t="s">
        <v>32</v>
      </c>
      <c r="B62" s="14"/>
      <c r="C62" s="14"/>
      <c r="D62" s="14"/>
      <c r="E62" s="14"/>
      <c r="F62" s="14"/>
      <c r="G62" s="14"/>
      <c r="H62" s="14"/>
      <c r="I62" s="15"/>
      <c r="J62" s="14"/>
      <c r="K62" s="14"/>
      <c r="L62" s="7">
        <v>0.088</v>
      </c>
      <c r="M62" s="14">
        <v>0.133</v>
      </c>
      <c r="N62" s="7">
        <f>SQRT((L62*N59)^2+N60^2)</f>
        <v>3.974227737601587</v>
      </c>
      <c r="O62" s="7">
        <f>SQRT((M62*N59)^2+N60^2)</f>
        <v>4.624156867087939</v>
      </c>
      <c r="P62" s="3"/>
    </row>
    <row r="63" spans="1:16" ht="22.5">
      <c r="A63" s="14" t="s">
        <v>6</v>
      </c>
      <c r="B63" s="14">
        <v>-1.45</v>
      </c>
      <c r="C63" s="14">
        <v>0.5</v>
      </c>
      <c r="D63" s="14">
        <v>58</v>
      </c>
      <c r="E63" s="14">
        <v>0.128</v>
      </c>
      <c r="F63" s="14">
        <v>0.29</v>
      </c>
      <c r="G63" s="14">
        <v>0.652</v>
      </c>
      <c r="H63" s="14">
        <v>0.99</v>
      </c>
      <c r="I63" s="15">
        <f>I55</f>
        <v>4531000000</v>
      </c>
      <c r="J63" s="14">
        <f>J55</f>
        <v>0.516</v>
      </c>
      <c r="K63" s="14">
        <f>K59</f>
        <v>42.2</v>
      </c>
      <c r="L63" s="15">
        <f>I63/J63/(K63*1000000)</f>
        <v>208.08075241559206</v>
      </c>
      <c r="M63" s="14">
        <v>0.74</v>
      </c>
      <c r="N63" s="7">
        <f>(D63/E63/F63/G63/H63/M63)/(I63/(K63*1E-27*J63))/C63*1E+33</f>
        <v>31.441524976856904</v>
      </c>
      <c r="O63" s="7">
        <f>N63/$N$51</f>
        <v>0.8180028663598063</v>
      </c>
      <c r="P63" s="3"/>
    </row>
    <row r="64" spans="1:16" ht="22.5">
      <c r="A64" s="14" t="s">
        <v>24</v>
      </c>
      <c r="B64" s="14"/>
      <c r="C64" s="14"/>
      <c r="D64" s="14">
        <v>9</v>
      </c>
      <c r="E64" s="14"/>
      <c r="F64" s="14"/>
      <c r="G64" s="14">
        <v>0.017</v>
      </c>
      <c r="H64" s="14"/>
      <c r="I64" s="15"/>
      <c r="J64" s="14"/>
      <c r="K64" s="14"/>
      <c r="L64" s="15"/>
      <c r="M64" s="14"/>
      <c r="N64" s="7">
        <f>SQRT((D64/D63)^2+(G64/G63)^2)*N63</f>
        <v>4.947252933227893</v>
      </c>
      <c r="O64" s="7">
        <f>SQRT((N64/N63)^2+(0.15/0.654)^2)*O63</f>
        <v>0.22752145183188088</v>
      </c>
      <c r="P64" s="3"/>
    </row>
    <row r="65" spans="1:16" ht="22.5">
      <c r="A65" s="14" t="s">
        <v>31</v>
      </c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7">
        <v>0.087</v>
      </c>
      <c r="M65" s="14">
        <v>0.131</v>
      </c>
      <c r="N65" s="7">
        <f>SQRT((L65*N63)^2+N64^2)</f>
        <v>5.653122506798116</v>
      </c>
      <c r="O65" s="7">
        <f>SQRT((M65*N63)^2+N64^2)</f>
        <v>6.437402632465947</v>
      </c>
      <c r="P65" s="3"/>
    </row>
    <row r="66" spans="1:16" ht="22.5">
      <c r="A66" s="14" t="s">
        <v>32</v>
      </c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7">
        <v>0.088</v>
      </c>
      <c r="M66" s="14">
        <v>0.133</v>
      </c>
      <c r="N66" s="7">
        <f>SQRT((L66*N63)^2+N64^2)</f>
        <v>5.6684031030017366</v>
      </c>
      <c r="O66" s="7">
        <f>SQRT((M66*N63)^2+N64^2)</f>
        <v>6.4778173287547265</v>
      </c>
      <c r="P66" s="3"/>
    </row>
    <row r="67" spans="1:16" ht="23.25">
      <c r="A67" s="20" t="s">
        <v>6</v>
      </c>
      <c r="B67" s="20">
        <v>1.8</v>
      </c>
      <c r="C67" s="20">
        <v>1.2</v>
      </c>
      <c r="D67" s="20">
        <v>290</v>
      </c>
      <c r="E67" s="20">
        <v>0.127</v>
      </c>
      <c r="F67" s="20">
        <v>0.654</v>
      </c>
      <c r="G67" s="20">
        <v>0.862</v>
      </c>
      <c r="H67" s="20">
        <v>0.95</v>
      </c>
      <c r="I67" s="21">
        <v>4021000000</v>
      </c>
      <c r="J67" s="20">
        <f>J55</f>
        <v>0.516</v>
      </c>
      <c r="K67" s="20">
        <f>K55</f>
        <v>42.2</v>
      </c>
      <c r="L67" s="21">
        <f>I67/J67/(K67*1000000)</f>
        <v>184.65961277049118</v>
      </c>
      <c r="M67" s="20">
        <v>0.74</v>
      </c>
      <c r="N67" s="22">
        <f>(D67/E67/F67/G67/H67/M67)/(I67/(K67*1E-27*J67))/C67*1E+33</f>
        <v>26.001641804872435</v>
      </c>
      <c r="O67" s="22">
        <f>N67/$N$51</f>
        <v>0.6764753790441893</v>
      </c>
      <c r="P67" s="3"/>
    </row>
    <row r="68" spans="1:15" ht="23.25">
      <c r="A68" s="20" t="s">
        <v>24</v>
      </c>
      <c r="B68" s="20"/>
      <c r="C68" s="20"/>
      <c r="D68" s="20">
        <v>19</v>
      </c>
      <c r="E68" s="20"/>
      <c r="F68" s="20"/>
      <c r="G68" s="20">
        <v>0.009</v>
      </c>
      <c r="H68" s="20"/>
      <c r="I68" s="20"/>
      <c r="J68" s="20"/>
      <c r="K68" s="20"/>
      <c r="L68" s="20"/>
      <c r="M68" s="20"/>
      <c r="N68" s="22">
        <f>SQRT((D68/D67)^2+(G68/G67)^2)*N67</f>
        <v>1.725051674264862</v>
      </c>
      <c r="O68" s="22">
        <f>SQRT((N68/N67)^2+(0.15/0.654)^2)*O67</f>
        <v>0.1615155192418446</v>
      </c>
    </row>
    <row r="69" spans="1:15" ht="23.25">
      <c r="A69" s="11" t="s">
        <v>31</v>
      </c>
      <c r="B69" s="11"/>
      <c r="C69" s="11"/>
      <c r="D69" s="11"/>
      <c r="E69" s="11"/>
      <c r="F69" s="11"/>
      <c r="G69" s="11"/>
      <c r="H69" s="11"/>
      <c r="I69" s="12"/>
      <c r="J69" s="11"/>
      <c r="K69" s="11"/>
      <c r="L69" s="8">
        <v>0.069</v>
      </c>
      <c r="M69" s="11">
        <v>0.147</v>
      </c>
      <c r="N69" s="22">
        <f>SQRT((L69*N67)^2+N68^2)</f>
        <v>2.4889045294332344</v>
      </c>
      <c r="O69" s="22">
        <f>SQRT((M69*N67)^2+N68^2)</f>
        <v>4.193486876184181</v>
      </c>
    </row>
    <row r="70" spans="1:15" ht="23.25">
      <c r="A70" s="11" t="s">
        <v>32</v>
      </c>
      <c r="B70" s="11"/>
      <c r="C70" s="11"/>
      <c r="D70" s="11"/>
      <c r="E70" s="11"/>
      <c r="F70" s="11"/>
      <c r="G70" s="11"/>
      <c r="H70" s="11"/>
      <c r="I70" s="12"/>
      <c r="J70" s="11"/>
      <c r="K70" s="11"/>
      <c r="L70" s="8">
        <v>0.07</v>
      </c>
      <c r="M70" s="11">
        <v>0.132</v>
      </c>
      <c r="N70" s="22">
        <f>SQRT((L70*N67)^2+N68^2)</f>
        <v>2.5077124284840884</v>
      </c>
      <c r="O70" s="22">
        <f>SQRT((M70*N67)^2+N68^2)</f>
        <v>3.841342848519494</v>
      </c>
    </row>
    <row r="71" spans="1:15" ht="22.5">
      <c r="A71" s="11" t="s">
        <v>6</v>
      </c>
      <c r="B71" s="11">
        <v>1.5</v>
      </c>
      <c r="C71" s="11">
        <v>0.6</v>
      </c>
      <c r="D71" s="11">
        <v>201</v>
      </c>
      <c r="E71" s="11">
        <v>0.127</v>
      </c>
      <c r="F71" s="11">
        <v>0.643</v>
      </c>
      <c r="G71" s="11">
        <v>0.864</v>
      </c>
      <c r="H71" s="11">
        <v>0.95</v>
      </c>
      <c r="I71" s="12">
        <f>I67</f>
        <v>4021000000</v>
      </c>
      <c r="J71" s="11">
        <f>J55</f>
        <v>0.516</v>
      </c>
      <c r="K71" s="11">
        <f>K55</f>
        <v>42.2</v>
      </c>
      <c r="L71" s="12">
        <f>I71/J71/(K71*1000000)</f>
        <v>184.65961277049118</v>
      </c>
      <c r="M71" s="11">
        <v>0.74</v>
      </c>
      <c r="N71" s="8">
        <f>(D71/E71/F71/G71/H71/M71)/(I71/(K71*1E-27*J71))/C71*1E+33</f>
        <v>36.57540343108089</v>
      </c>
      <c r="O71" s="8">
        <f>N71/$N$51</f>
        <v>0.9515691388033094</v>
      </c>
    </row>
    <row r="72" spans="1:15" ht="22.5">
      <c r="A72" s="11" t="s">
        <v>24</v>
      </c>
      <c r="B72" s="11"/>
      <c r="C72" s="11"/>
      <c r="D72" s="11">
        <v>15</v>
      </c>
      <c r="E72" s="11"/>
      <c r="F72" s="11"/>
      <c r="G72" s="11">
        <v>0.012</v>
      </c>
      <c r="H72" s="11"/>
      <c r="I72" s="11"/>
      <c r="J72" s="11"/>
      <c r="K72" s="11"/>
      <c r="L72" s="11"/>
      <c r="M72" s="11"/>
      <c r="N72" s="8">
        <f>SQRT((D72/D71)^2+(G72/G71)^2)*N71</f>
        <v>2.776376769904489</v>
      </c>
      <c r="O72" s="8">
        <f>SQRT((N72/N71)^2+(0.15/0.654)^2)*O71</f>
        <v>0.22989223074139803</v>
      </c>
    </row>
    <row r="73" spans="1:15" ht="22.5">
      <c r="A73" s="11" t="s">
        <v>31</v>
      </c>
      <c r="B73" s="11"/>
      <c r="C73" s="11"/>
      <c r="D73" s="11"/>
      <c r="E73" s="11"/>
      <c r="F73" s="11"/>
      <c r="G73" s="11"/>
      <c r="H73" s="11"/>
      <c r="I73" s="12"/>
      <c r="J73" s="11"/>
      <c r="K73" s="11"/>
      <c r="L73" s="8">
        <v>0.069</v>
      </c>
      <c r="M73" s="11">
        <v>0.147</v>
      </c>
      <c r="N73" s="8">
        <f>SQRT((L73*N71)^2+N72^2)</f>
        <v>3.75197867486716</v>
      </c>
      <c r="O73" s="8">
        <f>SQRT((M73*N71)^2+N72^2)</f>
        <v>6.051109547054259</v>
      </c>
    </row>
    <row r="74" spans="1:15" ht="22.5">
      <c r="A74" s="11" t="s">
        <v>32</v>
      </c>
      <c r="B74" s="11"/>
      <c r="C74" s="11"/>
      <c r="D74" s="11"/>
      <c r="E74" s="11"/>
      <c r="F74" s="11"/>
      <c r="G74" s="11"/>
      <c r="H74" s="11"/>
      <c r="I74" s="12"/>
      <c r="J74" s="11"/>
      <c r="K74" s="11"/>
      <c r="L74" s="8">
        <v>0.07</v>
      </c>
      <c r="M74" s="11">
        <v>0.132</v>
      </c>
      <c r="N74" s="8">
        <f>SQRT((L74*N71)^2+N72^2)</f>
        <v>3.7766774598292443</v>
      </c>
      <c r="O74" s="8">
        <f>SQRT((M74*N71)^2+N72^2)</f>
        <v>5.569326761887727</v>
      </c>
    </row>
    <row r="75" spans="1:15" ht="22.5">
      <c r="A75" s="11" t="s">
        <v>6</v>
      </c>
      <c r="B75" s="11">
        <v>2.1</v>
      </c>
      <c r="C75" s="11">
        <v>0.6</v>
      </c>
      <c r="D75" s="11">
        <v>94</v>
      </c>
      <c r="E75" s="11">
        <v>0.127</v>
      </c>
      <c r="F75" s="11">
        <v>0.669</v>
      </c>
      <c r="G75" s="11">
        <v>0.859</v>
      </c>
      <c r="H75" s="11">
        <v>0.95</v>
      </c>
      <c r="I75" s="12">
        <f>I67</f>
        <v>4021000000</v>
      </c>
      <c r="J75" s="11">
        <f>J55</f>
        <v>0.516</v>
      </c>
      <c r="K75" s="11">
        <f>K55</f>
        <v>42.2</v>
      </c>
      <c r="L75" s="12">
        <f>I75/J75/(K75*1000000)</f>
        <v>184.65961277049118</v>
      </c>
      <c r="M75" s="11">
        <v>0.74</v>
      </c>
      <c r="N75" s="8">
        <f>(D75/E75/F75/G75/H75/M75)/(I75/(K75*1E-27*J75))/C75*1E+33</f>
        <v>16.535843567657434</v>
      </c>
      <c r="O75" s="8">
        <f>N75/$N$51</f>
        <v>0.4302071049663613</v>
      </c>
    </row>
    <row r="76" spans="1:15" ht="22.5">
      <c r="A76" s="11" t="s">
        <v>24</v>
      </c>
      <c r="B76" s="11"/>
      <c r="C76" s="11"/>
      <c r="D76" s="11">
        <v>11</v>
      </c>
      <c r="E76" s="11"/>
      <c r="F76" s="11"/>
      <c r="G76" s="11">
        <v>0.014</v>
      </c>
      <c r="H76" s="11"/>
      <c r="I76" s="11"/>
      <c r="J76" s="11"/>
      <c r="K76" s="11"/>
      <c r="L76" s="11"/>
      <c r="M76" s="11"/>
      <c r="N76" s="8">
        <f>SQRT((D76/D75)^2+(G76/G75)^2)*N75</f>
        <v>1.9537226649214587</v>
      </c>
      <c r="O76" s="8">
        <f>SQRT((N76/N75)^2+(0.15/0.654)^2)*O75</f>
        <v>0.11099393685794563</v>
      </c>
    </row>
    <row r="77" spans="1:15" ht="22.5">
      <c r="A77" s="11" t="s">
        <v>31</v>
      </c>
      <c r="B77" s="11"/>
      <c r="C77" s="11"/>
      <c r="D77" s="11"/>
      <c r="E77" s="11"/>
      <c r="F77" s="11"/>
      <c r="G77" s="11"/>
      <c r="H77" s="11"/>
      <c r="I77" s="12"/>
      <c r="J77" s="11"/>
      <c r="K77" s="11"/>
      <c r="L77" s="8">
        <v>0.069</v>
      </c>
      <c r="M77" s="11">
        <v>0.147</v>
      </c>
      <c r="N77" s="8">
        <f>SQRT((L77*N75)^2+N76^2)</f>
        <v>2.2624880350229306</v>
      </c>
      <c r="O77" s="8">
        <f>SQRT((M77*N75)^2+N76^2)</f>
        <v>3.11860068049782</v>
      </c>
    </row>
    <row r="78" spans="1:15" ht="22.5">
      <c r="A78" s="11" t="s">
        <v>32</v>
      </c>
      <c r="B78" s="11"/>
      <c r="C78" s="11"/>
      <c r="D78" s="11"/>
      <c r="E78" s="11"/>
      <c r="F78" s="11"/>
      <c r="G78" s="11"/>
      <c r="H78" s="11"/>
      <c r="I78" s="12"/>
      <c r="J78" s="11"/>
      <c r="K78" s="11"/>
      <c r="L78" s="8">
        <v>0.07</v>
      </c>
      <c r="M78" s="11">
        <v>0.132</v>
      </c>
      <c r="N78" s="8">
        <f>SQRT((L78*N75)^2+N76^2)</f>
        <v>2.270871958444287</v>
      </c>
      <c r="O78" s="8">
        <f>SQRT((M78*N75)^2+N76^2)</f>
        <v>2.929393862518989</v>
      </c>
    </row>
    <row r="79" spans="1:15" ht="23.25">
      <c r="A79" s="11"/>
      <c r="B79" s="2" t="s">
        <v>7</v>
      </c>
      <c r="C79" s="13"/>
      <c r="D79" s="11"/>
      <c r="E79" s="11"/>
      <c r="F79" s="11"/>
      <c r="G79" s="11"/>
      <c r="H79" s="11"/>
      <c r="I79" s="11"/>
      <c r="J79" s="11"/>
      <c r="K79" s="11"/>
      <c r="L79" s="9" t="s">
        <v>28</v>
      </c>
      <c r="M79" s="23" t="s">
        <v>25</v>
      </c>
      <c r="N79" s="24">
        <f>(N55^3/N56^2+N67^3/N68^2)/(N55^2/N56^2+N67^2/N68^2)</f>
        <v>26.640963199369413</v>
      </c>
      <c r="O79" s="24">
        <f>N79/$N$51</f>
        <v>0.6931083742188386</v>
      </c>
    </row>
    <row r="80" spans="1:15" ht="23.25">
      <c r="A80" s="11"/>
      <c r="B80" s="25">
        <v>0.0588</v>
      </c>
      <c r="C80" s="11"/>
      <c r="D80" s="11"/>
      <c r="E80" s="11"/>
      <c r="F80" s="11"/>
      <c r="G80" s="11"/>
      <c r="H80" s="11"/>
      <c r="I80" s="11"/>
      <c r="J80" s="11"/>
      <c r="K80" s="11"/>
      <c r="L80" s="9"/>
      <c r="M80" s="23" t="s">
        <v>24</v>
      </c>
      <c r="N80" s="24">
        <f>(N55^2/N56+N67^2/N68)/(N55^2/N56^2+N67^2/N68^2)</f>
        <v>2.071824161099443</v>
      </c>
      <c r="O80" s="24">
        <f>SQRT((N80/N79)^2+(0.15/0.654)^2)*O79</f>
        <v>0.16785951292487122</v>
      </c>
    </row>
    <row r="81" spans="12:15" ht="22.5">
      <c r="L81" s="9" t="s">
        <v>29</v>
      </c>
      <c r="M81" s="9" t="s">
        <v>25</v>
      </c>
      <c r="N81" s="10">
        <f>(N63^3/N64^2+N71^3/N72^2)/(N63^2/N64^2+N71^2/N72^2)</f>
        <v>35.60615708676531</v>
      </c>
      <c r="O81" s="10">
        <f>N81/$N$51</f>
        <v>0.9263526046675605</v>
      </c>
    </row>
    <row r="82" spans="12:15" ht="22.5">
      <c r="L82" s="9"/>
      <c r="M82" s="9" t="s">
        <v>24</v>
      </c>
      <c r="N82" s="10">
        <f>(N63^2/N64+N71^2/N72)/(N63^2/N64^2+N71^2/N72^2)</f>
        <v>3.186225542917774</v>
      </c>
      <c r="O82" s="10">
        <f>SQRT((N82/N81)^2+(0.15/0.654)^2)*O81</f>
        <v>0.228064564531287</v>
      </c>
    </row>
    <row r="83" spans="12:15" ht="22.5">
      <c r="L83" s="9" t="s">
        <v>30</v>
      </c>
      <c r="M83" s="9" t="s">
        <v>25</v>
      </c>
      <c r="N83" s="10">
        <f>(N59^3/N60^2+N75^3/N76^2)/(N59^2/N60^2+N75^2/N76^2)</f>
        <v>19.451573641409286</v>
      </c>
      <c r="O83" s="10">
        <f>N83/$N$51</f>
        <v>0.5060646074130805</v>
      </c>
    </row>
    <row r="84" spans="12:15" ht="22.5">
      <c r="L84" s="9"/>
      <c r="M84" s="9" t="s">
        <v>24</v>
      </c>
      <c r="N84" s="10">
        <f>(N59^2/N60+N75^2/N76)/(N59^2/N60^2+N75^2/N76^2)</f>
        <v>2.5349155930252865</v>
      </c>
      <c r="O84" s="10">
        <f>SQRT((N84/N83)^2+(0.15/0.654)^2)*O83</f>
        <v>0.13349761936357438</v>
      </c>
    </row>
    <row r="85" ht="22.5">
      <c r="D85" s="4"/>
    </row>
    <row r="86" ht="22.5">
      <c r="D86" s="4"/>
    </row>
    <row r="87" ht="22.5">
      <c r="D87" s="4"/>
    </row>
    <row r="88" ht="22.5">
      <c r="D88" s="4"/>
    </row>
    <row r="89" ht="22.5">
      <c r="D8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6.00390625" style="1" customWidth="1"/>
    <col min="3" max="3" width="6.28125" style="1" customWidth="1"/>
    <col min="4" max="4" width="4.57421875" style="1" customWidth="1"/>
    <col min="5" max="5" width="5.421875" style="1" customWidth="1"/>
    <col min="6" max="6" width="6.421875" style="1" customWidth="1"/>
    <col min="7" max="7" width="6.57421875" style="1" customWidth="1"/>
    <col min="8" max="8" width="6.421875" style="1" customWidth="1"/>
    <col min="9" max="9" width="5.28125" style="1" customWidth="1"/>
    <col min="10" max="10" width="9.8515625" style="1" customWidth="1"/>
    <col min="11" max="11" width="7.421875" style="1" customWidth="1"/>
    <col min="12" max="12" width="7.00390625" style="1" customWidth="1"/>
    <col min="13" max="13" width="9.8515625" style="1" customWidth="1"/>
    <col min="14" max="14" width="8.28125" style="1" customWidth="1"/>
    <col min="15" max="15" width="9.57421875" style="1" bestFit="1" customWidth="1"/>
    <col min="16" max="16" width="8.57421875" style="1" customWidth="1"/>
    <col min="17" max="17" width="6.00390625" style="1" customWidth="1"/>
    <col min="18" max="16384" width="10.421875" style="1" customWidth="1"/>
  </cols>
  <sheetData>
    <row r="1" spans="1:15" ht="26.25" customHeight="1">
      <c r="A1" s="102" t="s">
        <v>179</v>
      </c>
      <c r="F1" s="5" t="s">
        <v>10</v>
      </c>
      <c r="H1" s="5" t="s">
        <v>9</v>
      </c>
      <c r="L1" s="5" t="s">
        <v>23</v>
      </c>
      <c r="M1" s="5" t="s">
        <v>20</v>
      </c>
      <c r="O1" s="2" t="s">
        <v>26</v>
      </c>
    </row>
    <row r="2" spans="2:19" s="2" customFormat="1" ht="21" customHeight="1">
      <c r="B2" s="2" t="s">
        <v>0</v>
      </c>
      <c r="C2" s="2" t="s">
        <v>37</v>
      </c>
      <c r="D2" s="2" t="s">
        <v>1</v>
      </c>
      <c r="E2" s="2" t="s">
        <v>2</v>
      </c>
      <c r="F2" s="2" t="s">
        <v>3</v>
      </c>
      <c r="G2" s="2" t="s">
        <v>11</v>
      </c>
      <c r="H2" s="2" t="s">
        <v>8</v>
      </c>
      <c r="I2" s="2" t="s">
        <v>4</v>
      </c>
      <c r="J2" s="2" t="s">
        <v>12</v>
      </c>
      <c r="K2" s="2" t="s">
        <v>13</v>
      </c>
      <c r="L2" s="2" t="s">
        <v>22</v>
      </c>
      <c r="M2" s="2" t="s">
        <v>21</v>
      </c>
      <c r="N2" s="2" t="s">
        <v>14</v>
      </c>
      <c r="O2" s="2" t="s">
        <v>27</v>
      </c>
      <c r="P2" s="2" t="s">
        <v>15</v>
      </c>
      <c r="Q2" s="6" t="s">
        <v>16</v>
      </c>
      <c r="R2" s="2" t="s">
        <v>33</v>
      </c>
      <c r="S2" s="2" t="s">
        <v>34</v>
      </c>
    </row>
    <row r="3" spans="1:18" s="11" customFormat="1" ht="22.5">
      <c r="A3" s="11" t="s">
        <v>17</v>
      </c>
      <c r="B3" s="11">
        <v>-1.7</v>
      </c>
      <c r="C3" s="35" t="s">
        <v>38</v>
      </c>
      <c r="D3" s="11">
        <v>1</v>
      </c>
      <c r="E3" s="11">
        <v>126</v>
      </c>
      <c r="F3" s="11">
        <v>0.128</v>
      </c>
      <c r="G3" s="11">
        <v>0.515</v>
      </c>
      <c r="H3" s="11">
        <v>0.696</v>
      </c>
      <c r="I3" s="11">
        <v>0.99</v>
      </c>
      <c r="J3" s="12">
        <v>2750000000</v>
      </c>
      <c r="K3" s="11">
        <v>0.88</v>
      </c>
      <c r="L3" s="11">
        <v>2180</v>
      </c>
      <c r="M3" s="12">
        <f>J3/K3/(L3*1000000)</f>
        <v>1.43348623853211</v>
      </c>
      <c r="N3" s="11">
        <v>0.92</v>
      </c>
      <c r="O3" s="8">
        <f>(E3/F3/G3/H3/I3/N3)/(J3/(L3*1E-27*K3))/D3*1E+33/(2*3.14156*C4)</f>
        <v>669.5487416548006</v>
      </c>
      <c r="P3" s="8">
        <f>O3/(2*197)/P63</f>
        <v>0.5035966041922252</v>
      </c>
      <c r="Q3" s="8">
        <f>1+(LN(P3)/LN(197*2))</f>
        <v>0.8852176302377227</v>
      </c>
      <c r="R3" s="8"/>
    </row>
    <row r="4" spans="1:18" s="11" customFormat="1" ht="22.5">
      <c r="A4" s="11" t="s">
        <v>24</v>
      </c>
      <c r="C4" s="35" t="s">
        <v>43</v>
      </c>
      <c r="E4" s="11">
        <v>14</v>
      </c>
      <c r="H4" s="11">
        <v>0.018</v>
      </c>
      <c r="J4" s="12"/>
      <c r="L4" s="33" t="s">
        <v>35</v>
      </c>
      <c r="M4" s="34" t="s">
        <v>36</v>
      </c>
      <c r="O4" s="8">
        <f>SQRT((E4/E3)^2+(H4/H3)^2)*O3</f>
        <v>76.38293984119314</v>
      </c>
      <c r="P4" s="8">
        <f>SQRT((O4/O3)^2+(P64/P63)^2)*P3</f>
        <v>0.08210483475556711</v>
      </c>
      <c r="Q4" s="8">
        <f>P4/P3/LN(197*2)</f>
        <v>0.0272803443957828</v>
      </c>
      <c r="R4" s="8"/>
    </row>
    <row r="5" spans="1:19" s="11" customFormat="1" ht="22.5">
      <c r="A5" s="11" t="s">
        <v>31</v>
      </c>
      <c r="C5" s="35"/>
      <c r="J5" s="12"/>
      <c r="L5" s="8">
        <v>0.114</v>
      </c>
      <c r="M5" s="8">
        <v>0.151</v>
      </c>
      <c r="N5" s="8">
        <f>SQRT((L5*O3)^2+O4^2)</f>
        <v>107.9833415096207</v>
      </c>
      <c r="O5" s="8">
        <f>SQRT((M5*O3)^2+O4^2)</f>
        <v>126.71203412539629</v>
      </c>
      <c r="P5" s="8">
        <f>SQRT((R5*P3)^2+P4^2)</f>
        <v>0.09354167549616559</v>
      </c>
      <c r="Q5" s="8">
        <f>SQRT((S5*Q3)^2+Q4^2)</f>
        <v>0.039969597893184466</v>
      </c>
      <c r="R5" s="11">
        <v>0.089</v>
      </c>
      <c r="S5" s="11">
        <v>0.033</v>
      </c>
    </row>
    <row r="6" spans="1:19" s="11" customFormat="1" ht="22.5">
      <c r="A6" s="11" t="s">
        <v>32</v>
      </c>
      <c r="C6" s="35"/>
      <c r="J6" s="12"/>
      <c r="L6" s="8">
        <v>0.115</v>
      </c>
      <c r="M6" s="8">
        <v>0.152</v>
      </c>
      <c r="N6" s="8">
        <f>SQRT((L6*O3)^2+O4^2)</f>
        <v>108.4576494170871</v>
      </c>
      <c r="O6" s="8">
        <f>SQRT((M6*O3)^2+O4^2)</f>
        <v>127.24689832755612</v>
      </c>
      <c r="P6" s="8">
        <f>SQRT((R6*P3)^2+P4^2)</f>
        <v>0.09711718435729352</v>
      </c>
      <c r="Q6" s="8">
        <f>SQRT((S6*Q3)^2+Q4^2)</f>
        <v>0.040621061565228246</v>
      </c>
      <c r="R6" s="11">
        <v>0.103</v>
      </c>
      <c r="S6" s="11">
        <v>0.034</v>
      </c>
    </row>
    <row r="7" spans="1:18" s="11" customFormat="1" ht="22.5">
      <c r="A7" s="11" t="s">
        <v>17</v>
      </c>
      <c r="B7" s="11">
        <v>-1.7</v>
      </c>
      <c r="C7" s="35" t="s">
        <v>39</v>
      </c>
      <c r="D7" s="11">
        <v>1</v>
      </c>
      <c r="E7" s="11">
        <v>214</v>
      </c>
      <c r="F7" s="11">
        <v>0.128</v>
      </c>
      <c r="G7" s="11">
        <v>0.487</v>
      </c>
      <c r="H7" s="11">
        <v>0.699</v>
      </c>
      <c r="I7" s="11">
        <v>0.99</v>
      </c>
      <c r="J7" s="12">
        <f>J$3</f>
        <v>2750000000</v>
      </c>
      <c r="K7" s="11">
        <v>0.88</v>
      </c>
      <c r="L7" s="11">
        <f>$L$3</f>
        <v>2180</v>
      </c>
      <c r="M7" s="12">
        <f>J7/K7/(L7*1000000)</f>
        <v>1.43348623853211</v>
      </c>
      <c r="N7" s="11">
        <f>$N$3</f>
        <v>0.92</v>
      </c>
      <c r="O7" s="8">
        <f>(E7/F7/G7/H7/I7/N7)/(J7/(L7*1E-27*K7))/D7*1E+33/(2*3.14156*C8)</f>
        <v>399.1301206467256</v>
      </c>
      <c r="P7" s="8">
        <f>O7/(2*197)/P67</f>
        <v>0.8744544273703879</v>
      </c>
      <c r="Q7" s="8">
        <f>1+(LN(P7)/LN(197*2))</f>
        <v>0.9775523390942981</v>
      </c>
      <c r="R7" s="8"/>
    </row>
    <row r="8" spans="1:18" s="11" customFormat="1" ht="22.5">
      <c r="A8" s="11" t="s">
        <v>24</v>
      </c>
      <c r="C8" s="35" t="s">
        <v>44</v>
      </c>
      <c r="E8" s="11">
        <v>16</v>
      </c>
      <c r="H8" s="11">
        <v>0.015</v>
      </c>
      <c r="J8" s="12"/>
      <c r="M8" s="12"/>
      <c r="O8" s="8">
        <f>SQRT((E8/E7)^2+(H8/H7)^2)*O7</f>
        <v>31.04633663837777</v>
      </c>
      <c r="P8" s="8">
        <f>SQRT((O8/O7)^2+(P68/P67)^2)*P7</f>
        <v>0.12109492241432318</v>
      </c>
      <c r="Q8" s="8">
        <f>P8/P7/LN(197*2)</f>
        <v>0.0231714207159625</v>
      </c>
      <c r="R8" s="8"/>
    </row>
    <row r="9" spans="1:19" s="11" customFormat="1" ht="22.5">
      <c r="A9" s="11" t="s">
        <v>31</v>
      </c>
      <c r="C9" s="35"/>
      <c r="J9" s="12"/>
      <c r="L9" s="8">
        <v>0.114</v>
      </c>
      <c r="M9" s="8">
        <v>0.151</v>
      </c>
      <c r="N9" s="8">
        <f>SQRT((L9*O7)^2+O8^2)</f>
        <v>55.083580956104825</v>
      </c>
      <c r="O9" s="8">
        <f>SQRT((M9*O7)^2+O8^2)</f>
        <v>67.79516927220548</v>
      </c>
      <c r="P9" s="8">
        <f>SQRT((R9*P7)^2+P8^2)</f>
        <v>0.14394768364171084</v>
      </c>
      <c r="Q9" s="8">
        <f>SQRT((S9*Q7)^2+Q8^2)</f>
        <v>0.03971866660525485</v>
      </c>
      <c r="R9" s="11">
        <v>0.089</v>
      </c>
      <c r="S9" s="11">
        <v>0.033</v>
      </c>
    </row>
    <row r="10" spans="1:19" s="11" customFormat="1" ht="22.5">
      <c r="A10" s="11" t="s">
        <v>32</v>
      </c>
      <c r="C10" s="35"/>
      <c r="J10" s="12"/>
      <c r="L10" s="8">
        <v>0.115</v>
      </c>
      <c r="M10" s="8">
        <v>0.152</v>
      </c>
      <c r="N10" s="8">
        <f>SQRT((L10*O7)^2+O8^2)</f>
        <v>55.41373207366803</v>
      </c>
      <c r="O10" s="8">
        <f>SQRT((M10*O7)^2+O8^2)</f>
        <v>68.15023365454338</v>
      </c>
      <c r="P10" s="8">
        <f>SQRT((R10*P7)^2+P8^2)</f>
        <v>0.15091842184520157</v>
      </c>
      <c r="Q10" s="8">
        <f>SQRT((S10*Q7)^2+Q8^2)</f>
        <v>0.04051664166079405</v>
      </c>
      <c r="R10" s="11">
        <v>0.103</v>
      </c>
      <c r="S10" s="11">
        <v>0.034</v>
      </c>
    </row>
    <row r="11" spans="1:18" s="11" customFormat="1" ht="22.5">
      <c r="A11" s="11" t="s">
        <v>17</v>
      </c>
      <c r="B11" s="11">
        <v>-1.7</v>
      </c>
      <c r="C11" s="35" t="s">
        <v>40</v>
      </c>
      <c r="D11" s="11">
        <v>1</v>
      </c>
      <c r="E11" s="11">
        <v>193</v>
      </c>
      <c r="F11" s="11">
        <v>0.128</v>
      </c>
      <c r="G11" s="11">
        <v>0.43</v>
      </c>
      <c r="H11" s="11">
        <v>0.709</v>
      </c>
      <c r="I11" s="11">
        <v>0.99</v>
      </c>
      <c r="J11" s="12">
        <f>J$3</f>
        <v>2750000000</v>
      </c>
      <c r="K11" s="11">
        <v>0.88</v>
      </c>
      <c r="L11" s="11">
        <f>$L$3</f>
        <v>2180</v>
      </c>
      <c r="M11" s="12">
        <f>J11/K11/(L11*1000000)</f>
        <v>1.43348623853211</v>
      </c>
      <c r="N11" s="11">
        <f>$N$3</f>
        <v>0.92</v>
      </c>
      <c r="O11" s="8">
        <f>(E11/F11/G11/H11/I11/N11)/(J11/(L11*1E-27*K11))/D11*1E+33/(2*3.14156*C12)</f>
        <v>241.15747922241184</v>
      </c>
      <c r="P11" s="8">
        <f>O11/(2*197)/P71</f>
        <v>2.2195193829804887</v>
      </c>
      <c r="Q11" s="8">
        <f>1+(LN(P11)/LN(197*2))</f>
        <v>1.1334076078184427</v>
      </c>
      <c r="R11" s="8"/>
    </row>
    <row r="12" spans="1:18" s="11" customFormat="1" ht="22.5">
      <c r="A12" s="11" t="s">
        <v>24</v>
      </c>
      <c r="C12" s="35" t="s">
        <v>45</v>
      </c>
      <c r="E12" s="11">
        <v>14</v>
      </c>
      <c r="H12" s="11">
        <v>0.024</v>
      </c>
      <c r="J12" s="12"/>
      <c r="M12" s="12"/>
      <c r="O12" s="8">
        <f>SQRT((E12/E11)^2+(H12/H11)^2)*O11</f>
        <v>19.304264037941113</v>
      </c>
      <c r="P12" s="8">
        <f>SQRT((O12/O11)^2+(P72/P71)^2)*P11</f>
        <v>0.5313395656119512</v>
      </c>
      <c r="Q12" s="8">
        <f>P12/P11/LN(197*2)</f>
        <v>0.0400568804778911</v>
      </c>
      <c r="R12" s="8"/>
    </row>
    <row r="13" spans="1:19" s="11" customFormat="1" ht="22.5">
      <c r="A13" s="11" t="s">
        <v>31</v>
      </c>
      <c r="C13" s="35"/>
      <c r="J13" s="12"/>
      <c r="L13" s="8">
        <v>0.114</v>
      </c>
      <c r="M13" s="8">
        <v>0.151</v>
      </c>
      <c r="N13" s="8">
        <f>SQRT((L13*O11)^2+O12^2)</f>
        <v>33.59258950321054</v>
      </c>
      <c r="O13" s="8">
        <f>SQRT((M13*O11)^2+O12^2)</f>
        <v>41.21517640472055</v>
      </c>
      <c r="P13" s="8">
        <f>SQRT((R13*P11)^2+P12^2)</f>
        <v>0.5668709635173449</v>
      </c>
      <c r="Q13" s="8">
        <f>SQRT((S13*Q11)^2+Q12^2)</f>
        <v>0.054804169720622374</v>
      </c>
      <c r="R13" s="11">
        <v>0.089</v>
      </c>
      <c r="S13" s="11">
        <v>0.033</v>
      </c>
    </row>
    <row r="14" spans="1:19" s="11" customFormat="1" ht="22.5">
      <c r="A14" s="11" t="s">
        <v>32</v>
      </c>
      <c r="C14" s="35"/>
      <c r="J14" s="12"/>
      <c r="L14" s="8">
        <v>0.115</v>
      </c>
      <c r="M14" s="8">
        <v>0.152</v>
      </c>
      <c r="N14" s="8">
        <f>SQRT((L14*O11)^2+O12^2)</f>
        <v>33.79023537136069</v>
      </c>
      <c r="O14" s="8">
        <f>SQRT((M14*O11)^2+O12^2)</f>
        <v>41.42839987010192</v>
      </c>
      <c r="P14" s="8">
        <f>SQRT((R14*P11)^2+P12^2)</f>
        <v>0.5784327904523017</v>
      </c>
      <c r="Q14" s="8">
        <f>SQRT((S14*Q11)^2+Q12^2)</f>
        <v>0.05558386525541968</v>
      </c>
      <c r="R14" s="11">
        <v>0.103</v>
      </c>
      <c r="S14" s="11">
        <v>0.034</v>
      </c>
    </row>
    <row r="15" spans="1:18" s="11" customFormat="1" ht="22.5">
      <c r="A15" s="11" t="s">
        <v>17</v>
      </c>
      <c r="B15" s="11">
        <v>-1.7</v>
      </c>
      <c r="C15" s="35" t="s">
        <v>41</v>
      </c>
      <c r="D15" s="11">
        <v>1</v>
      </c>
      <c r="E15" s="11">
        <v>46</v>
      </c>
      <c r="F15" s="11">
        <v>0.128</v>
      </c>
      <c r="G15" s="11">
        <v>0.505</v>
      </c>
      <c r="H15" s="11">
        <v>0.75</v>
      </c>
      <c r="I15" s="11">
        <v>0.99</v>
      </c>
      <c r="J15" s="12">
        <f>J$3</f>
        <v>2750000000</v>
      </c>
      <c r="K15" s="11">
        <v>0.88</v>
      </c>
      <c r="L15" s="11">
        <f>$L$3</f>
        <v>2180</v>
      </c>
      <c r="M15" s="12">
        <f>J15/K15/(L15*1000000)</f>
        <v>1.43348623853211</v>
      </c>
      <c r="N15" s="11">
        <f>$N$3</f>
        <v>0.92</v>
      </c>
      <c r="O15" s="8">
        <f>(E15/F15/G15/H15/I15/N15)/(J15/(L15*1E-27*K15))/D15*1E+33/(2*3.14156*C16)</f>
        <v>33.047245890609695</v>
      </c>
      <c r="P15" s="8">
        <f>O15/(2*197)/P75</f>
        <v>1.2299281956101515</v>
      </c>
      <c r="Q15" s="8">
        <f>1+(LN(P15)/LN(197*2))</f>
        <v>1.0346291228993245</v>
      </c>
      <c r="R15" s="8"/>
    </row>
    <row r="16" spans="1:18" s="11" customFormat="1" ht="22.5">
      <c r="A16" s="11" t="s">
        <v>24</v>
      </c>
      <c r="C16" s="35" t="s">
        <v>46</v>
      </c>
      <c r="E16" s="11">
        <v>8</v>
      </c>
      <c r="H16" s="11">
        <v>0.052</v>
      </c>
      <c r="J16" s="12"/>
      <c r="M16" s="12"/>
      <c r="O16" s="8">
        <f>SQRT((E16/E15)^2+(H16/H15)^2)*O15</f>
        <v>6.1872403558907445</v>
      </c>
      <c r="P16" s="8">
        <f>SQRT((O16/O15)^2+(P76/P75)^2)*P15</f>
        <v>0.48285817736218284</v>
      </c>
      <c r="Q16" s="8">
        <f>P16/P15/LN(197*2)</f>
        <v>0.06569067785761876</v>
      </c>
      <c r="R16" s="8"/>
    </row>
    <row r="17" spans="1:19" s="11" customFormat="1" ht="22.5">
      <c r="A17" s="11" t="s">
        <v>31</v>
      </c>
      <c r="C17" s="35"/>
      <c r="J17" s="12"/>
      <c r="L17" s="8">
        <v>0.114</v>
      </c>
      <c r="M17" s="8">
        <v>0.151</v>
      </c>
      <c r="N17" s="8">
        <f>SQRT((L17*O15)^2+O16^2)</f>
        <v>7.243972717516726</v>
      </c>
      <c r="O17" s="8">
        <f>SQRT((M17*O15)^2+O16^2)</f>
        <v>7.9487975097988715</v>
      </c>
      <c r="P17" s="8">
        <f>SQRT((R17*P15)^2+P16^2)</f>
        <v>0.49511039297356885</v>
      </c>
      <c r="Q17" s="8">
        <f>SQRT((S17*Q15)^2+Q16^2)</f>
        <v>0.07403373075766577</v>
      </c>
      <c r="R17" s="11">
        <v>0.089</v>
      </c>
      <c r="S17" s="11">
        <v>0.033</v>
      </c>
    </row>
    <row r="18" spans="1:19" s="11" customFormat="1" ht="22.5">
      <c r="A18" s="11" t="s">
        <v>32</v>
      </c>
      <c r="C18" s="35"/>
      <c r="J18" s="12"/>
      <c r="L18" s="8">
        <v>0.115</v>
      </c>
      <c r="M18" s="8">
        <v>0.152</v>
      </c>
      <c r="N18" s="8">
        <f>SQRT((L18*O15)^2+O16^2)</f>
        <v>7.2612145208418974</v>
      </c>
      <c r="O18" s="8">
        <f>SQRT((M18*O15)^2+O16^2)</f>
        <v>7.969585582165106</v>
      </c>
      <c r="P18" s="8">
        <f>SQRT((R18*P15)^2+P16^2)</f>
        <v>0.4991998614174577</v>
      </c>
      <c r="Q18" s="8">
        <f>SQRT((S18*Q15)^2+Q16^2)</f>
        <v>0.07451653465620427</v>
      </c>
      <c r="R18" s="11">
        <v>0.103</v>
      </c>
      <c r="S18" s="11">
        <v>0.034</v>
      </c>
    </row>
    <row r="19" spans="1:18" s="11" customFormat="1" ht="22.5">
      <c r="A19" s="11" t="s">
        <v>17</v>
      </c>
      <c r="B19" s="11">
        <v>-1.7</v>
      </c>
      <c r="C19" s="35" t="s">
        <v>42</v>
      </c>
      <c r="D19" s="11">
        <v>1</v>
      </c>
      <c r="E19" s="11">
        <v>19</v>
      </c>
      <c r="F19" s="11">
        <v>0.128</v>
      </c>
      <c r="G19" s="11">
        <v>0.676</v>
      </c>
      <c r="H19" s="11">
        <v>0.764</v>
      </c>
      <c r="I19" s="11">
        <v>0.99</v>
      </c>
      <c r="J19" s="12">
        <f>J$3</f>
        <v>2750000000</v>
      </c>
      <c r="K19" s="11">
        <v>0.88</v>
      </c>
      <c r="L19" s="11">
        <f>$L$3</f>
        <v>2180</v>
      </c>
      <c r="M19" s="12">
        <f>J19/K19/(L19*1000000)</f>
        <v>1.43348623853211</v>
      </c>
      <c r="N19" s="11">
        <f>$N$3</f>
        <v>0.92</v>
      </c>
      <c r="O19" s="8">
        <f>(E19/F19/G19/H19/I19/N19)/(J19/(L19*1E-27*K19))/D19*1E+33/(2*3.14156*C20)</f>
        <v>7.785726770926079</v>
      </c>
      <c r="P19" s="8">
        <f>O19/(2*197)/P79</f>
        <v>1.3763068801714458</v>
      </c>
      <c r="Q19" s="8">
        <f>1+(LN(P19)/LN(197*2))</f>
        <v>1.0534446090721716</v>
      </c>
      <c r="R19" s="8"/>
    </row>
    <row r="20" spans="1:18" s="11" customFormat="1" ht="22.5">
      <c r="A20" s="11" t="s">
        <v>24</v>
      </c>
      <c r="C20" s="35" t="s">
        <v>201</v>
      </c>
      <c r="E20" s="11">
        <v>6</v>
      </c>
      <c r="H20" s="11">
        <v>0.127</v>
      </c>
      <c r="J20" s="12"/>
      <c r="M20" s="12"/>
      <c r="O20" s="8">
        <f>SQRT((E20/E19)^2+(H20/H19)^2)*O19</f>
        <v>2.778484999050511</v>
      </c>
      <c r="P20" s="8">
        <f>SQRT((O20/O19)^2+(P80/P79)^2)*P19</f>
        <v>0.9856847331597574</v>
      </c>
      <c r="Q20" s="8">
        <f>P20/P19/LN(197*2)</f>
        <v>0.11983582203879244</v>
      </c>
      <c r="R20" s="8"/>
    </row>
    <row r="21" spans="1:19" s="11" customFormat="1" ht="22.5">
      <c r="A21" s="11" t="s">
        <v>31</v>
      </c>
      <c r="C21" s="35"/>
      <c r="J21" s="12"/>
      <c r="L21" s="8">
        <v>0.114</v>
      </c>
      <c r="M21" s="8">
        <v>0.151</v>
      </c>
      <c r="N21" s="8">
        <f>SQRT((L21*O19)^2+O20^2)</f>
        <v>2.9168072369207065</v>
      </c>
      <c r="O21" s="8">
        <f>SQRT((M21*O19)^2+O20^2)</f>
        <v>3.016971900814559</v>
      </c>
      <c r="P21" s="8">
        <f>SQRT((R21*P19)^2+P20^2)</f>
        <v>0.9932665879721495</v>
      </c>
      <c r="Q21" s="8">
        <f>SQRT((S21*Q19)^2+Q20^2)</f>
        <v>0.12477634848618731</v>
      </c>
      <c r="R21" s="11">
        <v>0.089</v>
      </c>
      <c r="S21" s="11">
        <v>0.033</v>
      </c>
    </row>
    <row r="22" spans="1:19" s="11" customFormat="1" ht="22.5">
      <c r="A22" s="11" t="s">
        <v>32</v>
      </c>
      <c r="C22" s="35"/>
      <c r="J22" s="12"/>
      <c r="L22" s="8">
        <v>0.115</v>
      </c>
      <c r="M22" s="8">
        <v>0.152</v>
      </c>
      <c r="N22" s="8">
        <f>SQRT((L22*O19)^2+O20^2)</f>
        <v>2.9191858238766684</v>
      </c>
      <c r="O22" s="8">
        <f>SQRT((M22*O19)^2+O20^2)</f>
        <v>3.0200143319749526</v>
      </c>
      <c r="P22" s="8">
        <f>SQRT((R22*P19)^2+P20^2)</f>
        <v>0.9958263803650688</v>
      </c>
      <c r="Q22" s="8">
        <f>SQRT((S22*Q19)^2+Q20^2)</f>
        <v>0.12507393850447077</v>
      </c>
      <c r="R22" s="11">
        <v>0.103</v>
      </c>
      <c r="S22" s="11">
        <v>0.034</v>
      </c>
    </row>
    <row r="23" spans="1:18" ht="22.5">
      <c r="A23" s="1" t="s">
        <v>17</v>
      </c>
      <c r="B23" s="1">
        <v>1.8</v>
      </c>
      <c r="C23" s="36" t="s">
        <v>38</v>
      </c>
      <c r="D23" s="1">
        <v>1.2</v>
      </c>
      <c r="E23" s="1">
        <v>253</v>
      </c>
      <c r="F23" s="1">
        <v>0.127</v>
      </c>
      <c r="G23" s="1">
        <v>0.699</v>
      </c>
      <c r="H23" s="1">
        <v>0.77</v>
      </c>
      <c r="I23" s="1">
        <v>0.93</v>
      </c>
      <c r="J23" s="16">
        <v>3264000000</v>
      </c>
      <c r="K23" s="1">
        <f>$K$3</f>
        <v>0.88</v>
      </c>
      <c r="L23" s="1">
        <f>$L$3</f>
        <v>2180</v>
      </c>
      <c r="M23" s="16">
        <f>J23/K23/(L23*1000000)</f>
        <v>1.701417848206839</v>
      </c>
      <c r="N23" s="1">
        <f>$N$3</f>
        <v>0.92</v>
      </c>
      <c r="O23" s="3">
        <f>(E23/F23/G23/H23/I23/N23)/(J23/(L23*1E-27*K23))/D23*1E+33/(2*3.14156*C24)</f>
        <v>674.4356745322317</v>
      </c>
      <c r="P23" s="3">
        <f>O23/(2*197)/P63</f>
        <v>0.5072722780437019</v>
      </c>
      <c r="Q23" s="3">
        <f>1+(LN(P23)/LN(197*2))</f>
        <v>0.8864344828001063</v>
      </c>
      <c r="R23" s="8"/>
    </row>
    <row r="24" spans="1:18" ht="22.5">
      <c r="A24" s="1" t="s">
        <v>24</v>
      </c>
      <c r="C24" s="36" t="s">
        <v>43</v>
      </c>
      <c r="E24" s="1">
        <v>21</v>
      </c>
      <c r="H24" s="1">
        <v>0.016</v>
      </c>
      <c r="J24" s="16"/>
      <c r="M24" s="16"/>
      <c r="O24" s="3">
        <f>SQRT((E24/E23)^2+(H24/H23)^2)*O23</f>
        <v>57.708336515479104</v>
      </c>
      <c r="P24" s="3">
        <f>SQRT((O24/O23)^2+(P64/P63)^2)*P23</f>
        <v>0.07331434251142437</v>
      </c>
      <c r="Q24" s="3">
        <f>P24/P23/LN(197*2)</f>
        <v>0.024183086273920816</v>
      </c>
      <c r="R24" s="8"/>
    </row>
    <row r="25" spans="1:19" ht="22.5">
      <c r="A25" s="1" t="s">
        <v>31</v>
      </c>
      <c r="C25" s="36"/>
      <c r="J25" s="16"/>
      <c r="L25" s="3">
        <v>0.129</v>
      </c>
      <c r="M25" s="3">
        <v>0.183</v>
      </c>
      <c r="N25" s="3">
        <f>SQRT((L25*O23)^2+O24^2)</f>
        <v>104.40131828086808</v>
      </c>
      <c r="O25" s="3">
        <f>SQRT((M25*O23)^2+O24^2)</f>
        <v>136.24674364678364</v>
      </c>
      <c r="P25" s="3">
        <f>SQRT((R25*P23)^2+P24^2)</f>
        <v>0.09062010125668782</v>
      </c>
      <c r="Q25" s="3">
        <f>SQRT((S25*Q23)^2+Q24^2)</f>
        <v>0.0386415225428209</v>
      </c>
      <c r="R25" s="1">
        <v>0.105</v>
      </c>
      <c r="S25" s="1">
        <v>0.034</v>
      </c>
    </row>
    <row r="26" spans="1:19" ht="22.5">
      <c r="A26" s="1" t="s">
        <v>32</v>
      </c>
      <c r="C26" s="36"/>
      <c r="J26" s="16"/>
      <c r="L26" s="3">
        <v>0.13</v>
      </c>
      <c r="M26" s="3">
        <v>0.171</v>
      </c>
      <c r="N26" s="3">
        <f>SQRT((L26*O23)^2+O24^2)</f>
        <v>104.96401716714777</v>
      </c>
      <c r="O26" s="3">
        <f>SQRT((M26*O23)^2+O24^2)</f>
        <v>128.9609052977418</v>
      </c>
      <c r="P26" s="3">
        <f>SQRT((R26*P23)^2+P24^2)</f>
        <v>0.09432665046983922</v>
      </c>
      <c r="Q26" s="3">
        <f>SQRT((S26*Q23)^2+Q24^2)</f>
        <v>0.039336816403921594</v>
      </c>
      <c r="R26" s="1">
        <v>0.117</v>
      </c>
      <c r="S26" s="1">
        <v>0.035</v>
      </c>
    </row>
    <row r="27" spans="1:18" ht="22.5">
      <c r="A27" s="1" t="s">
        <v>17</v>
      </c>
      <c r="B27" s="1">
        <v>1.8</v>
      </c>
      <c r="C27" s="36" t="s">
        <v>39</v>
      </c>
      <c r="D27" s="1">
        <v>1.2</v>
      </c>
      <c r="E27" s="1">
        <v>297</v>
      </c>
      <c r="F27" s="1">
        <v>0.127</v>
      </c>
      <c r="G27" s="1">
        <v>0.674</v>
      </c>
      <c r="H27" s="1">
        <v>0.773</v>
      </c>
      <c r="I27" s="1">
        <v>0.93</v>
      </c>
      <c r="J27" s="16">
        <f>J$23</f>
        <v>3264000000</v>
      </c>
      <c r="K27" s="1">
        <f>$K$3</f>
        <v>0.88</v>
      </c>
      <c r="L27" s="1">
        <f>$L$3</f>
        <v>2180</v>
      </c>
      <c r="M27" s="16">
        <f>J27/K27/(L27*1000000)</f>
        <v>1.701417848206839</v>
      </c>
      <c r="N27" s="1">
        <f>$N$3</f>
        <v>0.92</v>
      </c>
      <c r="O27" s="3">
        <f>(E27/F27/G27/H27/I27/N27)/(J27/(L27*1E-27*K27))/D27*1E+33/(2*3.14156*C28)</f>
        <v>272.6363245147642</v>
      </c>
      <c r="P27" s="3">
        <f>O27/(2*197)/P67</f>
        <v>0.5973190914472299</v>
      </c>
      <c r="Q27" s="3">
        <f>1+(LN(P27)/LN(197*2))</f>
        <v>0.9137761780284427</v>
      </c>
      <c r="R27" s="8"/>
    </row>
    <row r="28" spans="1:18" ht="22.5">
      <c r="A28" s="1" t="s">
        <v>24</v>
      </c>
      <c r="C28" s="36" t="s">
        <v>44</v>
      </c>
      <c r="E28" s="1">
        <v>18</v>
      </c>
      <c r="H28" s="1">
        <v>0.013</v>
      </c>
      <c r="J28" s="16"/>
      <c r="M28" s="16"/>
      <c r="O28" s="3">
        <f>SQRT((E28/E27)^2+(H28/H27)^2)*O27</f>
        <v>17.147775938611236</v>
      </c>
      <c r="P28" s="3">
        <f>SQRT((O28/O27)^2+(P68/P67)^2)*P27</f>
        <v>0.07806912549382415</v>
      </c>
      <c r="Q28" s="3">
        <f>P28/P27/LN(197*2)</f>
        <v>0.021869398031943668</v>
      </c>
      <c r="R28" s="8"/>
    </row>
    <row r="29" spans="1:19" ht="22.5">
      <c r="A29" s="1" t="s">
        <v>31</v>
      </c>
      <c r="C29" s="36"/>
      <c r="J29" s="16"/>
      <c r="L29" s="3">
        <v>0.129</v>
      </c>
      <c r="M29" s="3">
        <v>0.183</v>
      </c>
      <c r="N29" s="3">
        <f>SQRT((L29*O27)^2+O28^2)</f>
        <v>39.12775433384499</v>
      </c>
      <c r="O29" s="3">
        <f>SQRT((M29*O27)^2+O28^2)</f>
        <v>52.75701399648898</v>
      </c>
      <c r="P29" s="3">
        <f>SQRT((R29*P27)^2+P28^2)</f>
        <v>0.1001418952031388</v>
      </c>
      <c r="Q29" s="3">
        <f>SQRT((S29*Q27)^2+Q28^2)</f>
        <v>0.03799362355399763</v>
      </c>
      <c r="R29" s="1">
        <v>0.105</v>
      </c>
      <c r="S29" s="1">
        <v>0.034</v>
      </c>
    </row>
    <row r="30" spans="1:19" ht="22.5">
      <c r="A30" s="1" t="s">
        <v>32</v>
      </c>
      <c r="C30" s="36"/>
      <c r="J30" s="16"/>
      <c r="L30" s="3">
        <v>0.13</v>
      </c>
      <c r="M30" s="3">
        <v>0.171</v>
      </c>
      <c r="N30" s="3">
        <f>SQRT((L30*O27)^2+O28^2)</f>
        <v>39.37299551291417</v>
      </c>
      <c r="O30" s="3">
        <f>SQRT((M30*O27)^2+O28^2)</f>
        <v>49.67440270215351</v>
      </c>
      <c r="P30" s="3">
        <f>SQRT((R30*P27)^2+P28^2)</f>
        <v>0.10478018893523719</v>
      </c>
      <c r="Q30" s="3">
        <f>SQRT((S30*Q27)^2+Q28^2)</f>
        <v>0.03874441285019829</v>
      </c>
      <c r="R30" s="1">
        <v>0.117</v>
      </c>
      <c r="S30" s="1">
        <v>0.035</v>
      </c>
    </row>
    <row r="31" spans="1:18" ht="22.5">
      <c r="A31" s="1" t="s">
        <v>17</v>
      </c>
      <c r="B31" s="1">
        <v>1.8</v>
      </c>
      <c r="C31" s="36" t="s">
        <v>40</v>
      </c>
      <c r="D31" s="1">
        <v>1.2</v>
      </c>
      <c r="E31" s="1">
        <v>175</v>
      </c>
      <c r="F31" s="1">
        <v>0.127</v>
      </c>
      <c r="G31" s="1">
        <v>0.617</v>
      </c>
      <c r="H31" s="1">
        <v>0.784</v>
      </c>
      <c r="I31" s="1">
        <v>0.93</v>
      </c>
      <c r="J31" s="16">
        <f>J$23</f>
        <v>3264000000</v>
      </c>
      <c r="K31" s="1">
        <f>$K$3</f>
        <v>0.88</v>
      </c>
      <c r="L31" s="1">
        <f>$L$3</f>
        <v>2180</v>
      </c>
      <c r="M31" s="16">
        <f>J31/K31/(L31*1000000)</f>
        <v>1.701417848206839</v>
      </c>
      <c r="N31" s="1">
        <f>$N$3</f>
        <v>0.92</v>
      </c>
      <c r="O31" s="3">
        <f>(E31/F31/G31/H31/I31/N31)/(J31/(L31*1E-27*K31))/D31*1E+33/(2*3.14156*C32)</f>
        <v>103.81371478798843</v>
      </c>
      <c r="P31" s="3">
        <f>O31/(2*197)/P71</f>
        <v>0.9554609416805304</v>
      </c>
      <c r="Q31" s="3">
        <f>1+(LN(P31)/LN(197*2))</f>
        <v>0.9923763858262556</v>
      </c>
      <c r="R31" s="8"/>
    </row>
    <row r="32" spans="1:18" ht="22.5">
      <c r="A32" s="1" t="s">
        <v>24</v>
      </c>
      <c r="C32" s="36" t="s">
        <v>45</v>
      </c>
      <c r="E32" s="1">
        <v>14</v>
      </c>
      <c r="H32" s="1">
        <v>0.02</v>
      </c>
      <c r="J32" s="16"/>
      <c r="M32" s="16"/>
      <c r="O32" s="3">
        <f>SQRT((E32/E31)^2+(H32/H31)^2)*O31</f>
        <v>8.717119939969692</v>
      </c>
      <c r="P32" s="3">
        <f>SQRT((O32/O31)^2+(P72/P71)^2)*P31</f>
        <v>0.23001122871488738</v>
      </c>
      <c r="Q32" s="3">
        <f>P32/P31/LN(197*2)</f>
        <v>0.04028097833298166</v>
      </c>
      <c r="R32" s="8"/>
    </row>
    <row r="33" spans="1:19" ht="22.5">
      <c r="A33" s="1" t="s">
        <v>31</v>
      </c>
      <c r="C33" s="36"/>
      <c r="J33" s="16"/>
      <c r="L33" s="3">
        <v>0.129</v>
      </c>
      <c r="M33" s="3">
        <v>0.183</v>
      </c>
      <c r="N33" s="3">
        <f>SQRT((L33*O31)^2+O32^2)</f>
        <v>15.979143259464086</v>
      </c>
      <c r="O33" s="3">
        <f>SQRT((M33*O31)^2+O32^2)</f>
        <v>20.90236247538538</v>
      </c>
      <c r="P33" s="3">
        <f>SQRT((R33*P31)^2+P32^2)</f>
        <v>0.25093813918385677</v>
      </c>
      <c r="Q33" s="3">
        <f>SQRT((S33*Q31)^2+Q32^2)</f>
        <v>0.05254520535335674</v>
      </c>
      <c r="R33" s="1">
        <v>0.105</v>
      </c>
      <c r="S33" s="1">
        <v>0.034</v>
      </c>
    </row>
    <row r="34" spans="1:19" ht="22.5">
      <c r="A34" s="1" t="s">
        <v>32</v>
      </c>
      <c r="C34" s="36"/>
      <c r="J34" s="16"/>
      <c r="L34" s="3">
        <v>0.13</v>
      </c>
      <c r="M34" s="3">
        <v>0.171</v>
      </c>
      <c r="N34" s="3">
        <f>SQRT((L34*O31)^2+O32^2)</f>
        <v>16.066248371583196</v>
      </c>
      <c r="O34" s="3">
        <f>SQRT((M34*O31)^2+O32^2)</f>
        <v>19.776926967309844</v>
      </c>
      <c r="P34" s="3">
        <f>SQRT((R34*P31)^2+P32^2)</f>
        <v>0.25573801095059356</v>
      </c>
      <c r="Q34" s="3">
        <f>SQRT((S34*Q31)^2+Q32^2)</f>
        <v>0.053187879795264216</v>
      </c>
      <c r="R34" s="1">
        <v>0.117</v>
      </c>
      <c r="S34" s="1">
        <v>0.035</v>
      </c>
    </row>
    <row r="35" spans="1:18" ht="22.5">
      <c r="A35" s="1" t="s">
        <v>17</v>
      </c>
      <c r="B35" s="1">
        <v>1.8</v>
      </c>
      <c r="C35" s="36" t="s">
        <v>41</v>
      </c>
      <c r="D35" s="1">
        <v>1.2</v>
      </c>
      <c r="E35" s="1">
        <v>77</v>
      </c>
      <c r="F35" s="1">
        <v>0.127</v>
      </c>
      <c r="G35" s="1">
        <v>0.71</v>
      </c>
      <c r="H35" s="1">
        <v>0.771</v>
      </c>
      <c r="I35" s="1">
        <v>0.93</v>
      </c>
      <c r="J35" s="16">
        <f>J$23</f>
        <v>3264000000</v>
      </c>
      <c r="K35" s="1">
        <f>$K$3</f>
        <v>0.88</v>
      </c>
      <c r="L35" s="1">
        <f>$L$3</f>
        <v>2180</v>
      </c>
      <c r="M35" s="16">
        <f>J35/K35/(L35*1000000)</f>
        <v>1.701417848206839</v>
      </c>
      <c r="N35" s="1">
        <f>$N$3</f>
        <v>0.92</v>
      </c>
      <c r="O35" s="3">
        <f>(E35/F35/G35/H35/I35/N35)/(J35/(L35*1E-27*K35))/D35*1E+33/(2*3.14156*C36)</f>
        <v>28.83154213982232</v>
      </c>
      <c r="P35" s="3">
        <f>O35/(2*197)/P75</f>
        <v>1.0730312207579695</v>
      </c>
      <c r="Q35" s="3">
        <f>1+(LN(P35)/LN(197*2))</f>
        <v>1.0117944145171502</v>
      </c>
      <c r="R35" s="8"/>
    </row>
    <row r="36" spans="1:18" ht="22.5">
      <c r="A36" s="1" t="s">
        <v>24</v>
      </c>
      <c r="C36" s="36" t="s">
        <v>46</v>
      </c>
      <c r="E36" s="1">
        <v>10</v>
      </c>
      <c r="H36" s="1">
        <v>0.044</v>
      </c>
      <c r="J36" s="16"/>
      <c r="M36" s="16"/>
      <c r="O36" s="3">
        <f>SQRT((E36/E35)^2+(H36/H35)^2)*O35</f>
        <v>4.089923908342257</v>
      </c>
      <c r="P36" s="3">
        <f>SQRT((O36/O35)^2+(P76/P75)^2)*P35</f>
        <v>0.40033926011202303</v>
      </c>
      <c r="Q36" s="3">
        <f>P36/P35/LN(197*2)</f>
        <v>0.06242804491313572</v>
      </c>
      <c r="R36" s="8"/>
    </row>
    <row r="37" spans="1:19" ht="22.5">
      <c r="A37" s="1" t="s">
        <v>31</v>
      </c>
      <c r="C37" s="36"/>
      <c r="J37" s="16"/>
      <c r="L37" s="3">
        <v>0.129</v>
      </c>
      <c r="M37" s="3">
        <v>0.183</v>
      </c>
      <c r="N37" s="3">
        <f>SQRT((L37*O35)^2+O36^2)</f>
        <v>5.5281496899595615</v>
      </c>
      <c r="O37" s="3">
        <f>SQRT((M37*O35)^2+O36^2)</f>
        <v>6.675737471048241</v>
      </c>
      <c r="P37" s="3">
        <f>SQRT((R37*P35)^2+P36^2)</f>
        <v>0.41589140901802096</v>
      </c>
      <c r="Q37" s="3">
        <f>SQRT((S37*Q35)^2+Q36^2)</f>
        <v>0.07127896104135706</v>
      </c>
      <c r="R37" s="1">
        <v>0.105</v>
      </c>
      <c r="S37" s="1">
        <v>0.034</v>
      </c>
    </row>
    <row r="38" spans="1:19" ht="22.5">
      <c r="A38" s="1" t="s">
        <v>32</v>
      </c>
      <c r="C38" s="36"/>
      <c r="J38" s="16"/>
      <c r="L38" s="3">
        <v>0.13</v>
      </c>
      <c r="M38" s="3">
        <v>0.171</v>
      </c>
      <c r="N38" s="3">
        <f>SQRT((L38*O35)^2+O36^2)</f>
        <v>5.5475881940298635</v>
      </c>
      <c r="O38" s="3">
        <f>SQRT((M38*O35)^2+O36^2)</f>
        <v>6.40580108603291</v>
      </c>
      <c r="P38" s="3">
        <f>SQRT((R38*P35)^2+P36^2)</f>
        <v>0.41956284754601003</v>
      </c>
      <c r="Q38" s="3">
        <f>SQRT((S38*Q35)^2+Q36^2)</f>
        <v>0.07177274910998893</v>
      </c>
      <c r="R38" s="1">
        <v>0.117</v>
      </c>
      <c r="S38" s="1">
        <v>0.035</v>
      </c>
    </row>
    <row r="39" spans="1:18" ht="22.5">
      <c r="A39" s="1" t="s">
        <v>17</v>
      </c>
      <c r="B39" s="1">
        <v>1.8</v>
      </c>
      <c r="C39" s="36" t="s">
        <v>42</v>
      </c>
      <c r="D39" s="1">
        <v>1.2</v>
      </c>
      <c r="E39" s="1">
        <v>18</v>
      </c>
      <c r="F39" s="1">
        <v>0.127</v>
      </c>
      <c r="G39" s="1">
        <v>0.706</v>
      </c>
      <c r="H39" s="1">
        <v>0.69</v>
      </c>
      <c r="I39" s="1">
        <v>0.93</v>
      </c>
      <c r="J39" s="16">
        <f>J$23</f>
        <v>3264000000</v>
      </c>
      <c r="K39" s="1">
        <f>$K$3</f>
        <v>0.88</v>
      </c>
      <c r="L39" s="1">
        <f>$L$3</f>
        <v>2180</v>
      </c>
      <c r="M39" s="16">
        <f>J39/K39/(L39*1000000)</f>
        <v>1.701417848206839</v>
      </c>
      <c r="N39" s="1">
        <f>$N$3</f>
        <v>0.92</v>
      </c>
      <c r="O39" s="3">
        <f>(E39/F39/G39/H39/I39/N39)/(J39/(L39*1E-27*K39))/D39*1E+33/(2*3.14156*C40)</f>
        <v>5.890662188864929</v>
      </c>
      <c r="P39" s="3">
        <f>O39/(2*197)/P79</f>
        <v>1.0413104823528574</v>
      </c>
      <c r="Q39" s="3">
        <f>1+(LN(P39)/LN(197*2))</f>
        <v>1.0067733638334815</v>
      </c>
      <c r="R39" s="8"/>
    </row>
    <row r="40" spans="1:18" ht="22.5">
      <c r="A40" s="1" t="s">
        <v>24</v>
      </c>
      <c r="C40" s="36" t="s">
        <v>201</v>
      </c>
      <c r="E40" s="1">
        <v>5</v>
      </c>
      <c r="H40" s="1">
        <v>0.118</v>
      </c>
      <c r="J40" s="16"/>
      <c r="M40" s="16"/>
      <c r="O40" s="3">
        <f>SQRT((E40/E39)^2+(H40/H39)^2)*O39</f>
        <v>1.9215341013467104</v>
      </c>
      <c r="P40" s="3">
        <f>SQRT((O40/O39)^2+(P80/P79)^2)*P39</f>
        <v>0.730378200963271</v>
      </c>
      <c r="Q40" s="3">
        <f>P40/P39/LN(197*2)</f>
        <v>0.11736307307501367</v>
      </c>
      <c r="R40" s="8"/>
    </row>
    <row r="41" spans="1:19" ht="22.5">
      <c r="A41" s="1" t="s">
        <v>31</v>
      </c>
      <c r="C41" s="36"/>
      <c r="J41" s="16"/>
      <c r="L41" s="3">
        <v>0.129</v>
      </c>
      <c r="M41" s="3">
        <v>0.183</v>
      </c>
      <c r="N41" s="3">
        <f>SQRT((L41*O39)^2+O40^2)</f>
        <v>2.066333553801861</v>
      </c>
      <c r="O41" s="3">
        <f>SQRT((M41*O39)^2+O40^2)</f>
        <v>2.20326083067992</v>
      </c>
      <c r="P41" s="3">
        <f>SQRT((R41*P39)^2+P40^2)</f>
        <v>0.7385167752716237</v>
      </c>
      <c r="Q41" s="3">
        <f>SQRT((S41*Q39)^2+Q40^2)</f>
        <v>0.12225303257707361</v>
      </c>
      <c r="R41" s="1">
        <v>0.105</v>
      </c>
      <c r="S41" s="1">
        <v>0.034</v>
      </c>
    </row>
    <row r="42" spans="1:19" ht="22.5">
      <c r="A42" s="1" t="s">
        <v>32</v>
      </c>
      <c r="C42" s="36"/>
      <c r="J42" s="16"/>
      <c r="L42" s="3">
        <v>0.13</v>
      </c>
      <c r="M42" s="3">
        <v>0.171</v>
      </c>
      <c r="N42" s="3">
        <f>SQRT((L42*O39)^2+O40^2)</f>
        <v>2.068507101736049</v>
      </c>
      <c r="O42" s="3">
        <f>SQRT((M42*O39)^2+O40^2)</f>
        <v>2.1695513611024047</v>
      </c>
      <c r="P42" s="3">
        <f>SQRT((R42*P39)^2+P40^2)</f>
        <v>0.7404699020707262</v>
      </c>
      <c r="Q42" s="3">
        <f>SQRT((S42*Q39)^2+Q40^2)</f>
        <v>0.12253873617804949</v>
      </c>
      <c r="R42" s="1">
        <v>0.117</v>
      </c>
      <c r="S42" s="1">
        <v>0.035</v>
      </c>
    </row>
    <row r="43" spans="1:17" s="11" customFormat="1" ht="22.5">
      <c r="A43" s="11" t="s">
        <v>6</v>
      </c>
      <c r="B43" s="11">
        <v>-1.7</v>
      </c>
      <c r="C43" s="35" t="s">
        <v>38</v>
      </c>
      <c r="D43" s="11">
        <v>1</v>
      </c>
      <c r="E43" s="11">
        <v>48</v>
      </c>
      <c r="F43" s="11">
        <v>0.128</v>
      </c>
      <c r="G43" s="11">
        <v>0.348</v>
      </c>
      <c r="H43" s="11">
        <v>0.658</v>
      </c>
      <c r="I43" s="11">
        <v>0.99</v>
      </c>
      <c r="J43" s="12">
        <v>4531000000</v>
      </c>
      <c r="K43" s="11">
        <v>0.516</v>
      </c>
      <c r="L43" s="11">
        <v>42.2</v>
      </c>
      <c r="M43" s="12">
        <f>J43/K43/(L43*1000000)</f>
        <v>208.08075241559206</v>
      </c>
      <c r="N43" s="11">
        <v>0.74</v>
      </c>
      <c r="O43" s="8">
        <f>(E43/F43/G43/H43/I43/N43)/(J43/(L43*1E-27*K43))/D43*1E+33/(2*3.14156*C44)</f>
        <v>3.419652276993253</v>
      </c>
      <c r="P43" s="8"/>
      <c r="Q43" s="8"/>
    </row>
    <row r="44" spans="1:17" s="11" customFormat="1" ht="22.5">
      <c r="A44" s="11" t="s">
        <v>24</v>
      </c>
      <c r="C44" s="35" t="s">
        <v>43</v>
      </c>
      <c r="E44" s="11">
        <v>7</v>
      </c>
      <c r="H44" s="11">
        <v>0.021</v>
      </c>
      <c r="J44" s="12"/>
      <c r="L44" s="33" t="s">
        <v>35</v>
      </c>
      <c r="M44" s="34" t="s">
        <v>36</v>
      </c>
      <c r="O44" s="8">
        <f>SQRT((E44/E43)^2+(H44/H43)^2)*O43</f>
        <v>0.5105017630337788</v>
      </c>
      <c r="P44" s="8"/>
      <c r="Q44" s="8"/>
    </row>
    <row r="45" spans="1:19" s="11" customFormat="1" ht="22.5">
      <c r="A45" s="11" t="s">
        <v>31</v>
      </c>
      <c r="C45" s="35"/>
      <c r="J45" s="12"/>
      <c r="L45" s="8">
        <v>0.087</v>
      </c>
      <c r="M45" s="8">
        <v>0.131</v>
      </c>
      <c r="N45" s="8">
        <f>SQRT((L45*O43)^2+O44^2)</f>
        <v>0.5908672442048024</v>
      </c>
      <c r="O45" s="8">
        <f>SQRT((M45*O43)^2+O44^2)</f>
        <v>0.679185656781595</v>
      </c>
      <c r="P45" s="3"/>
      <c r="Q45" s="3"/>
      <c r="R45" s="1"/>
      <c r="S45" s="1"/>
    </row>
    <row r="46" spans="1:19" s="11" customFormat="1" ht="22.5">
      <c r="A46" s="11" t="s">
        <v>32</v>
      </c>
      <c r="C46" s="35"/>
      <c r="J46" s="12"/>
      <c r="L46" s="8">
        <v>0.088</v>
      </c>
      <c r="M46" s="8">
        <v>0.133</v>
      </c>
      <c r="N46" s="8">
        <f>SQRT((L46*O43)^2+O44^2)</f>
        <v>0.5925964512810534</v>
      </c>
      <c r="O46" s="8">
        <f>SQRT((M46*O43)^2+O44^2)</f>
        <v>0.68371602279974</v>
      </c>
      <c r="P46" s="3"/>
      <c r="Q46" s="3"/>
      <c r="R46" s="1"/>
      <c r="S46" s="1"/>
    </row>
    <row r="47" spans="1:17" s="11" customFormat="1" ht="22.5">
      <c r="A47" s="11" t="s">
        <v>6</v>
      </c>
      <c r="B47" s="11">
        <v>-1.7</v>
      </c>
      <c r="C47" s="35" t="s">
        <v>39</v>
      </c>
      <c r="D47" s="11">
        <v>1</v>
      </c>
      <c r="E47" s="11">
        <v>43</v>
      </c>
      <c r="F47" s="11">
        <v>0.128</v>
      </c>
      <c r="G47" s="11">
        <v>0.324</v>
      </c>
      <c r="H47" s="11">
        <v>0.654</v>
      </c>
      <c r="I47" s="11">
        <v>0.99</v>
      </c>
      <c r="J47" s="12">
        <f>J$43</f>
        <v>4531000000</v>
      </c>
      <c r="K47" s="11">
        <f>$K$43</f>
        <v>0.516</v>
      </c>
      <c r="L47" s="11">
        <f>$L$43</f>
        <v>42.2</v>
      </c>
      <c r="M47" s="12">
        <f>J47/K47/(L47*1000000)</f>
        <v>208.08075241559206</v>
      </c>
      <c r="N47" s="11">
        <v>0.74</v>
      </c>
      <c r="O47" s="8">
        <f>(E47/F47/G47/H47/I47/N47)/(J47/(L47*1E-27*K47))/D47*1E+33/(2*3.14156*C48)</f>
        <v>1.103494797853729</v>
      </c>
      <c r="P47" s="8"/>
      <c r="Q47" s="8"/>
    </row>
    <row r="48" spans="1:17" s="11" customFormat="1" ht="22.5">
      <c r="A48" s="11" t="s">
        <v>24</v>
      </c>
      <c r="C48" s="35" t="s">
        <v>44</v>
      </c>
      <c r="E48" s="11">
        <v>7</v>
      </c>
      <c r="H48" s="11">
        <v>0.017</v>
      </c>
      <c r="J48" s="12"/>
      <c r="M48" s="12"/>
      <c r="O48" s="8">
        <f>SQRT((E48/E47)^2+(H48/H47)^2)*O47</f>
        <v>0.18191436644437967</v>
      </c>
      <c r="P48" s="8"/>
      <c r="Q48" s="8"/>
    </row>
    <row r="49" spans="1:17" s="11" customFormat="1" ht="22.5">
      <c r="A49" s="11" t="s">
        <v>31</v>
      </c>
      <c r="C49" s="35"/>
      <c r="J49" s="12"/>
      <c r="L49" s="8">
        <v>0.087</v>
      </c>
      <c r="M49" s="8">
        <v>0.131</v>
      </c>
      <c r="N49" s="8">
        <f>SQRT((L49*O47)^2+O48^2)</f>
        <v>0.20569300872560128</v>
      </c>
      <c r="O49" s="8">
        <f>SQRT((M49*O47)^2+O48^2)</f>
        <v>0.23235705199925716</v>
      </c>
      <c r="P49" s="8"/>
      <c r="Q49" s="8"/>
    </row>
    <row r="50" spans="1:17" s="11" customFormat="1" ht="22.5">
      <c r="A50" s="11" t="s">
        <v>32</v>
      </c>
      <c r="C50" s="35"/>
      <c r="J50" s="12"/>
      <c r="L50" s="8">
        <v>0.088</v>
      </c>
      <c r="M50" s="8">
        <v>0.133</v>
      </c>
      <c r="N50" s="8">
        <f>SQRT((L50*O47)^2+O48^2)</f>
        <v>0.20621035733722515</v>
      </c>
      <c r="O50" s="8">
        <f>SQRT((M50*O47)^2+O48^2)</f>
        <v>0.2337364875661469</v>
      </c>
      <c r="P50" s="8"/>
      <c r="Q50" s="8"/>
    </row>
    <row r="51" spans="1:17" s="11" customFormat="1" ht="22.5">
      <c r="A51" s="11" t="s">
        <v>6</v>
      </c>
      <c r="B51" s="11">
        <v>-1.7</v>
      </c>
      <c r="C51" s="35" t="s">
        <v>40</v>
      </c>
      <c r="D51" s="11">
        <v>1</v>
      </c>
      <c r="E51" s="11">
        <v>15</v>
      </c>
      <c r="F51" s="11">
        <v>0.128</v>
      </c>
      <c r="G51" s="11">
        <v>0.293</v>
      </c>
      <c r="H51" s="11">
        <v>0.659</v>
      </c>
      <c r="I51" s="11">
        <v>0.99</v>
      </c>
      <c r="J51" s="12">
        <f>J$43</f>
        <v>4531000000</v>
      </c>
      <c r="K51" s="11">
        <f>$K$43</f>
        <v>0.516</v>
      </c>
      <c r="L51" s="11">
        <f>$L$43</f>
        <v>42.2</v>
      </c>
      <c r="M51" s="12">
        <f>J51/K51/(L51*1000000)</f>
        <v>208.08075241559206</v>
      </c>
      <c r="N51" s="11">
        <v>0.74</v>
      </c>
      <c r="O51" s="8">
        <f>(E51/F51/G51/H51/I51/N51)/(J51/(L51*1E-27*K51))/D51*1E+33/(2*3.14156*C52)</f>
        <v>0.2534627062525646</v>
      </c>
      <c r="P51" s="8"/>
      <c r="Q51" s="8"/>
    </row>
    <row r="52" spans="1:17" s="11" customFormat="1" ht="22.5">
      <c r="A52" s="11" t="s">
        <v>24</v>
      </c>
      <c r="C52" s="35" t="s">
        <v>45</v>
      </c>
      <c r="E52" s="11">
        <v>5</v>
      </c>
      <c r="H52" s="11">
        <v>0.028</v>
      </c>
      <c r="J52" s="12"/>
      <c r="M52" s="12"/>
      <c r="O52" s="8">
        <f>SQRT((E52/E51)^2+(H52/H51)^2)*O51</f>
        <v>0.08517116104342784</v>
      </c>
      <c r="P52" s="8"/>
      <c r="Q52" s="8"/>
    </row>
    <row r="53" spans="1:17" s="11" customFormat="1" ht="22.5">
      <c r="A53" s="11" t="s">
        <v>31</v>
      </c>
      <c r="C53" s="35"/>
      <c r="J53" s="12"/>
      <c r="L53" s="8">
        <v>0.087</v>
      </c>
      <c r="M53" s="8">
        <v>0.131</v>
      </c>
      <c r="N53" s="8">
        <f>SQRT((L53*O51)^2+O52^2)</f>
        <v>0.08797945521620872</v>
      </c>
      <c r="O53" s="8">
        <f>SQRT((M53*O51)^2+O52^2)</f>
        <v>0.09141447746728948</v>
      </c>
      <c r="P53" s="8"/>
      <c r="Q53" s="8"/>
    </row>
    <row r="54" spans="1:17" s="11" customFormat="1" ht="22.5">
      <c r="A54" s="11" t="s">
        <v>32</v>
      </c>
      <c r="C54" s="35"/>
      <c r="J54" s="12"/>
      <c r="L54" s="8">
        <v>0.088</v>
      </c>
      <c r="M54" s="8">
        <v>0.133</v>
      </c>
      <c r="N54" s="8">
        <f>SQRT((L54*O51)^2+O52^2)</f>
        <v>0.0880433252736772</v>
      </c>
      <c r="O54" s="8">
        <f>SQRT((M54*O51)^2+O52^2)</f>
        <v>0.09159982082932759</v>
      </c>
      <c r="P54" s="8"/>
      <c r="Q54" s="8"/>
    </row>
    <row r="55" spans="1:17" s="11" customFormat="1" ht="22.5">
      <c r="A55" s="11" t="s">
        <v>6</v>
      </c>
      <c r="B55" s="11">
        <v>-1.7</v>
      </c>
      <c r="C55" s="35" t="s">
        <v>41</v>
      </c>
      <c r="D55" s="11">
        <v>1</v>
      </c>
      <c r="E55" s="11">
        <v>7</v>
      </c>
      <c r="F55" s="11">
        <v>0.128</v>
      </c>
      <c r="G55" s="11">
        <v>0.359</v>
      </c>
      <c r="H55" s="11">
        <v>0.64</v>
      </c>
      <c r="I55" s="11">
        <v>0.99</v>
      </c>
      <c r="J55" s="12">
        <f>J$43</f>
        <v>4531000000</v>
      </c>
      <c r="K55" s="11">
        <f>$K$43</f>
        <v>0.516</v>
      </c>
      <c r="L55" s="11">
        <f>$L$43</f>
        <v>42.2</v>
      </c>
      <c r="M55" s="12">
        <f>J55/K55/(L55*1000000)</f>
        <v>208.08075241559206</v>
      </c>
      <c r="N55" s="11">
        <v>0.74</v>
      </c>
      <c r="O55" s="8">
        <f>(E55/F55/G55/H55/I55/N55)/(J55/(L55*1E-27*K55))/D55*1E+33/(2*3.14156*C56)</f>
        <v>0.07100213782815247</v>
      </c>
      <c r="P55" s="8"/>
      <c r="Q55" s="8"/>
    </row>
    <row r="56" spans="1:17" s="11" customFormat="1" ht="22.5">
      <c r="A56" s="11" t="s">
        <v>24</v>
      </c>
      <c r="C56" s="35" t="s">
        <v>46</v>
      </c>
      <c r="E56" s="11">
        <v>3</v>
      </c>
      <c r="H56" s="11">
        <v>0.057</v>
      </c>
      <c r="J56" s="12"/>
      <c r="M56" s="12"/>
      <c r="O56" s="8">
        <f>SQRT((E56/E55)^2+(H56/H55)^2)*O55</f>
        <v>0.03107960726736053</v>
      </c>
      <c r="P56" s="8"/>
      <c r="Q56" s="8"/>
    </row>
    <row r="57" spans="1:17" s="11" customFormat="1" ht="22.5">
      <c r="A57" s="11" t="s">
        <v>31</v>
      </c>
      <c r="C57" s="35"/>
      <c r="J57" s="12"/>
      <c r="L57" s="8">
        <v>0.087</v>
      </c>
      <c r="M57" s="8">
        <v>0.131</v>
      </c>
      <c r="N57" s="8">
        <f>SQRT((L57*O55)^2+O56^2)</f>
        <v>0.03168753090193972</v>
      </c>
      <c r="O57" s="8">
        <f>SQRT((M57*O55)^2+O56^2)</f>
        <v>0.032441575155408034</v>
      </c>
      <c r="P57" s="8"/>
      <c r="Q57" s="8"/>
    </row>
    <row r="58" spans="1:17" s="11" customFormat="1" ht="22.5">
      <c r="A58" s="11" t="s">
        <v>32</v>
      </c>
      <c r="C58" s="35"/>
      <c r="J58" s="12"/>
      <c r="L58" s="8">
        <v>0.088</v>
      </c>
      <c r="M58" s="8">
        <v>0.133</v>
      </c>
      <c r="N58" s="8">
        <f>SQRT((L58*O55)^2+O56^2)</f>
        <v>0.031701448591305956</v>
      </c>
      <c r="O58" s="8">
        <f>SQRT((M58*O55)^2+O56^2)</f>
        <v>0.032482573895124205</v>
      </c>
      <c r="P58" s="8"/>
      <c r="Q58" s="8"/>
    </row>
    <row r="59" spans="1:17" s="11" customFormat="1" ht="22.5">
      <c r="A59" s="11" t="s">
        <v>6</v>
      </c>
      <c r="B59" s="11">
        <v>-1.7</v>
      </c>
      <c r="C59" s="35" t="s">
        <v>42</v>
      </c>
      <c r="D59" s="11">
        <v>1</v>
      </c>
      <c r="E59" s="11">
        <v>2</v>
      </c>
      <c r="F59" s="11">
        <v>0.128</v>
      </c>
      <c r="G59" s="11">
        <v>0.465</v>
      </c>
      <c r="H59" s="11">
        <v>0.606</v>
      </c>
      <c r="I59" s="11">
        <v>0.99</v>
      </c>
      <c r="J59" s="12">
        <f>J$43</f>
        <v>4531000000</v>
      </c>
      <c r="K59" s="11">
        <f>$K$43</f>
        <v>0.516</v>
      </c>
      <c r="L59" s="11">
        <f>$L$43</f>
        <v>42.2</v>
      </c>
      <c r="M59" s="12">
        <f>J59/K59/(L59*1000000)</f>
        <v>208.08075241559206</v>
      </c>
      <c r="N59" s="11">
        <v>0.74</v>
      </c>
      <c r="O59" s="8">
        <f>(E59/F59/G59/H59/I59/N59)/(J59/(L59*1E-27*K59))/D59*1E+33/(2*3.14156*C60)</f>
        <v>0.012864939760023274</v>
      </c>
      <c r="P59" s="8"/>
      <c r="Q59" s="8"/>
    </row>
    <row r="60" spans="1:17" s="11" customFormat="1" ht="22.5">
      <c r="A60" s="11" t="s">
        <v>24</v>
      </c>
      <c r="C60" s="35" t="s">
        <v>201</v>
      </c>
      <c r="E60" s="11">
        <v>2</v>
      </c>
      <c r="H60" s="11">
        <v>0.136</v>
      </c>
      <c r="J60" s="12"/>
      <c r="M60" s="12"/>
      <c r="O60" s="8">
        <f>SQRT((E60/E59)^2+(H60/H59)^2)*O59</f>
        <v>0.013184934217212306</v>
      </c>
      <c r="P60" s="8"/>
      <c r="Q60" s="8"/>
    </row>
    <row r="61" spans="1:17" s="11" customFormat="1" ht="22.5">
      <c r="A61" s="11" t="s">
        <v>31</v>
      </c>
      <c r="C61" s="35"/>
      <c r="J61" s="12"/>
      <c r="L61" s="8">
        <v>0.087</v>
      </c>
      <c r="M61" s="8">
        <v>0.131</v>
      </c>
      <c r="N61" s="8">
        <f>SQRT((L61*O59)^2+O60^2)</f>
        <v>0.013232354678420263</v>
      </c>
      <c r="O61" s="8">
        <f>SQRT((M61*O59)^2+O60^2)</f>
        <v>0.01329220637676037</v>
      </c>
      <c r="P61" s="8"/>
      <c r="Q61" s="8"/>
    </row>
    <row r="62" spans="1:17" s="11" customFormat="1" ht="22.5">
      <c r="A62" s="11" t="s">
        <v>32</v>
      </c>
      <c r="C62" s="35"/>
      <c r="J62" s="12"/>
      <c r="L62" s="8">
        <v>0.088</v>
      </c>
      <c r="M62" s="8">
        <v>0.133</v>
      </c>
      <c r="N62" s="8">
        <f>SQRT((L62*O59)^2+O60^2)</f>
        <v>0.013233449059245313</v>
      </c>
      <c r="O62" s="8">
        <f>SQRT((M62*O59)^2+O60^2)</f>
        <v>0.013295493141918593</v>
      </c>
      <c r="P62" s="8"/>
      <c r="Q62" s="8"/>
    </row>
    <row r="63" spans="1:17" ht="22.5">
      <c r="A63" s="1" t="s">
        <v>6</v>
      </c>
      <c r="B63" s="1">
        <v>1.8</v>
      </c>
      <c r="C63" s="36" t="s">
        <v>38</v>
      </c>
      <c r="D63" s="1">
        <v>1.2</v>
      </c>
      <c r="E63" s="1">
        <v>121</v>
      </c>
      <c r="F63" s="1">
        <v>0.127</v>
      </c>
      <c r="G63" s="1">
        <v>0.675</v>
      </c>
      <c r="H63" s="1">
        <v>0.86</v>
      </c>
      <c r="I63" s="1">
        <v>0.95</v>
      </c>
      <c r="J63" s="16">
        <v>4021000000</v>
      </c>
      <c r="K63" s="1">
        <f>$K$43</f>
        <v>0.516</v>
      </c>
      <c r="L63" s="1">
        <f>$L$43</f>
        <v>42.2</v>
      </c>
      <c r="M63" s="16">
        <f>J63/K63/(L63*1000000)</f>
        <v>184.65961277049118</v>
      </c>
      <c r="N63" s="1">
        <v>0.74</v>
      </c>
      <c r="O63" s="3">
        <f>(E63/F63/G63/H63/I63/N63)/(J63/(L63*1E-27*K63))/D63*1E+33/(2*3.14156*C64)</f>
        <v>3.3537105346218548</v>
      </c>
      <c r="P63" s="3">
        <f>(O43^3/O44^2+O63^3/O64^2)/(O43^2/O44^2+O63^2/O64^2)</f>
        <v>3.374451444504392</v>
      </c>
      <c r="Q63" s="3"/>
    </row>
    <row r="64" spans="1:16" ht="22.5">
      <c r="A64" s="1" t="s">
        <v>24</v>
      </c>
      <c r="C64" s="36" t="s">
        <v>43</v>
      </c>
      <c r="E64" s="1">
        <v>12</v>
      </c>
      <c r="H64" s="1">
        <v>0.017</v>
      </c>
      <c r="O64" s="3">
        <f>SQRT((E64/E63)^2+(H64/H63)^2)*O63</f>
        <v>0.33914198614255364</v>
      </c>
      <c r="P64" s="3">
        <f>(O43^2/O44+O63^2/O64)/(O43^2/O44^2+O63^2/O64^2)</f>
        <v>0.3930404359283483</v>
      </c>
    </row>
    <row r="65" spans="1:16" ht="22.5">
      <c r="A65" s="1" t="s">
        <v>31</v>
      </c>
      <c r="C65" s="36"/>
      <c r="J65" s="16"/>
      <c r="L65" s="3">
        <v>0.069</v>
      </c>
      <c r="M65" s="3">
        <v>0.147</v>
      </c>
      <c r="N65" s="3">
        <f>SQRT((L65*O63)^2+O64^2)</f>
        <v>0.41056794327519786</v>
      </c>
      <c r="O65" s="3">
        <f>SQRT((M65*O63)^2+O64^2)</f>
        <v>0.5983826527353482</v>
      </c>
      <c r="P65" s="3"/>
    </row>
    <row r="66" spans="1:16" ht="22.5">
      <c r="A66" s="1" t="s">
        <v>32</v>
      </c>
      <c r="C66" s="36"/>
      <c r="J66" s="16"/>
      <c r="L66" s="3">
        <v>0.07</v>
      </c>
      <c r="M66" s="3">
        <v>0.132</v>
      </c>
      <c r="N66" s="3">
        <f>SQRT((L66*O63)^2+O64^2)</f>
        <v>0.4124674788148524</v>
      </c>
      <c r="O66" s="3">
        <f>SQRT((M66*O63)^2+O64^2)</f>
        <v>0.5576661523166899</v>
      </c>
      <c r="P66" s="3"/>
    </row>
    <row r="67" spans="1:17" ht="22.5">
      <c r="A67" s="1" t="s">
        <v>6</v>
      </c>
      <c r="B67" s="1">
        <v>1.8</v>
      </c>
      <c r="C67" s="36" t="s">
        <v>39</v>
      </c>
      <c r="D67" s="1">
        <v>1.2</v>
      </c>
      <c r="E67" s="1">
        <v>124</v>
      </c>
      <c r="F67" s="1">
        <v>0.127</v>
      </c>
      <c r="G67" s="1">
        <v>0.655</v>
      </c>
      <c r="H67" s="1">
        <v>0.862</v>
      </c>
      <c r="I67" s="1">
        <v>0.95</v>
      </c>
      <c r="J67" s="16">
        <f>J$63</f>
        <v>4021000000</v>
      </c>
      <c r="K67" s="1">
        <f>$K$43</f>
        <v>0.516</v>
      </c>
      <c r="L67" s="1">
        <f>$L$43</f>
        <v>42.2</v>
      </c>
      <c r="M67" s="16">
        <f>J67/K67/(L67*1000000)</f>
        <v>184.65961277049118</v>
      </c>
      <c r="N67" s="1">
        <v>0.74</v>
      </c>
      <c r="O67" s="3">
        <f>(E67/F67/G67/H67/I67/N67)/(J67/(L67*1E-27*K67))/D67*1E+33/(2*3.14156*C68)</f>
        <v>1.1778616815690786</v>
      </c>
      <c r="P67" s="3">
        <f>(O47^3/O48^2+O67^3/O68^2)/(O47^2/O48^2+O67^2/O68^2)</f>
        <v>1.1584601542069977</v>
      </c>
      <c r="Q67" s="3"/>
    </row>
    <row r="68" spans="1:16" ht="22.5">
      <c r="A68" s="1" t="s">
        <v>24</v>
      </c>
      <c r="C68" s="36" t="s">
        <v>44</v>
      </c>
      <c r="E68" s="1">
        <v>12</v>
      </c>
      <c r="H68" s="1">
        <v>0.013</v>
      </c>
      <c r="O68" s="3">
        <f>SQRT((E68/E67)^2+(H68/H67)^2)*O67</f>
        <v>0.11536244126828227</v>
      </c>
      <c r="P68" s="3">
        <f>(O47^2/O48+O67^2/O68)/(O47^2/O48^2+O67^2/O68^2)</f>
        <v>0.13272512923898575</v>
      </c>
    </row>
    <row r="69" spans="1:16" ht="22.5">
      <c r="A69" s="1" t="s">
        <v>31</v>
      </c>
      <c r="C69" s="36"/>
      <c r="J69" s="16"/>
      <c r="L69" s="3">
        <v>0.069</v>
      </c>
      <c r="M69" s="3">
        <v>0.147</v>
      </c>
      <c r="N69" s="3">
        <f>SQRT((L69*O67)^2+O68^2)</f>
        <v>0.14111592739391388</v>
      </c>
      <c r="O69" s="3">
        <f>SQRT((M69*O67)^2+O68^2)</f>
        <v>0.20805747985178227</v>
      </c>
      <c r="P69" s="3"/>
    </row>
    <row r="70" spans="1:16" ht="22.5">
      <c r="A70" s="1" t="s">
        <v>32</v>
      </c>
      <c r="C70" s="36"/>
      <c r="J70" s="16"/>
      <c r="L70" s="3">
        <v>0.07</v>
      </c>
      <c r="M70" s="3">
        <v>0.132</v>
      </c>
      <c r="N70" s="3">
        <f>SQRT((L70*O67)^2+O68^2)</f>
        <v>0.14179755902634816</v>
      </c>
      <c r="O70" s="3">
        <f>SQRT((M70*O67)^2+O68^2)</f>
        <v>0.19360222390915793</v>
      </c>
      <c r="P70" s="3"/>
    </row>
    <row r="71" spans="1:17" ht="22.5">
      <c r="A71" s="1" t="s">
        <v>6</v>
      </c>
      <c r="B71" s="1">
        <v>1.8</v>
      </c>
      <c r="C71" s="36" t="s">
        <v>40</v>
      </c>
      <c r="D71" s="1">
        <v>1.2</v>
      </c>
      <c r="E71" s="1">
        <v>47</v>
      </c>
      <c r="F71" s="1">
        <v>0.127</v>
      </c>
      <c r="G71" s="1">
        <v>0.614</v>
      </c>
      <c r="H71" s="1">
        <v>0.87</v>
      </c>
      <c r="I71" s="1">
        <v>0.95</v>
      </c>
      <c r="J71" s="16">
        <f>J$63</f>
        <v>4021000000</v>
      </c>
      <c r="K71" s="1">
        <f>$K$43</f>
        <v>0.516</v>
      </c>
      <c r="L71" s="1">
        <f>$L$43</f>
        <v>42.2</v>
      </c>
      <c r="M71" s="16">
        <f>J71/K71/(L71*1000000)</f>
        <v>184.65961277049118</v>
      </c>
      <c r="N71" s="1">
        <v>0.74</v>
      </c>
      <c r="O71" s="3">
        <f>(E71/F71/G71/H71/I71/N71)/(J71/(L71*1E-27*K71))/D71*1E+33/(2*3.14156*C72)</f>
        <v>0.28312789409010114</v>
      </c>
      <c r="P71" s="3">
        <f>(O51^3/O52^2+O71^3/O72^2)/(O51^2/O52^2+O71^2/O72^2)</f>
        <v>0.27576908093477637</v>
      </c>
      <c r="Q71" s="3"/>
    </row>
    <row r="72" spans="1:16" ht="22.5">
      <c r="A72" s="1" t="s">
        <v>24</v>
      </c>
      <c r="C72" s="36" t="s">
        <v>45</v>
      </c>
      <c r="E72" s="1">
        <v>9</v>
      </c>
      <c r="H72" s="1">
        <v>0.021</v>
      </c>
      <c r="O72" s="3">
        <f>SQRT((E72/E71)^2+(H72/H71)^2)*O71</f>
        <v>0.054645015094909266</v>
      </c>
      <c r="P72" s="3">
        <f>(O51^2/O52+O71^2/O72)/(O51^2/O52^2+O71^2/O72^2)</f>
        <v>0.06221739945389453</v>
      </c>
    </row>
    <row r="73" spans="1:16" ht="22.5">
      <c r="A73" s="1" t="s">
        <v>31</v>
      </c>
      <c r="C73" s="36"/>
      <c r="J73" s="16"/>
      <c r="L73" s="3">
        <v>0.069</v>
      </c>
      <c r="M73" s="3">
        <v>0.147</v>
      </c>
      <c r="N73" s="3">
        <f>SQRT((L73*O71)^2+O72^2)</f>
        <v>0.05803211284390649</v>
      </c>
      <c r="O73" s="3">
        <f>SQRT((M73*O71)^2+O72^2)</f>
        <v>0.06868977698798791</v>
      </c>
      <c r="P73" s="3"/>
    </row>
    <row r="74" spans="1:16" ht="22.5">
      <c r="A74" s="1" t="s">
        <v>32</v>
      </c>
      <c r="C74" s="36"/>
      <c r="J74" s="16"/>
      <c r="L74" s="3">
        <v>0.07</v>
      </c>
      <c r="M74" s="3">
        <v>0.132</v>
      </c>
      <c r="N74" s="3">
        <f>SQRT((L74*O71)^2+O72^2)</f>
        <v>0.058128035889243236</v>
      </c>
      <c r="O74" s="3">
        <f>SQRT((M74*O71)^2+O72^2)</f>
        <v>0.0662027943911413</v>
      </c>
      <c r="P74" s="3"/>
    </row>
    <row r="75" spans="1:17" ht="22.5">
      <c r="A75" s="1" t="s">
        <v>6</v>
      </c>
      <c r="B75" s="1">
        <v>1.8</v>
      </c>
      <c r="C75" s="36" t="s">
        <v>41</v>
      </c>
      <c r="D75" s="1">
        <v>1.2</v>
      </c>
      <c r="E75" s="1">
        <v>17</v>
      </c>
      <c r="F75" s="1">
        <v>0.127</v>
      </c>
      <c r="G75" s="1">
        <v>0.693</v>
      </c>
      <c r="H75" s="1">
        <v>0.843</v>
      </c>
      <c r="I75" s="1">
        <v>0.95</v>
      </c>
      <c r="J75" s="16">
        <f>J$63</f>
        <v>4021000000</v>
      </c>
      <c r="K75" s="1">
        <f>$K$43</f>
        <v>0.516</v>
      </c>
      <c r="L75" s="1">
        <f>$L$43</f>
        <v>42.2</v>
      </c>
      <c r="M75" s="16">
        <f>J75/K75/(L75*1000000)</f>
        <v>184.65961277049118</v>
      </c>
      <c r="N75" s="1">
        <v>0.74</v>
      </c>
      <c r="O75" s="3">
        <f>(E75/F75/G75/H75/I75/N75)/(J75/(L75*1E-27*K75))/D75*1E+33/(2*3.14156*C76)</f>
        <v>0.06688558054547496</v>
      </c>
      <c r="P75" s="3">
        <f>(O55^3/O56^2+O75^3/O76^2)/(O55^2/O56^2+O75^2/O76^2)</f>
        <v>0.06819606128632447</v>
      </c>
      <c r="Q75" s="3"/>
    </row>
    <row r="76" spans="1:16" ht="22.5">
      <c r="A76" s="1" t="s">
        <v>24</v>
      </c>
      <c r="C76" s="36" t="s">
        <v>46</v>
      </c>
      <c r="E76" s="1">
        <v>5</v>
      </c>
      <c r="H76" s="1">
        <v>0.046</v>
      </c>
      <c r="O76" s="3">
        <f>SQRT((E76/E75)^2+(H76/H75)^2)*O75</f>
        <v>0.020007930162001843</v>
      </c>
      <c r="P76" s="3">
        <f>(O55^2/O56+O75^2/O76)/(O55^2/O56^2+O75^2/O76^2)</f>
        <v>0.023532530603378357</v>
      </c>
    </row>
    <row r="77" spans="1:16" ht="22.5">
      <c r="A77" s="1" t="s">
        <v>31</v>
      </c>
      <c r="C77" s="36"/>
      <c r="J77" s="16"/>
      <c r="L77" s="3">
        <v>0.069</v>
      </c>
      <c r="M77" s="3">
        <v>0.147</v>
      </c>
      <c r="N77" s="3">
        <f>SQRT((L77*O75)^2+O76^2)</f>
        <v>0.020533301343441508</v>
      </c>
      <c r="O77" s="3">
        <f>SQRT((M77*O75)^2+O76^2)</f>
        <v>0.022293250987899006</v>
      </c>
      <c r="P77" s="3"/>
    </row>
    <row r="78" spans="1:16" ht="22.5">
      <c r="A78" s="1" t="s">
        <v>32</v>
      </c>
      <c r="C78" s="36"/>
      <c r="J78" s="16"/>
      <c r="L78" s="3">
        <v>0.07</v>
      </c>
      <c r="M78" s="3">
        <v>0.132</v>
      </c>
      <c r="N78" s="3">
        <f>SQRT((L78*O75)^2+O76^2)</f>
        <v>0.02054843803561669</v>
      </c>
      <c r="O78" s="3">
        <f>SQRT((M78*O75)^2+O76^2)</f>
        <v>0.021869309205051073</v>
      </c>
      <c r="P78" s="3"/>
    </row>
    <row r="79" spans="1:16" ht="22.5">
      <c r="A79" s="1" t="s">
        <v>6</v>
      </c>
      <c r="B79" s="1">
        <v>1.8</v>
      </c>
      <c r="C79" s="36" t="s">
        <v>42</v>
      </c>
      <c r="D79" s="1">
        <v>1.2</v>
      </c>
      <c r="E79" s="1">
        <v>4</v>
      </c>
      <c r="F79" s="1">
        <v>0.127</v>
      </c>
      <c r="G79" s="1">
        <v>0.623</v>
      </c>
      <c r="H79" s="1">
        <v>0.778</v>
      </c>
      <c r="I79" s="1">
        <v>0.95</v>
      </c>
      <c r="J79" s="16">
        <f>J$63</f>
        <v>4021000000</v>
      </c>
      <c r="K79" s="1">
        <f>$K$43</f>
        <v>0.516</v>
      </c>
      <c r="L79" s="1">
        <f>$L$43</f>
        <v>42.2</v>
      </c>
      <c r="M79" s="16">
        <f>J79/K79/(L79*1000000)</f>
        <v>184.65961277049118</v>
      </c>
      <c r="N79" s="1">
        <v>0.74</v>
      </c>
      <c r="O79" s="3">
        <f>(E79/F79/G79/H79/I79/N79)/(J79/(L79*1E-27*K79))/D79*1E+33/(2*3.14156*C80)</f>
        <v>0.014753405086635026</v>
      </c>
      <c r="P79" s="3">
        <f>(O59^3/O60^2+O79^3/O80^2)/(O59^2/O60^2+O79^2/O80^2)</f>
        <v>0.01435779195009798</v>
      </c>
    </row>
    <row r="80" spans="1:16" ht="22.5">
      <c r="A80" s="1" t="s">
        <v>24</v>
      </c>
      <c r="C80" s="36" t="s">
        <v>201</v>
      </c>
      <c r="E80" s="1">
        <v>2</v>
      </c>
      <c r="H80" s="1">
        <v>0.131</v>
      </c>
      <c r="O80" s="3">
        <f>SQRT((E80/E79)^2+(H80/H79)^2)*O79</f>
        <v>0.007783759785447447</v>
      </c>
      <c r="P80" s="3">
        <f>(O59^2/O60+O79^2/O80)/(O59^2/O60^2+O79^2/O80^2)</f>
        <v>0.008915247627889315</v>
      </c>
    </row>
    <row r="81" spans="1:16" ht="22.5">
      <c r="A81" s="1" t="s">
        <v>31</v>
      </c>
      <c r="C81" s="36"/>
      <c r="J81" s="16"/>
      <c r="L81" s="3">
        <v>0.069</v>
      </c>
      <c r="M81" s="3">
        <v>0.147</v>
      </c>
      <c r="N81" s="3">
        <f>SQRT((L81*O79)^2+O80^2)</f>
        <v>0.007850045207383598</v>
      </c>
      <c r="O81" s="3">
        <f>SQRT((M81*O79)^2+O80^2)</f>
        <v>0.008080247232346995</v>
      </c>
      <c r="P81" s="3"/>
    </row>
    <row r="82" spans="1:16" ht="22.5">
      <c r="A82" s="1" t="s">
        <v>32</v>
      </c>
      <c r="C82" s="36"/>
      <c r="J82" s="16"/>
      <c r="L82" s="3">
        <v>0.07</v>
      </c>
      <c r="M82" s="3">
        <v>0.132</v>
      </c>
      <c r="N82" s="3">
        <f>SQRT((L82*O79)^2+O80^2)</f>
        <v>0.007851972039534756</v>
      </c>
      <c r="O82" s="3">
        <f>SQRT((M82*O79)^2+O80^2)</f>
        <v>0.008023682187209596</v>
      </c>
      <c r="P82" s="3"/>
    </row>
    <row r="83" spans="1:16" ht="22.5">
      <c r="A83" s="9" t="s">
        <v>5</v>
      </c>
      <c r="B83" s="9">
        <v>-1.7</v>
      </c>
      <c r="C83" s="37" t="s">
        <v>38</v>
      </c>
      <c r="D83" s="9">
        <v>1</v>
      </c>
      <c r="E83" s="9">
        <v>15</v>
      </c>
      <c r="F83" s="9">
        <v>0.1265</v>
      </c>
      <c r="G83" s="9">
        <v>0.468</v>
      </c>
      <c r="H83" s="9">
        <v>0.6</v>
      </c>
      <c r="I83" s="9">
        <v>0.99</v>
      </c>
      <c r="J83" s="38">
        <v>1450000000</v>
      </c>
      <c r="K83" s="9">
        <v>0.53</v>
      </c>
      <c r="L83" s="9">
        <v>42.1</v>
      </c>
      <c r="M83" s="38">
        <f>J83/K83/(L83*1000000)</f>
        <v>64.98453816160982</v>
      </c>
      <c r="N83" s="9">
        <v>0.74</v>
      </c>
      <c r="O83" s="39">
        <f>(E83/F83/G83/H83/I83/N83)/(J83/(L83*1E-27*K83))/D83*1E+33/(2*3.14156*C84)</f>
        <v>2.823457925241388</v>
      </c>
      <c r="P83" s="3"/>
    </row>
    <row r="84" spans="1:16" ht="22.5">
      <c r="A84" s="9" t="s">
        <v>24</v>
      </c>
      <c r="B84" s="9"/>
      <c r="C84" s="37" t="s">
        <v>43</v>
      </c>
      <c r="D84" s="9"/>
      <c r="E84" s="9">
        <v>5</v>
      </c>
      <c r="F84" s="9"/>
      <c r="G84" s="9"/>
      <c r="H84" s="9"/>
      <c r="I84" s="9"/>
      <c r="J84" s="38"/>
      <c r="K84" s="9"/>
      <c r="L84" s="9"/>
      <c r="M84" s="38"/>
      <c r="N84" s="9"/>
      <c r="O84" s="39">
        <f>E84/E83*O83</f>
        <v>0.9411526417471292</v>
      </c>
      <c r="P84" s="3"/>
    </row>
    <row r="85" spans="1:16" ht="22.5">
      <c r="A85" s="9" t="s">
        <v>5</v>
      </c>
      <c r="B85" s="9">
        <v>-1.7</v>
      </c>
      <c r="C85" s="37" t="s">
        <v>39</v>
      </c>
      <c r="D85" s="9">
        <v>1</v>
      </c>
      <c r="E85" s="9">
        <v>31</v>
      </c>
      <c r="F85" s="9">
        <v>0.1265</v>
      </c>
      <c r="G85" s="9">
        <v>0.468</v>
      </c>
      <c r="H85" s="9">
        <v>0.6</v>
      </c>
      <c r="I85" s="9">
        <v>0.99</v>
      </c>
      <c r="J85" s="38">
        <v>1450000000</v>
      </c>
      <c r="K85" s="9">
        <v>0.53</v>
      </c>
      <c r="L85" s="9">
        <v>42.1</v>
      </c>
      <c r="M85" s="38">
        <f>J85/K85/(L85*1000000)</f>
        <v>64.98453816160982</v>
      </c>
      <c r="N85" s="9">
        <v>0.74</v>
      </c>
      <c r="O85" s="39">
        <f>(E85/F85/G85/H85/I85/N85)/(J85/(L85*1E-27*K85))/D85*1E+33/(2*3.14156*C86)</f>
        <v>1.9450487929440674</v>
      </c>
      <c r="P85" s="3"/>
    </row>
    <row r="86" spans="1:16" ht="22.5">
      <c r="A86" s="9" t="s">
        <v>24</v>
      </c>
      <c r="B86" s="9"/>
      <c r="C86" s="37" t="s">
        <v>44</v>
      </c>
      <c r="D86" s="9"/>
      <c r="E86" s="9">
        <v>6.5</v>
      </c>
      <c r="F86" s="9"/>
      <c r="G86" s="9"/>
      <c r="H86" s="9"/>
      <c r="I86" s="9"/>
      <c r="J86" s="38"/>
      <c r="K86" s="9"/>
      <c r="L86" s="9"/>
      <c r="M86" s="38"/>
      <c r="N86" s="9"/>
      <c r="O86" s="39">
        <f>E86/E85*O85</f>
        <v>0.4078328114237561</v>
      </c>
      <c r="P86" s="3"/>
    </row>
    <row r="87" spans="1:16" ht="22.5">
      <c r="A87" s="9" t="s">
        <v>5</v>
      </c>
      <c r="B87" s="9">
        <v>-1.7</v>
      </c>
      <c r="C87" s="37" t="s">
        <v>40</v>
      </c>
      <c r="D87" s="9">
        <v>1</v>
      </c>
      <c r="E87" s="9">
        <v>10</v>
      </c>
      <c r="F87" s="9">
        <v>0.1265</v>
      </c>
      <c r="G87" s="9">
        <v>0.468</v>
      </c>
      <c r="H87" s="9">
        <v>0.6</v>
      </c>
      <c r="I87" s="9">
        <v>0.99</v>
      </c>
      <c r="J87" s="38">
        <v>1450000000</v>
      </c>
      <c r="K87" s="9">
        <v>0.53</v>
      </c>
      <c r="L87" s="9">
        <v>42.1</v>
      </c>
      <c r="M87" s="38">
        <f>J87/K87/(L87*1000000)</f>
        <v>64.98453816160982</v>
      </c>
      <c r="N87" s="9">
        <v>0.74</v>
      </c>
      <c r="O87" s="39">
        <f>(E87/F87/G87/H87/I87/N87)/(J87/(L87*1E-27*K87))/D87*1E+33/(2*3.14156*C88)</f>
        <v>0.3764610566988517</v>
      </c>
      <c r="P87" s="3"/>
    </row>
    <row r="88" spans="1:16" ht="22.5">
      <c r="A88" s="9" t="s">
        <v>24</v>
      </c>
      <c r="B88" s="9"/>
      <c r="C88" s="37" t="s">
        <v>45</v>
      </c>
      <c r="D88" s="9"/>
      <c r="E88" s="9">
        <v>4</v>
      </c>
      <c r="F88" s="9"/>
      <c r="G88" s="9"/>
      <c r="H88" s="9"/>
      <c r="I88" s="9"/>
      <c r="J88" s="38"/>
      <c r="K88" s="9"/>
      <c r="L88" s="9"/>
      <c r="M88" s="38"/>
      <c r="N88" s="9"/>
      <c r="O88" s="39">
        <f>E88/E87*O87</f>
        <v>0.1505844226795407</v>
      </c>
      <c r="P88" s="3"/>
    </row>
    <row r="89" spans="1:16" ht="22.5">
      <c r="A89" s="9" t="s">
        <v>5</v>
      </c>
      <c r="B89" s="9">
        <v>-1.7</v>
      </c>
      <c r="C89" s="37" t="s">
        <v>41</v>
      </c>
      <c r="D89" s="9">
        <v>1</v>
      </c>
      <c r="E89" s="9">
        <v>8</v>
      </c>
      <c r="F89" s="9">
        <v>0.1265</v>
      </c>
      <c r="G89" s="9">
        <v>0.468</v>
      </c>
      <c r="H89" s="9">
        <v>0.6</v>
      </c>
      <c r="I89" s="9">
        <v>0.99</v>
      </c>
      <c r="J89" s="38">
        <v>1450000000</v>
      </c>
      <c r="K89" s="9">
        <v>0.53</v>
      </c>
      <c r="L89" s="9">
        <v>42.1</v>
      </c>
      <c r="M89" s="38">
        <f>J89/K89/(L89*1000000)</f>
        <v>64.98453816160982</v>
      </c>
      <c r="N89" s="9">
        <v>0.74</v>
      </c>
      <c r="O89" s="39">
        <f>(E89/F89/G89/H89/I89/N89)/(J89/(L89*1E-27*K89))/D89*1E+33/(2*3.14156*C90)</f>
        <v>0.21512060382791526</v>
      </c>
      <c r="P89" s="3"/>
    </row>
    <row r="90" spans="1:16" ht="22.5">
      <c r="A90" s="9" t="s">
        <v>24</v>
      </c>
      <c r="B90" s="9"/>
      <c r="C90" s="37" t="s">
        <v>46</v>
      </c>
      <c r="D90" s="9"/>
      <c r="E90" s="9">
        <v>2.8</v>
      </c>
      <c r="F90" s="9"/>
      <c r="G90" s="9"/>
      <c r="H90" s="9"/>
      <c r="I90" s="9"/>
      <c r="J90" s="38"/>
      <c r="K90" s="9"/>
      <c r="L90" s="9"/>
      <c r="M90" s="38"/>
      <c r="N90" s="9"/>
      <c r="O90" s="39">
        <f>E90/E89*O89</f>
        <v>0.07529221133977033</v>
      </c>
      <c r="P90" s="3"/>
    </row>
    <row r="91" spans="2:16" ht="23.25">
      <c r="B91" s="2" t="s">
        <v>7</v>
      </c>
      <c r="C91" s="2"/>
      <c r="D91" s="2"/>
      <c r="O91" s="3"/>
      <c r="P91" s="8"/>
    </row>
    <row r="92" spans="2:16" ht="22.5">
      <c r="B92" s="3">
        <v>0.0588</v>
      </c>
      <c r="C92" s="3"/>
      <c r="O92" s="3"/>
      <c r="P92" s="8"/>
    </row>
    <row r="97" ht="22.5">
      <c r="E97" s="4"/>
    </row>
    <row r="98" ht="22.5">
      <c r="E98" s="4"/>
    </row>
    <row r="99" ht="22.5">
      <c r="E99" s="4"/>
    </row>
    <row r="100" ht="22.5">
      <c r="E100" s="4"/>
    </row>
    <row r="101" ht="22.5">
      <c r="E10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6.57421875" style="1" customWidth="1"/>
    <col min="3" max="3" width="5.00390625" style="1" customWidth="1"/>
    <col min="4" max="4" width="7.421875" style="1" customWidth="1"/>
    <col min="5" max="5" width="6.7109375" style="1" customWidth="1"/>
    <col min="6" max="6" width="6.421875" style="1" customWidth="1"/>
    <col min="7" max="7" width="7.421875" style="1" customWidth="1"/>
    <col min="8" max="8" width="8.1406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10.57421875" style="1" customWidth="1"/>
    <col min="13" max="13" width="12.7109375" style="1" customWidth="1"/>
    <col min="14" max="14" width="7.8515625" style="1" customWidth="1"/>
    <col min="15" max="15" width="11.421875" style="1" customWidth="1"/>
    <col min="16" max="16" width="11.00390625" style="1" customWidth="1"/>
    <col min="17" max="17" width="7.7109375" style="1" customWidth="1"/>
    <col min="18" max="18" width="11.57421875" style="1" customWidth="1"/>
    <col min="19" max="19" width="10.57421875" style="1" customWidth="1"/>
    <col min="20" max="16384" width="10.421875" style="1" customWidth="1"/>
  </cols>
  <sheetData>
    <row r="1" spans="1:15" ht="26.25" customHeight="1">
      <c r="A1" s="102" t="s">
        <v>179</v>
      </c>
      <c r="D1" s="1" t="s">
        <v>67</v>
      </c>
      <c r="E1" s="1" t="s">
        <v>68</v>
      </c>
      <c r="F1" s="1" t="s">
        <v>69</v>
      </c>
      <c r="G1" s="1" t="s">
        <v>70</v>
      </c>
      <c r="H1" s="5" t="s">
        <v>10</v>
      </c>
      <c r="J1" s="5" t="s">
        <v>9</v>
      </c>
      <c r="M1" s="1" t="s">
        <v>71</v>
      </c>
      <c r="N1" s="5" t="s">
        <v>23</v>
      </c>
      <c r="O1" s="2" t="s">
        <v>26</v>
      </c>
    </row>
    <row r="2" spans="2:19" s="2" customFormat="1" ht="21" customHeight="1">
      <c r="B2" s="2" t="s">
        <v>0</v>
      </c>
      <c r="C2" s="2" t="s">
        <v>1</v>
      </c>
      <c r="D2" s="2" t="s">
        <v>72</v>
      </c>
      <c r="E2" s="2" t="s">
        <v>73</v>
      </c>
      <c r="F2" s="2" t="s">
        <v>74</v>
      </c>
      <c r="G2" s="2" t="s">
        <v>74</v>
      </c>
      <c r="H2" s="2" t="s">
        <v>3</v>
      </c>
      <c r="I2" s="2" t="s">
        <v>11</v>
      </c>
      <c r="J2" s="2" t="s">
        <v>8</v>
      </c>
      <c r="K2" s="2" t="s">
        <v>4</v>
      </c>
      <c r="L2" s="2" t="s">
        <v>12</v>
      </c>
      <c r="M2" s="2" t="s">
        <v>75</v>
      </c>
      <c r="N2" s="2" t="s">
        <v>22</v>
      </c>
      <c r="O2" s="2" t="s">
        <v>200</v>
      </c>
      <c r="P2" s="2" t="s">
        <v>15</v>
      </c>
      <c r="Q2" s="2" t="s">
        <v>77</v>
      </c>
      <c r="R2" s="2" t="s">
        <v>78</v>
      </c>
      <c r="S2" s="2" t="s">
        <v>79</v>
      </c>
    </row>
    <row r="3" spans="1:19" ht="22.5">
      <c r="A3" s="14" t="s">
        <v>80</v>
      </c>
      <c r="B3" s="14">
        <v>-1.7</v>
      </c>
      <c r="C3" s="14">
        <v>1</v>
      </c>
      <c r="D3" s="14">
        <f>8.4</f>
        <v>8.4</v>
      </c>
      <c r="E3" s="14">
        <v>578</v>
      </c>
      <c r="F3" s="14">
        <f>G8+G10+G12+G14</f>
        <v>0.8800000000000001</v>
      </c>
      <c r="G3" s="14">
        <f>G8+G10+G12+G14</f>
        <v>0.8800000000000001</v>
      </c>
      <c r="H3" s="14">
        <v>0.128</v>
      </c>
      <c r="I3" s="14">
        <v>0.486</v>
      </c>
      <c r="J3" s="14">
        <v>0.679</v>
      </c>
      <c r="K3" s="14">
        <v>0.99</v>
      </c>
      <c r="L3" s="15">
        <v>2750000000</v>
      </c>
      <c r="M3" s="14">
        <f>0.88/0.92</f>
        <v>0.9565217391304347</v>
      </c>
      <c r="N3" s="14">
        <v>2180</v>
      </c>
      <c r="O3" s="7">
        <f>(M3*E3/H3/I3/J3/K3)/(L3/(N3*1E-27))/C3*1E+30</f>
        <v>10.480820309773721</v>
      </c>
      <c r="P3" s="7">
        <f>O3/(2*197)/O$41</f>
        <v>1.000809174411703</v>
      </c>
      <c r="Q3" s="3"/>
      <c r="R3" s="45">
        <v>0.096</v>
      </c>
      <c r="S3" s="45"/>
    </row>
    <row r="4" spans="1:19" ht="22.5">
      <c r="A4" s="14" t="s">
        <v>24</v>
      </c>
      <c r="B4" s="14">
        <v>-1.7</v>
      </c>
      <c r="C4" s="14">
        <v>1</v>
      </c>
      <c r="D4" s="14">
        <v>0.7</v>
      </c>
      <c r="E4" s="14">
        <v>27</v>
      </c>
      <c r="F4" s="14"/>
      <c r="G4" s="14"/>
      <c r="H4" s="14"/>
      <c r="I4" s="14"/>
      <c r="J4" s="14"/>
      <c r="K4" s="14"/>
      <c r="L4" s="15"/>
      <c r="M4" s="14"/>
      <c r="N4" s="14"/>
      <c r="O4" s="7">
        <f>E4/E3*O3</f>
        <v>0.48958849197904925</v>
      </c>
      <c r="P4" s="7">
        <f>O4/O3*P3</f>
        <v>0.046750601572865015</v>
      </c>
      <c r="Q4" s="3"/>
      <c r="R4" s="45">
        <f>SQRT(P4^2+(R3*P3)^2)</f>
        <v>0.10684820768023763</v>
      </c>
      <c r="S4" s="45"/>
    </row>
    <row r="5" spans="1:17" s="11" customFormat="1" ht="22.5">
      <c r="A5" s="11" t="s">
        <v>81</v>
      </c>
      <c r="B5" s="11">
        <v>-1.7</v>
      </c>
      <c r="C5" s="11">
        <v>1</v>
      </c>
      <c r="D5" s="11">
        <v>3.6</v>
      </c>
      <c r="E5" s="11">
        <v>58</v>
      </c>
      <c r="F5" s="11">
        <v>0.88</v>
      </c>
      <c r="G5" s="11">
        <v>0.148</v>
      </c>
      <c r="H5" s="11">
        <v>0.128</v>
      </c>
      <c r="I5" s="11">
        <f aca="true" t="shared" si="0" ref="I5:J14">I$3</f>
        <v>0.486</v>
      </c>
      <c r="J5" s="11">
        <f t="shared" si="0"/>
        <v>0.679</v>
      </c>
      <c r="K5" s="11">
        <v>0.99</v>
      </c>
      <c r="L5" s="12">
        <f aca="true" t="shared" si="1" ref="L5:L14">L$3</f>
        <v>2750000000</v>
      </c>
      <c r="M5" s="11">
        <f>1</f>
        <v>1</v>
      </c>
      <c r="N5" s="11">
        <v>2180</v>
      </c>
      <c r="O5" s="152">
        <f>(M5*E5/H5/I5/J5/K5)/(L5/(N5*1E-27))/C5*1E+30</f>
        <v>1.0995135493266865</v>
      </c>
      <c r="P5" s="45">
        <f>(O5/O$41)/(2*197)/(D5/D$3)/(G5/F5)</f>
        <v>1.4566470386633752</v>
      </c>
      <c r="Q5" s="8"/>
    </row>
    <row r="6" spans="1:17" s="11" customFormat="1" ht="22.5">
      <c r="A6" s="47" t="s">
        <v>24</v>
      </c>
      <c r="B6" s="11">
        <v>-1.7</v>
      </c>
      <c r="C6" s="11">
        <v>1</v>
      </c>
      <c r="D6" s="11">
        <v>0.25</v>
      </c>
      <c r="E6" s="11">
        <v>8</v>
      </c>
      <c r="L6" s="12"/>
      <c r="O6" s="8">
        <f>E6/E5*O5</f>
        <v>0.15165704128643953</v>
      </c>
      <c r="P6" s="8">
        <f>O6/O5*P5</f>
        <v>0.20091683291908624</v>
      </c>
      <c r="Q6" s="8"/>
    </row>
    <row r="7" spans="1:19" ht="22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4"/>
      <c r="O7" s="7"/>
      <c r="P7" s="7"/>
      <c r="Q7" s="3"/>
      <c r="R7" s="45"/>
      <c r="S7" s="45"/>
    </row>
    <row r="8" spans="1:19" s="49" customFormat="1" ht="22.5">
      <c r="A8" s="48" t="s">
        <v>82</v>
      </c>
      <c r="B8" s="49">
        <v>-1.7</v>
      </c>
      <c r="C8" s="49">
        <v>1</v>
      </c>
      <c r="D8" s="49">
        <v>15</v>
      </c>
      <c r="E8" s="49">
        <v>288</v>
      </c>
      <c r="F8" s="49">
        <f>G8+G10+G12+G14</f>
        <v>0.8800000000000001</v>
      </c>
      <c r="G8" s="49">
        <v>0.2</v>
      </c>
      <c r="H8" s="49">
        <v>0.128</v>
      </c>
      <c r="I8" s="49">
        <f t="shared" si="0"/>
        <v>0.486</v>
      </c>
      <c r="J8" s="49">
        <f t="shared" si="0"/>
        <v>0.679</v>
      </c>
      <c r="K8" s="49">
        <v>0.99</v>
      </c>
      <c r="L8" s="50">
        <f t="shared" si="1"/>
        <v>2750000000</v>
      </c>
      <c r="M8" s="49">
        <v>1</v>
      </c>
      <c r="N8" s="49">
        <v>2180</v>
      </c>
      <c r="O8" s="51">
        <f>(M8*E8/H8/I8/J8/K8)/(L8/(N8*1E-27))/C8*1E+30</f>
        <v>5.459653486311822</v>
      </c>
      <c r="P8" s="51">
        <f>(O8/O$41)/(2*197)/(D8/D$3)/(G8/F8)</f>
        <v>1.2845818629514698</v>
      </c>
      <c r="Q8" s="51">
        <f>P8/P14</f>
        <v>1.9438644067796609</v>
      </c>
      <c r="R8" s="51">
        <v>0.148</v>
      </c>
      <c r="S8" s="51">
        <v>0.1475</v>
      </c>
    </row>
    <row r="9" spans="1:19" s="53" customFormat="1" ht="22.5">
      <c r="A9" s="52" t="s">
        <v>24</v>
      </c>
      <c r="B9" s="53">
        <v>-1.7</v>
      </c>
      <c r="C9" s="53">
        <v>1</v>
      </c>
      <c r="D9" s="53">
        <v>1</v>
      </c>
      <c r="E9" s="53">
        <v>20</v>
      </c>
      <c r="L9" s="54"/>
      <c r="O9" s="55">
        <f>E9/E8*O8</f>
        <v>0.3791426032160988</v>
      </c>
      <c r="P9" s="55">
        <f>O9/O8*P8</f>
        <v>0.0892070738160743</v>
      </c>
      <c r="Q9" s="55">
        <f>P9/P8*Q8</f>
        <v>0.1349905838041431</v>
      </c>
      <c r="R9" s="55">
        <f>SQRT(P9^2+(R8*P8)^2)</f>
        <v>0.21000666642404414</v>
      </c>
      <c r="S9" s="55">
        <f>SQRT(Q9^2+(S8*Q8)^2)</f>
        <v>0.31690821402384534</v>
      </c>
    </row>
    <row r="10" spans="1:19" s="57" customFormat="1" ht="22.5">
      <c r="A10" s="56" t="s">
        <v>83</v>
      </c>
      <c r="B10" s="57">
        <v>-1.7</v>
      </c>
      <c r="C10" s="57">
        <v>1</v>
      </c>
      <c r="D10" s="57">
        <v>10.4</v>
      </c>
      <c r="E10" s="57">
        <v>168</v>
      </c>
      <c r="F10" s="57">
        <f>G8+G10+G12+G14</f>
        <v>0.8800000000000001</v>
      </c>
      <c r="G10" s="57">
        <v>0.2</v>
      </c>
      <c r="H10" s="57">
        <v>0.128</v>
      </c>
      <c r="I10" s="57">
        <f t="shared" si="0"/>
        <v>0.486</v>
      </c>
      <c r="J10" s="57">
        <f t="shared" si="0"/>
        <v>0.679</v>
      </c>
      <c r="K10" s="57">
        <v>0.99</v>
      </c>
      <c r="L10" s="58">
        <f t="shared" si="1"/>
        <v>2750000000</v>
      </c>
      <c r="M10" s="57">
        <f>0.995</f>
        <v>0.995</v>
      </c>
      <c r="N10" s="57">
        <v>2180</v>
      </c>
      <c r="O10" s="59">
        <f>(M10*E10/H10/I10/J10/K10)/(L10/(N10*1E-27))/C10*1E+30</f>
        <v>3.1688738776801535</v>
      </c>
      <c r="P10" s="59">
        <f>(O10/O$41)/(2*197)/(D10/D$3)/(G10/F10)</f>
        <v>1.0753741196462725</v>
      </c>
      <c r="Q10" s="59">
        <f>P10/P14</f>
        <v>1.6272855280312906</v>
      </c>
      <c r="R10" s="59">
        <v>0.1494</v>
      </c>
      <c r="S10" s="59">
        <v>0.1494</v>
      </c>
    </row>
    <row r="11" spans="1:19" s="57" customFormat="1" ht="22.5">
      <c r="A11" s="56" t="s">
        <v>24</v>
      </c>
      <c r="B11" s="57">
        <v>-1.7</v>
      </c>
      <c r="C11" s="57">
        <v>1</v>
      </c>
      <c r="D11" s="57">
        <v>0.7</v>
      </c>
      <c r="E11" s="57">
        <v>14</v>
      </c>
      <c r="L11" s="58"/>
      <c r="O11" s="59">
        <f>E11/E10*O10</f>
        <v>0.2640728231400128</v>
      </c>
      <c r="P11" s="59">
        <f>O11/O10*P10</f>
        <v>0.0896145099705227</v>
      </c>
      <c r="Q11" s="59">
        <f>P11/P10*Q10</f>
        <v>0.13560712733594088</v>
      </c>
      <c r="R11" s="59">
        <f>SQRT(P11^2+(R10*P10)^2)</f>
        <v>0.18396380918401156</v>
      </c>
      <c r="S11" s="59">
        <f>SQRT(Q11^2+(S10*Q10)^2)</f>
        <v>0.27837906724510175</v>
      </c>
    </row>
    <row r="12" spans="1:19" s="53" customFormat="1" ht="22.5">
      <c r="A12" s="52" t="s">
        <v>84</v>
      </c>
      <c r="B12" s="53">
        <v>-1.7</v>
      </c>
      <c r="C12" s="53">
        <v>1</v>
      </c>
      <c r="D12" s="53">
        <v>6.9</v>
      </c>
      <c r="E12" s="53">
        <v>81</v>
      </c>
      <c r="F12" s="53">
        <f>G8+G10+G12+G14</f>
        <v>0.8800000000000001</v>
      </c>
      <c r="G12" s="53">
        <v>0.2</v>
      </c>
      <c r="H12" s="53">
        <v>0.128</v>
      </c>
      <c r="I12" s="53">
        <f t="shared" si="0"/>
        <v>0.486</v>
      </c>
      <c r="J12" s="53">
        <f t="shared" si="0"/>
        <v>0.679</v>
      </c>
      <c r="K12" s="53">
        <v>0.99</v>
      </c>
      <c r="L12" s="54">
        <f t="shared" si="1"/>
        <v>2750000000</v>
      </c>
      <c r="M12" s="53">
        <f>0.974</f>
        <v>0.974</v>
      </c>
      <c r="N12" s="53">
        <v>2180</v>
      </c>
      <c r="O12" s="55">
        <f>(M12*E12/H12/I12/J12/K12)/(L12/(N12*1E-27))/C12*1E+30</f>
        <v>1.4956038269065446</v>
      </c>
      <c r="P12" s="55">
        <f>(O12/O$41)/(2*197)/(D12/D$3)/(G12/F12)</f>
        <v>0.7649894436571049</v>
      </c>
      <c r="Q12" s="55">
        <f>P12/P14</f>
        <v>1.1576029476787029</v>
      </c>
      <c r="R12" s="55">
        <v>0.1676</v>
      </c>
      <c r="S12" s="55">
        <v>0.1676</v>
      </c>
    </row>
    <row r="13" spans="1:19" s="53" customFormat="1" ht="22.5">
      <c r="A13" s="52" t="s">
        <v>24</v>
      </c>
      <c r="B13" s="53">
        <v>-1.7</v>
      </c>
      <c r="C13" s="53">
        <v>1</v>
      </c>
      <c r="D13" s="53">
        <v>0.6</v>
      </c>
      <c r="E13" s="53">
        <v>11</v>
      </c>
      <c r="L13" s="54"/>
      <c r="O13" s="55">
        <f>E13/E12*O12</f>
        <v>0.20310669254286406</v>
      </c>
      <c r="P13" s="55">
        <f>O13/O12*P12</f>
        <v>0.10388745531145868</v>
      </c>
      <c r="Q13" s="55">
        <f>P13/P12*Q12</f>
        <v>0.157205338573651</v>
      </c>
      <c r="R13" s="55">
        <f>SQRT(P13^2+(R12*P12)^2)</f>
        <v>0.16501811866203903</v>
      </c>
      <c r="S13" s="55">
        <f>SQRT(Q13^2+(S12*Q12)^2)</f>
        <v>0.2497099302055136</v>
      </c>
    </row>
    <row r="14" spans="1:19" s="57" customFormat="1" ht="22.5">
      <c r="A14" s="56" t="s">
        <v>85</v>
      </c>
      <c r="B14" s="57">
        <v>-1.7</v>
      </c>
      <c r="C14" s="57">
        <v>1</v>
      </c>
      <c r="D14" s="57">
        <v>3.2</v>
      </c>
      <c r="E14" s="57">
        <v>50</v>
      </c>
      <c r="F14" s="57">
        <f>G8+G10+G12+G14</f>
        <v>0.8800000000000001</v>
      </c>
      <c r="G14" s="57">
        <v>0.28</v>
      </c>
      <c r="H14" s="57">
        <v>0.128</v>
      </c>
      <c r="I14" s="57">
        <f t="shared" si="0"/>
        <v>0.486</v>
      </c>
      <c r="J14" s="57">
        <f t="shared" si="0"/>
        <v>0.679</v>
      </c>
      <c r="K14" s="57">
        <v>0.99</v>
      </c>
      <c r="L14" s="58">
        <f t="shared" si="1"/>
        <v>2750000000</v>
      </c>
      <c r="M14" s="57">
        <f>0.885</f>
        <v>0.885</v>
      </c>
      <c r="N14" s="57">
        <v>2180</v>
      </c>
      <c r="O14" s="59">
        <f>(M14*E14/H14/I14/J14/K14)/(L14/(N14*1E-27))/C14*1E+30</f>
        <v>0.8388530096156186</v>
      </c>
      <c r="P14" s="59">
        <f>(O14/O$41)/(2*197)/(D14/D$3)/(G14/F14)</f>
        <v>0.6608392326497692</v>
      </c>
      <c r="Q14" s="59">
        <f>P14/P14</f>
        <v>1</v>
      </c>
      <c r="R14" s="59">
        <v>0.182</v>
      </c>
      <c r="S14" s="59">
        <v>0.182</v>
      </c>
    </row>
    <row r="15" spans="1:19" s="57" customFormat="1" ht="22.5">
      <c r="A15" s="56" t="s">
        <v>24</v>
      </c>
      <c r="B15" s="57">
        <v>-1.7</v>
      </c>
      <c r="C15" s="57">
        <v>1</v>
      </c>
      <c r="D15" s="57">
        <v>0.3</v>
      </c>
      <c r="E15" s="57">
        <v>9</v>
      </c>
      <c r="L15" s="58"/>
      <c r="O15" s="59">
        <f>E15/E14*O14</f>
        <v>0.15099354173081134</v>
      </c>
      <c r="P15" s="59">
        <f>O15/O14*P14</f>
        <v>0.11895106187695845</v>
      </c>
      <c r="Q15" s="59">
        <f>P15/P14*Q14</f>
        <v>0.18</v>
      </c>
      <c r="R15" s="59">
        <f>SQRT(P15^2+(R14*P14)^2)</f>
        <v>0.16915935442975719</v>
      </c>
      <c r="S15" s="59">
        <f>SQRT(Q15^2+(S14*Q14)^2)</f>
        <v>0.25597656142701813</v>
      </c>
    </row>
    <row r="16" spans="1:17" s="62" customFormat="1" ht="22.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 t="s">
        <v>86</v>
      </c>
      <c r="M16" s="62">
        <f>(M8*G8+M10*G10+M12*G12+M14*G14)/(G8+G10+G12+G14)</f>
        <v>0.9563636363636363</v>
      </c>
      <c r="N16" s="60"/>
      <c r="O16" s="63" t="s">
        <v>87</v>
      </c>
      <c r="P16" s="64">
        <f>(P8*G8+P10*G10+P12*G12+P14*G14)/(G8+G10+G12+G14)</f>
        <v>0.9204818981737554</v>
      </c>
      <c r="Q16" s="63"/>
    </row>
    <row r="17" spans="1:17" ht="22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4"/>
      <c r="N17" s="14"/>
      <c r="O17" s="7"/>
      <c r="P17" s="65"/>
      <c r="Q17" s="3"/>
    </row>
    <row r="18" spans="1:18" ht="22.5">
      <c r="A18" s="14" t="s">
        <v>80</v>
      </c>
      <c r="B18" s="14">
        <v>1.8</v>
      </c>
      <c r="C18" s="14">
        <v>1.2</v>
      </c>
      <c r="D18" s="14">
        <f>8.4</f>
        <v>8.4</v>
      </c>
      <c r="E18" s="14">
        <v>784</v>
      </c>
      <c r="F18" s="14">
        <f>G23+G25+G27+G29</f>
        <v>0.88</v>
      </c>
      <c r="G18" s="14">
        <f>G23+G25+G27+G29</f>
        <v>0.88</v>
      </c>
      <c r="H18" s="14">
        <v>0.127</v>
      </c>
      <c r="I18" s="14">
        <v>0.672</v>
      </c>
      <c r="J18" s="14">
        <v>0.75</v>
      </c>
      <c r="K18" s="14">
        <v>0.93</v>
      </c>
      <c r="L18" s="15">
        <v>3264000000</v>
      </c>
      <c r="M18" s="14">
        <f>$M$3</f>
        <v>0.9565217391304347</v>
      </c>
      <c r="N18" s="14">
        <f>$N$3</f>
        <v>2180</v>
      </c>
      <c r="O18" s="7">
        <f>(M18*E18/H18/I18/J18/K18)/(L18/(N18*1E-27*M18))/C18*1E+30</f>
        <v>6.706773563988782</v>
      </c>
      <c r="P18" s="7">
        <f>O18/(2*197)/O$41/(M18*G18/F18)</f>
        <v>0.6695373386318614</v>
      </c>
      <c r="Q18" s="3"/>
      <c r="R18" s="45">
        <v>0.111</v>
      </c>
    </row>
    <row r="19" spans="1:18" ht="22.5">
      <c r="A19" s="14" t="s">
        <v>24</v>
      </c>
      <c r="B19" s="14">
        <v>1.8</v>
      </c>
      <c r="C19" s="14">
        <v>1.2</v>
      </c>
      <c r="D19" s="14">
        <v>0.7</v>
      </c>
      <c r="E19" s="14">
        <v>31</v>
      </c>
      <c r="F19" s="14"/>
      <c r="G19" s="14"/>
      <c r="H19" s="14"/>
      <c r="I19" s="14"/>
      <c r="J19" s="14"/>
      <c r="K19" s="14"/>
      <c r="L19" s="15"/>
      <c r="M19" s="14"/>
      <c r="N19" s="14"/>
      <c r="O19" s="7">
        <f>E19/E18*O18</f>
        <v>0.2651913016373115</v>
      </c>
      <c r="P19" s="7">
        <f>O19/O18*P18</f>
        <v>0.02647405293059656</v>
      </c>
      <c r="Q19" s="3"/>
      <c r="R19" s="45">
        <f>SQRT(P19^2+(R18*P18)^2)</f>
        <v>0.07889319623383119</v>
      </c>
    </row>
    <row r="20" spans="1:17" s="11" customFormat="1" ht="22.5">
      <c r="A20" s="11" t="s">
        <v>81</v>
      </c>
      <c r="B20" s="11">
        <v>1.8</v>
      </c>
      <c r="C20" s="11">
        <v>1.2</v>
      </c>
      <c r="D20" s="11">
        <v>3.6</v>
      </c>
      <c r="E20" s="11">
        <v>80</v>
      </c>
      <c r="F20" s="11">
        <v>0.88</v>
      </c>
      <c r="G20" s="11">
        <f>0.148</f>
        <v>0.148</v>
      </c>
      <c r="H20" s="11">
        <v>0.127</v>
      </c>
      <c r="I20" s="11">
        <f aca="true" t="shared" si="2" ref="I20:J29">I$18</f>
        <v>0.672</v>
      </c>
      <c r="J20" s="11">
        <f t="shared" si="2"/>
        <v>0.75</v>
      </c>
      <c r="K20" s="11">
        <v>0.93</v>
      </c>
      <c r="L20" s="12">
        <f aca="true" t="shared" si="3" ref="L20:L29">L$18</f>
        <v>3264000000</v>
      </c>
      <c r="M20" s="11">
        <v>1</v>
      </c>
      <c r="N20" s="11">
        <f aca="true" t="shared" si="4" ref="N20:N29">$N$3</f>
        <v>2180</v>
      </c>
      <c r="O20" s="45">
        <f>(E20/H20/I20/J20/K20)/(L20/(N20*1E-27))/C20*1E+30</f>
        <v>0.7479935940609854</v>
      </c>
      <c r="P20" s="45">
        <f>(O20/O$41)/(2*197)/(D20/D$3)/(G20*M20/F20)</f>
        <v>0.9909497289918157</v>
      </c>
      <c r="Q20" s="8"/>
    </row>
    <row r="21" spans="1:17" s="11" customFormat="1" ht="22.5">
      <c r="A21" s="47" t="s">
        <v>24</v>
      </c>
      <c r="B21" s="11">
        <v>1.8</v>
      </c>
      <c r="C21" s="11">
        <v>1.2</v>
      </c>
      <c r="D21" s="11">
        <v>0.25</v>
      </c>
      <c r="E21" s="11">
        <v>10</v>
      </c>
      <c r="L21" s="12"/>
      <c r="O21" s="8">
        <f>E21/E20*O20</f>
        <v>0.09349919925762318</v>
      </c>
      <c r="P21" s="8">
        <f>O21/O20*P20</f>
        <v>0.12386871612397696</v>
      </c>
      <c r="Q21" s="8"/>
    </row>
    <row r="22" spans="1:18" ht="22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4"/>
      <c r="O22" s="7"/>
      <c r="P22" s="7"/>
      <c r="Q22" s="3"/>
      <c r="R22" s="45"/>
    </row>
    <row r="23" spans="1:19" s="71" customFormat="1" ht="22.5">
      <c r="A23" s="66" t="s">
        <v>82</v>
      </c>
      <c r="B23" s="67">
        <v>1.8</v>
      </c>
      <c r="C23" s="67">
        <v>1.2</v>
      </c>
      <c r="D23" s="67">
        <v>15</v>
      </c>
      <c r="E23" s="67">
        <v>287</v>
      </c>
      <c r="F23" s="67">
        <f>G23+G25+G27+G29</f>
        <v>0.88</v>
      </c>
      <c r="G23" s="67">
        <v>0.2</v>
      </c>
      <c r="H23" s="67">
        <v>0.127</v>
      </c>
      <c r="I23" s="67">
        <f t="shared" si="2"/>
        <v>0.672</v>
      </c>
      <c r="J23" s="67">
        <f t="shared" si="2"/>
        <v>0.75</v>
      </c>
      <c r="K23" s="67">
        <v>0.93</v>
      </c>
      <c r="L23" s="68">
        <f t="shared" si="3"/>
        <v>3264000000</v>
      </c>
      <c r="M23" s="67">
        <v>1</v>
      </c>
      <c r="N23" s="67">
        <f t="shared" si="4"/>
        <v>2180</v>
      </c>
      <c r="O23" s="140">
        <f>(M23*E23/H23/I23/J23/K23)/(L23/(N23*1E-27))/C23*1E+30</f>
        <v>2.683427018693786</v>
      </c>
      <c r="P23" s="140">
        <f>(O23/O$41)/(2*197)/(D23/D$3)/(G23/F23)</f>
        <v>0.6313737103298455</v>
      </c>
      <c r="Q23" s="70">
        <f>P23/P29</f>
        <v>0.8278268707647238</v>
      </c>
      <c r="R23" s="67">
        <v>0.1483</v>
      </c>
      <c r="S23" s="67">
        <v>0.1483</v>
      </c>
    </row>
    <row r="24" spans="1:19" s="76" customFormat="1" ht="22.5">
      <c r="A24" s="72" t="s">
        <v>24</v>
      </c>
      <c r="B24" s="73">
        <v>1.8</v>
      </c>
      <c r="C24" s="73">
        <v>1.2</v>
      </c>
      <c r="D24" s="73">
        <v>1</v>
      </c>
      <c r="E24" s="73">
        <v>19</v>
      </c>
      <c r="F24" s="73"/>
      <c r="G24" s="73"/>
      <c r="H24" s="73"/>
      <c r="I24" s="73"/>
      <c r="J24" s="73"/>
      <c r="K24" s="73"/>
      <c r="L24" s="74"/>
      <c r="M24" s="73"/>
      <c r="N24" s="73"/>
      <c r="O24" s="75">
        <f>E24/E23*O23</f>
        <v>0.1776484785894841</v>
      </c>
      <c r="P24" s="75">
        <f>O24/O23*P23</f>
        <v>0.041798259568874785</v>
      </c>
      <c r="Q24" s="75">
        <f>P24/P23*Q23</f>
        <v>0.054803869493135024</v>
      </c>
      <c r="R24" s="75">
        <f>SQRT(P24^2+(R23*P23)^2)</f>
        <v>0.10253868045841723</v>
      </c>
      <c r="S24" s="75">
        <f>SQRT(Q24^2+(S23*Q23)^2)</f>
        <v>0.13444379071768728</v>
      </c>
    </row>
    <row r="25" spans="1:19" s="78" customFormat="1" ht="22.5">
      <c r="A25" s="56" t="s">
        <v>83</v>
      </c>
      <c r="B25" s="57">
        <v>1.8</v>
      </c>
      <c r="C25" s="57">
        <v>1.2</v>
      </c>
      <c r="D25" s="57">
        <v>10.4</v>
      </c>
      <c r="E25" s="57">
        <v>241</v>
      </c>
      <c r="F25" s="57">
        <f>G23+G25+G27+G29</f>
        <v>0.88</v>
      </c>
      <c r="G25" s="57">
        <v>0.2</v>
      </c>
      <c r="H25" s="57">
        <v>0.127</v>
      </c>
      <c r="I25" s="57">
        <f t="shared" si="2"/>
        <v>0.672</v>
      </c>
      <c r="J25" s="57">
        <f t="shared" si="2"/>
        <v>0.75</v>
      </c>
      <c r="K25" s="57">
        <v>0.93</v>
      </c>
      <c r="L25" s="58">
        <f t="shared" si="3"/>
        <v>3264000000</v>
      </c>
      <c r="M25" s="57">
        <v>0.995</v>
      </c>
      <c r="N25" s="57">
        <f t="shared" si="4"/>
        <v>2180</v>
      </c>
      <c r="O25" s="59">
        <f>(M25*E25/H25/I25/J25/K25)/(L25/(N25*1E-27))/C25*1E+30</f>
        <v>2.2420640485981753</v>
      </c>
      <c r="P25" s="59">
        <f>(O25/O$41)/(2*197)/(D25/D$3)/(G25/F25)</f>
        <v>0.7608562995940027</v>
      </c>
      <c r="Q25" s="77">
        <f>P25/P29</f>
        <v>0.9975982200232525</v>
      </c>
      <c r="R25" s="57">
        <v>0.1502</v>
      </c>
      <c r="S25" s="57">
        <v>0.1502</v>
      </c>
    </row>
    <row r="26" spans="1:19" s="78" customFormat="1" ht="22.5">
      <c r="A26" s="56" t="s">
        <v>24</v>
      </c>
      <c r="B26" s="57">
        <v>1.8</v>
      </c>
      <c r="C26" s="57">
        <v>1.2</v>
      </c>
      <c r="D26" s="57">
        <v>0.7</v>
      </c>
      <c r="E26" s="57">
        <v>17</v>
      </c>
      <c r="F26" s="57"/>
      <c r="G26" s="57"/>
      <c r="H26" s="57"/>
      <c r="I26" s="57"/>
      <c r="J26" s="57"/>
      <c r="K26" s="57"/>
      <c r="L26" s="58"/>
      <c r="M26" s="57"/>
      <c r="N26" s="57"/>
      <c r="O26" s="59">
        <f>E26/E25*O25</f>
        <v>0.15815389554426962</v>
      </c>
      <c r="P26" s="59">
        <f>O26/O25*P25</f>
        <v>0.05367036138214957</v>
      </c>
      <c r="Q26" s="59">
        <f>P26/P25*Q25</f>
        <v>0.07036999892280205</v>
      </c>
      <c r="R26" s="59">
        <f>SQRT(P26^2+(R25*P25)^2)</f>
        <v>0.12625595799691222</v>
      </c>
      <c r="S26" s="59">
        <f>SQRT(Q26^2+(S25*Q25)^2)</f>
        <v>0.16554074538419314</v>
      </c>
    </row>
    <row r="27" spans="1:19" s="76" customFormat="1" ht="22.5">
      <c r="A27" s="72" t="s">
        <v>84</v>
      </c>
      <c r="B27" s="73">
        <v>1.8</v>
      </c>
      <c r="C27" s="73">
        <v>1.2</v>
      </c>
      <c r="D27" s="73">
        <v>6.9</v>
      </c>
      <c r="E27" s="73">
        <v>146</v>
      </c>
      <c r="F27" s="73">
        <f>G23+G25+G27+G29</f>
        <v>0.88</v>
      </c>
      <c r="G27" s="73">
        <f>0.6-0.4</f>
        <v>0.19999999999999996</v>
      </c>
      <c r="H27" s="73">
        <v>0.127</v>
      </c>
      <c r="I27" s="73">
        <f t="shared" si="2"/>
        <v>0.672</v>
      </c>
      <c r="J27" s="73">
        <f t="shared" si="2"/>
        <v>0.75</v>
      </c>
      <c r="K27" s="73">
        <v>0.93</v>
      </c>
      <c r="L27" s="74">
        <f t="shared" si="3"/>
        <v>3264000000</v>
      </c>
      <c r="M27" s="73">
        <v>0.974</v>
      </c>
      <c r="N27" s="73">
        <f t="shared" si="4"/>
        <v>2180</v>
      </c>
      <c r="O27" s="75">
        <f>(M27*E27/H27/I27/J27/K27)/(L27/(N27*1E-27))/C27*1E+30</f>
        <v>1.329596013123105</v>
      </c>
      <c r="P27" s="75">
        <f>(O27/O$41)/(2*197)/(D27/D$3)/(G27/F27)</f>
        <v>0.680077769305752</v>
      </c>
      <c r="Q27" s="79">
        <f>P27/P29</f>
        <v>0.891685292608899</v>
      </c>
      <c r="R27" s="73">
        <v>0.1683</v>
      </c>
      <c r="S27" s="73">
        <v>0.1683</v>
      </c>
    </row>
    <row r="28" spans="1:19" s="76" customFormat="1" ht="22.5">
      <c r="A28" s="72" t="s">
        <v>24</v>
      </c>
      <c r="B28" s="73">
        <v>1.8</v>
      </c>
      <c r="C28" s="73">
        <v>1.2</v>
      </c>
      <c r="D28" s="73">
        <v>0.6</v>
      </c>
      <c r="E28" s="73">
        <v>14</v>
      </c>
      <c r="F28" s="73"/>
      <c r="G28" s="73"/>
      <c r="H28" s="73"/>
      <c r="I28" s="73"/>
      <c r="J28" s="73"/>
      <c r="K28" s="73"/>
      <c r="L28" s="74"/>
      <c r="M28" s="73"/>
      <c r="N28" s="73"/>
      <c r="O28" s="75">
        <f>E28/E27*O27</f>
        <v>0.127495508107695</v>
      </c>
      <c r="P28" s="75">
        <f>O28/O27*P27</f>
        <v>0.06521293678274334</v>
      </c>
      <c r="Q28" s="75">
        <f>P28/P27*Q27</f>
        <v>0.08550406915427798</v>
      </c>
      <c r="R28" s="75">
        <f>SQRT(P28^2+(R27*P27)^2)</f>
        <v>0.13173136395218393</v>
      </c>
      <c r="S28" s="75">
        <f>SQRT(Q28^2+(S27*Q27)^2)</f>
        <v>0.17271983457330609</v>
      </c>
    </row>
    <row r="29" spans="1:19" s="78" customFormat="1" ht="22.5">
      <c r="A29" s="56" t="s">
        <v>85</v>
      </c>
      <c r="B29" s="57">
        <v>1.8</v>
      </c>
      <c r="C29" s="57">
        <v>1.2</v>
      </c>
      <c r="D29" s="57">
        <v>3.2</v>
      </c>
      <c r="E29" s="57">
        <v>117</v>
      </c>
      <c r="F29" s="57">
        <f>G23+G25+G27+G29</f>
        <v>0.88</v>
      </c>
      <c r="G29" s="57">
        <v>0.28</v>
      </c>
      <c r="H29" s="57">
        <v>0.127</v>
      </c>
      <c r="I29" s="57">
        <f t="shared" si="2"/>
        <v>0.672</v>
      </c>
      <c r="J29" s="57">
        <f t="shared" si="2"/>
        <v>0.75</v>
      </c>
      <c r="K29" s="57">
        <v>0.93</v>
      </c>
      <c r="L29" s="58">
        <f t="shared" si="3"/>
        <v>3264000000</v>
      </c>
      <c r="M29" s="57">
        <v>0.885</v>
      </c>
      <c r="N29" s="57">
        <f t="shared" si="4"/>
        <v>2180</v>
      </c>
      <c r="O29" s="59">
        <f>(M29*E29/H29/I29/J29/K29)/(L29/(N29*1E-27))/C29*1E+30</f>
        <v>0.9681374587130595</v>
      </c>
      <c r="P29" s="59">
        <f>(O29/O$41)/(2*197)/(D29/D$3)/(G29/F29)</f>
        <v>0.7626881086217939</v>
      </c>
      <c r="Q29" s="77">
        <f>P29/P29</f>
        <v>1</v>
      </c>
      <c r="R29" s="57">
        <v>0.1826</v>
      </c>
      <c r="S29" s="57">
        <v>0.1826</v>
      </c>
    </row>
    <row r="30" spans="1:19" s="78" customFormat="1" ht="22.5">
      <c r="A30" s="56" t="s">
        <v>24</v>
      </c>
      <c r="B30" s="57">
        <v>1.8</v>
      </c>
      <c r="C30" s="57">
        <v>1.2</v>
      </c>
      <c r="D30" s="57">
        <v>0.3</v>
      </c>
      <c r="E30" s="57">
        <v>12</v>
      </c>
      <c r="F30" s="57"/>
      <c r="G30" s="57"/>
      <c r="H30" s="57"/>
      <c r="I30" s="57"/>
      <c r="J30" s="57"/>
      <c r="K30" s="57"/>
      <c r="L30" s="58"/>
      <c r="M30" s="57"/>
      <c r="N30" s="57"/>
      <c r="O30" s="59">
        <f>E30/E29*O29</f>
        <v>0.09929614961159584</v>
      </c>
      <c r="P30" s="59">
        <f>O30/O29*P29</f>
        <v>0.07822442139710707</v>
      </c>
      <c r="Q30" s="59">
        <f>P30/P29*Q29</f>
        <v>0.10256410256410256</v>
      </c>
      <c r="R30" s="59">
        <f>SQRT(P30^2+(R29*P29)^2)</f>
        <v>0.1597320106661537</v>
      </c>
      <c r="S30" s="59">
        <f>SQRT(Q30^2+(S29*Q29)^2)</f>
        <v>0.20943293708196845</v>
      </c>
    </row>
    <row r="31" spans="1:17" s="62" customFormat="1" ht="22.5">
      <c r="A31" s="8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81"/>
      <c r="M31" s="60"/>
      <c r="N31" s="60"/>
      <c r="O31" s="63" t="s">
        <v>87</v>
      </c>
      <c r="P31" s="64">
        <f>(P23*0.2+P25*0.2+P27*0.2+P29*0.28)/(0.2+0.2+0.2+0.28)</f>
        <v>0.7136525298409344</v>
      </c>
      <c r="Q31" s="63"/>
    </row>
    <row r="32" spans="1:17" ht="22.5">
      <c r="A32" s="8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7"/>
      <c r="P32" s="65"/>
      <c r="Q32" s="3"/>
    </row>
    <row r="33" spans="1:17" ht="22.5">
      <c r="A33" s="9" t="s">
        <v>5</v>
      </c>
      <c r="B33" s="9">
        <v>-1.7</v>
      </c>
      <c r="C33" s="9">
        <v>1</v>
      </c>
      <c r="D33" s="83"/>
      <c r="E33" s="83">
        <v>65</v>
      </c>
      <c r="F33" s="9"/>
      <c r="G33" s="9"/>
      <c r="H33" s="9">
        <v>0.1265</v>
      </c>
      <c r="I33" s="9">
        <v>0.468</v>
      </c>
      <c r="J33" s="9">
        <v>0.6</v>
      </c>
      <c r="K33" s="9">
        <v>0.99</v>
      </c>
      <c r="L33" s="38">
        <v>1450000000</v>
      </c>
      <c r="M33" s="9">
        <f>0.53/0.74</f>
        <v>0.7162162162162162</v>
      </c>
      <c r="N33" s="9">
        <v>42.1</v>
      </c>
      <c r="O33" s="10">
        <f>(M33*E33/H33/I33/J33/K33)/(L33/(N33*1E-27))/C33*1E+30</f>
        <v>0.038436937411692455</v>
      </c>
      <c r="P33" s="10">
        <f>O33/$O$33</f>
        <v>1</v>
      </c>
      <c r="Q33" s="3"/>
    </row>
    <row r="34" spans="1:17" ht="22.5">
      <c r="A34" s="9" t="s">
        <v>5</v>
      </c>
      <c r="B34" s="9">
        <v>-1.45</v>
      </c>
      <c r="C34" s="9">
        <v>0.5</v>
      </c>
      <c r="D34" s="83"/>
      <c r="E34" s="83">
        <v>36</v>
      </c>
      <c r="F34" s="9"/>
      <c r="G34" s="9"/>
      <c r="H34" s="9">
        <v>0.1265</v>
      </c>
      <c r="I34" s="9">
        <v>0.397</v>
      </c>
      <c r="J34" s="9">
        <v>0.6</v>
      </c>
      <c r="K34" s="9">
        <v>0.99</v>
      </c>
      <c r="L34" s="38">
        <v>1450000000</v>
      </c>
      <c r="M34" s="9">
        <f>0.53/0.74</f>
        <v>0.7162162162162162</v>
      </c>
      <c r="N34" s="9">
        <v>42.1</v>
      </c>
      <c r="O34" s="10">
        <f>(M34*E34/H34/I34/J34/K34)/(L34/(N34*1E-27))/C34*1E+30</f>
        <v>0.05019070114413443</v>
      </c>
      <c r="P34" s="10"/>
      <c r="Q34" s="3"/>
    </row>
    <row r="35" spans="1:17" ht="22.5">
      <c r="A35" s="9" t="s">
        <v>5</v>
      </c>
      <c r="B35" s="9">
        <v>-1.95</v>
      </c>
      <c r="C35" s="9">
        <v>0.5</v>
      </c>
      <c r="D35" s="83"/>
      <c r="E35" s="83">
        <v>29</v>
      </c>
      <c r="F35" s="9"/>
      <c r="G35" s="9"/>
      <c r="H35" s="9">
        <v>0.1265</v>
      </c>
      <c r="I35" s="9">
        <v>0.562</v>
      </c>
      <c r="J35" s="9">
        <v>0.6</v>
      </c>
      <c r="K35" s="9">
        <v>0.99</v>
      </c>
      <c r="L35" s="38">
        <v>1450000000</v>
      </c>
      <c r="M35" s="9">
        <f>0.53/0.74</f>
        <v>0.7162162162162162</v>
      </c>
      <c r="N35" s="9">
        <v>42.1</v>
      </c>
      <c r="O35" s="10">
        <f>(M35*E35/H35/I35/J35/K35)/(L35/(N35*1E-27))/C35*1E+30</f>
        <v>0.02856096986320778</v>
      </c>
      <c r="P35" s="10"/>
      <c r="Q35" s="3"/>
    </row>
    <row r="36" spans="1:17" ht="22.5">
      <c r="A36" s="9"/>
      <c r="B36" s="9"/>
      <c r="C36" s="9"/>
      <c r="D36" s="83"/>
      <c r="E36" s="83"/>
      <c r="F36" s="9"/>
      <c r="G36" s="9"/>
      <c r="H36" s="9"/>
      <c r="I36" s="9"/>
      <c r="J36" s="9"/>
      <c r="K36" s="9"/>
      <c r="L36" s="38"/>
      <c r="M36" s="9"/>
      <c r="N36" s="9"/>
      <c r="O36" s="10"/>
      <c r="P36" s="10"/>
      <c r="Q36" s="3"/>
    </row>
    <row r="37" spans="1:17" ht="22.5">
      <c r="A37" s="11" t="s">
        <v>6</v>
      </c>
      <c r="B37" s="11">
        <v>-1.7</v>
      </c>
      <c r="C37" s="11">
        <v>1</v>
      </c>
      <c r="D37" s="30"/>
      <c r="E37" s="30">
        <v>118</v>
      </c>
      <c r="F37" s="11"/>
      <c r="G37" s="11"/>
      <c r="H37" s="11">
        <v>0.128</v>
      </c>
      <c r="I37" s="11">
        <v>0.327</v>
      </c>
      <c r="J37" s="11">
        <v>0.656</v>
      </c>
      <c r="K37" s="11">
        <v>0.99</v>
      </c>
      <c r="L37" s="12">
        <v>4530000000</v>
      </c>
      <c r="M37" s="11">
        <f>0.516/0.74</f>
        <v>0.6972972972972973</v>
      </c>
      <c r="N37" s="11">
        <v>42.2</v>
      </c>
      <c r="O37" s="8">
        <f>(M37*E37/H37/I37/J37/K37)/(L37/(N37*1E-27))/C37*1E+30</f>
        <v>0.028197946477700013</v>
      </c>
      <c r="P37" s="8">
        <f>O37/$O$33</f>
        <v>0.733615849142087</v>
      </c>
      <c r="Q37" s="3"/>
    </row>
    <row r="38" spans="1:17" ht="22.5">
      <c r="A38" s="11" t="s">
        <v>24</v>
      </c>
      <c r="B38" s="11"/>
      <c r="C38" s="11"/>
      <c r="D38" s="30"/>
      <c r="E38" s="30">
        <v>12</v>
      </c>
      <c r="F38" s="11"/>
      <c r="G38" s="11"/>
      <c r="H38" s="11"/>
      <c r="I38" s="11"/>
      <c r="J38" s="11"/>
      <c r="K38" s="11"/>
      <c r="L38" s="12"/>
      <c r="M38" s="11"/>
      <c r="N38" s="11"/>
      <c r="O38" s="8">
        <f>E38/E37*O37</f>
        <v>0.002867587777393222</v>
      </c>
      <c r="P38" s="8">
        <f>SQRT((O38/O37)^2+(0.15/0.654)^2)*P37</f>
        <v>0.1840584349106931</v>
      </c>
      <c r="Q38" s="3"/>
    </row>
    <row r="39" spans="1:17" ht="22.5">
      <c r="A39" s="11" t="s">
        <v>6</v>
      </c>
      <c r="B39" s="11">
        <v>1.8</v>
      </c>
      <c r="C39" s="11">
        <v>1.2</v>
      </c>
      <c r="D39" s="30"/>
      <c r="E39" s="30">
        <v>290</v>
      </c>
      <c r="F39" s="11"/>
      <c r="G39" s="11"/>
      <c r="H39" s="11">
        <v>0.127</v>
      </c>
      <c r="I39" s="11">
        <v>0.654</v>
      </c>
      <c r="J39" s="11">
        <v>0.862</v>
      </c>
      <c r="K39" s="11">
        <v>0.95</v>
      </c>
      <c r="L39" s="12">
        <v>4020000000</v>
      </c>
      <c r="M39" s="11">
        <f>0.516/0.74</f>
        <v>0.6972972972972973</v>
      </c>
      <c r="N39" s="11">
        <v>42.2</v>
      </c>
      <c r="O39" s="8">
        <f>(M39*E39/H39/I39/J39/K39)/(L39/(N39*1E-27))/C39*1E+30</f>
        <v>0.026008109874973154</v>
      </c>
      <c r="P39" s="8">
        <f>O39/$O$33</f>
        <v>0.6766436565016631</v>
      </c>
      <c r="Q39" s="3"/>
    </row>
    <row r="40" spans="1:17" ht="22.5">
      <c r="A40" s="11" t="s">
        <v>24</v>
      </c>
      <c r="B40" s="11"/>
      <c r="C40" s="11"/>
      <c r="D40" s="30"/>
      <c r="E40" s="30">
        <v>19</v>
      </c>
      <c r="F40" s="11"/>
      <c r="G40" s="11"/>
      <c r="H40" s="11"/>
      <c r="I40" s="11"/>
      <c r="J40" s="11"/>
      <c r="K40" s="11"/>
      <c r="L40" s="11"/>
      <c r="M40" s="11"/>
      <c r="N40" s="11"/>
      <c r="O40" s="8">
        <f>E40/E39*O39</f>
        <v>0.0017039796124982414</v>
      </c>
      <c r="P40" s="8">
        <f>SQRT((O40/O39)^2+(0.15/0.654)^2)*P39</f>
        <v>0.16140115541524777</v>
      </c>
      <c r="Q40" s="3"/>
    </row>
    <row r="41" spans="1:17" ht="23.25">
      <c r="A41" s="11"/>
      <c r="B41" s="2" t="s">
        <v>7</v>
      </c>
      <c r="C41" s="13"/>
      <c r="D41" s="13"/>
      <c r="E41" s="13"/>
      <c r="F41" s="13"/>
      <c r="G41" s="13"/>
      <c r="H41" s="11"/>
      <c r="I41" s="11"/>
      <c r="J41" s="11"/>
      <c r="K41" s="11"/>
      <c r="L41" s="11"/>
      <c r="M41" s="11" t="s">
        <v>25</v>
      </c>
      <c r="N41" s="11"/>
      <c r="O41" s="8">
        <f>(O37/O38^2+O39/O40^2)/(1/O38^2+1/O40^2)</f>
        <v>0.02657955927683428</v>
      </c>
      <c r="P41" s="8">
        <f>O41/$O$33</f>
        <v>0.691510850413093</v>
      </c>
      <c r="Q41" s="3"/>
    </row>
    <row r="42" spans="1:17" ht="22.5">
      <c r="A42" s="11"/>
      <c r="B42" s="3">
        <v>0.0588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s">
        <v>24</v>
      </c>
      <c r="N42" s="11"/>
      <c r="O42" s="8">
        <f>SQRT(1/(1/O38^2+1/O40^2))</f>
        <v>0.0014648722653712364</v>
      </c>
      <c r="P42" s="8">
        <f>SQRT((O42/O41)^2+(0.15/0.654)^2)*P41</f>
        <v>0.1631180339055435</v>
      </c>
      <c r="Q42" s="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T44"/>
  <sheetViews>
    <sheetView workbookViewId="0" topLeftCell="A18">
      <selection activeCell="B40" sqref="B40"/>
    </sheetView>
  </sheetViews>
  <sheetFormatPr defaultColWidth="9.140625" defaultRowHeight="12.75"/>
  <cols>
    <col min="1" max="1" width="11.00390625" style="1" customWidth="1"/>
    <col min="2" max="2" width="6.57421875" style="1" customWidth="1"/>
    <col min="3" max="3" width="5.00390625" style="1" customWidth="1"/>
    <col min="4" max="4" width="7.421875" style="1" customWidth="1"/>
    <col min="5" max="5" width="6.7109375" style="1" customWidth="1"/>
    <col min="6" max="6" width="6.421875" style="1" customWidth="1"/>
    <col min="7" max="7" width="7.421875" style="1" customWidth="1"/>
    <col min="8" max="8" width="8.1406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10.57421875" style="1" customWidth="1"/>
    <col min="13" max="13" width="12.7109375" style="1" customWidth="1"/>
    <col min="14" max="14" width="7.8515625" style="1" customWidth="1"/>
    <col min="15" max="15" width="11.421875" style="1" customWidth="1"/>
    <col min="16" max="16" width="11.00390625" style="1" customWidth="1"/>
    <col min="17" max="17" width="7.7109375" style="1" customWidth="1"/>
    <col min="18" max="18" width="11.57421875" style="1" customWidth="1"/>
    <col min="19" max="19" width="10.57421875" style="1" customWidth="1"/>
    <col min="20" max="16384" width="10.421875" style="1" customWidth="1"/>
  </cols>
  <sheetData>
    <row r="1" spans="4:20" ht="26.25" customHeight="1">
      <c r="D1" s="1" t="s">
        <v>67</v>
      </c>
      <c r="E1" s="1" t="s">
        <v>68</v>
      </c>
      <c r="F1" s="1" t="s">
        <v>69</v>
      </c>
      <c r="G1" s="1" t="s">
        <v>70</v>
      </c>
      <c r="H1" s="5" t="s">
        <v>10</v>
      </c>
      <c r="J1" s="5" t="s">
        <v>9</v>
      </c>
      <c r="M1" s="1" t="s">
        <v>71</v>
      </c>
      <c r="N1" s="5" t="s">
        <v>23</v>
      </c>
      <c r="O1" s="2"/>
      <c r="T1" s="1" t="s">
        <v>153</v>
      </c>
    </row>
    <row r="2" spans="2:20" s="2" customFormat="1" ht="21" customHeight="1">
      <c r="B2" s="2" t="s">
        <v>0</v>
      </c>
      <c r="C2" s="2" t="s">
        <v>1</v>
      </c>
      <c r="D2" s="2" t="s">
        <v>72</v>
      </c>
      <c r="E2" s="2" t="s">
        <v>73</v>
      </c>
      <c r="F2" s="2" t="s">
        <v>74</v>
      </c>
      <c r="G2" s="2" t="s">
        <v>74</v>
      </c>
      <c r="H2" s="2" t="s">
        <v>3</v>
      </c>
      <c r="I2" s="2" t="s">
        <v>11</v>
      </c>
      <c r="J2" s="2" t="s">
        <v>8</v>
      </c>
      <c r="K2" s="2" t="s">
        <v>4</v>
      </c>
      <c r="L2" s="2" t="s">
        <v>12</v>
      </c>
      <c r="M2" s="2" t="s">
        <v>75</v>
      </c>
      <c r="N2" s="2" t="s">
        <v>22</v>
      </c>
      <c r="O2" s="2" t="s">
        <v>76</v>
      </c>
      <c r="P2" s="2" t="s">
        <v>15</v>
      </c>
      <c r="Q2" s="2" t="s">
        <v>77</v>
      </c>
      <c r="R2" s="2" t="s">
        <v>78</v>
      </c>
      <c r="S2" s="2" t="s">
        <v>79</v>
      </c>
      <c r="T2" s="2" t="s">
        <v>174</v>
      </c>
    </row>
    <row r="3" spans="1:20" ht="22.5">
      <c r="A3" s="14" t="s">
        <v>51</v>
      </c>
      <c r="B3" s="14">
        <v>-1.7</v>
      </c>
      <c r="C3" s="14">
        <v>1</v>
      </c>
      <c r="D3" s="14">
        <v>7.627</v>
      </c>
      <c r="E3" s="14">
        <f>fitModel!E127</f>
        <v>518</v>
      </c>
      <c r="F3" s="14">
        <f>G8+G10+G12+G14</f>
        <v>0.8800000000000001</v>
      </c>
      <c r="G3" s="14">
        <f>G8+G10+G12+G14</f>
        <v>0.8800000000000001</v>
      </c>
      <c r="H3" s="14">
        <v>0.128</v>
      </c>
      <c r="I3" s="14">
        <f>simDau!$H$2</f>
        <v>0.709601535842548</v>
      </c>
      <c r="J3" s="14">
        <f>simDau!I2</f>
        <v>0.7141389231401561</v>
      </c>
      <c r="K3" s="14">
        <v>0.99</v>
      </c>
      <c r="L3" s="15">
        <v>1566000000</v>
      </c>
      <c r="M3" s="14">
        <f>0.88/0.92</f>
        <v>0.9565217391304347</v>
      </c>
      <c r="N3" s="14">
        <v>2180</v>
      </c>
      <c r="O3" s="7">
        <f>(E3/H3/I3/J3/K3)/L3*10^6/C3*M3</f>
        <v>4.927089275328585</v>
      </c>
      <c r="P3" s="44">
        <f>O3/(O$41/N$37)/D3/(G3/G$3)</f>
        <v>1.0894877522106838</v>
      </c>
      <c r="Q3" s="3"/>
      <c r="R3" s="45">
        <v>0.096</v>
      </c>
      <c r="S3" s="45"/>
      <c r="T3" s="1">
        <f>P3/rdaCent!P3</f>
        <v>0.9543407348863823</v>
      </c>
    </row>
    <row r="4" spans="1:19" ht="22.5">
      <c r="A4" s="14" t="s">
        <v>24</v>
      </c>
      <c r="B4" s="14">
        <f>$B$3</f>
        <v>-1.7</v>
      </c>
      <c r="C4" s="14">
        <v>1</v>
      </c>
      <c r="D4" s="14">
        <v>0.7</v>
      </c>
      <c r="E4" s="14">
        <f>fitModel!E128</f>
        <v>26</v>
      </c>
      <c r="F4" s="14"/>
      <c r="G4" s="14"/>
      <c r="H4" s="14"/>
      <c r="I4" s="14"/>
      <c r="J4" s="14"/>
      <c r="K4" s="14"/>
      <c r="L4" s="15"/>
      <c r="M4" s="14"/>
      <c r="N4" s="14"/>
      <c r="O4" s="46">
        <f>E4/E3*O3</f>
        <v>0.24730563930220698</v>
      </c>
      <c r="P4" s="7">
        <f>O4/O3*P3</f>
        <v>0.05468471343142428</v>
      </c>
      <c r="Q4" s="3"/>
      <c r="R4" s="45">
        <f>SQRT(P4^2+(R3*P3)^2)</f>
        <v>0.11802397380392546</v>
      </c>
      <c r="S4" s="45"/>
    </row>
    <row r="5" spans="1:17" s="11" customFormat="1" ht="22.5">
      <c r="A5" s="11" t="s">
        <v>81</v>
      </c>
      <c r="B5" s="11">
        <f>$B$3</f>
        <v>-1.7</v>
      </c>
      <c r="C5" s="11">
        <v>1</v>
      </c>
      <c r="D5" s="11">
        <v>3.6</v>
      </c>
      <c r="E5" s="11">
        <v>0</v>
      </c>
      <c r="F5" s="11">
        <v>0.88</v>
      </c>
      <c r="G5" s="11">
        <v>0.148</v>
      </c>
      <c r="H5" s="11">
        <v>0.128</v>
      </c>
      <c r="I5" s="11">
        <f aca="true" t="shared" si="0" ref="I5:J14">I$3</f>
        <v>0.709601535842548</v>
      </c>
      <c r="J5" s="11">
        <f t="shared" si="0"/>
        <v>0.7141389231401561</v>
      </c>
      <c r="K5" s="11">
        <v>0.99</v>
      </c>
      <c r="L5" s="12">
        <f aca="true" t="shared" si="1" ref="L5:L14">L$3</f>
        <v>1566000000</v>
      </c>
      <c r="M5" s="11">
        <f>1</f>
        <v>1</v>
      </c>
      <c r="N5" s="11">
        <v>2180</v>
      </c>
      <c r="O5" s="8">
        <f>(E5/H5/I5/J5/K5)/L5*10^6/C5*M5</f>
        <v>0</v>
      </c>
      <c r="P5" s="44">
        <f>O5/(O$41/N$37)/D5/(G5/G$3)</f>
        <v>0</v>
      </c>
      <c r="Q5" s="8"/>
    </row>
    <row r="6" spans="1:17" s="11" customFormat="1" ht="22.5">
      <c r="A6" s="47" t="s">
        <v>24</v>
      </c>
      <c r="B6" s="11">
        <f>$B$3</f>
        <v>-1.7</v>
      </c>
      <c r="C6" s="11">
        <v>1</v>
      </c>
      <c r="D6" s="11">
        <v>0.25</v>
      </c>
      <c r="E6" s="11">
        <v>8</v>
      </c>
      <c r="L6" s="12"/>
      <c r="O6" s="8" t="e">
        <f>E6/E5*O5</f>
        <v>#DIV/0!</v>
      </c>
      <c r="P6" s="8" t="e">
        <f>O6/O5*P5</f>
        <v>#DIV/0!</v>
      </c>
      <c r="Q6" s="8"/>
    </row>
    <row r="7" spans="1:19" ht="22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4"/>
      <c r="O7" s="7"/>
      <c r="P7" s="7"/>
      <c r="Q7" s="3"/>
      <c r="R7" s="45"/>
      <c r="S7" s="45"/>
    </row>
    <row r="8" spans="1:20" s="49" customFormat="1" ht="22.5">
      <c r="A8" s="48" t="s">
        <v>82</v>
      </c>
      <c r="B8" s="208">
        <f>$B$3</f>
        <v>-1.7</v>
      </c>
      <c r="C8" s="49">
        <v>1</v>
      </c>
      <c r="D8" s="49">
        <v>15</v>
      </c>
      <c r="E8" s="49">
        <f>fitModel!E129</f>
        <v>270</v>
      </c>
      <c r="F8" s="49">
        <f>G8+G10+G12+G14</f>
        <v>0.8800000000000001</v>
      </c>
      <c r="G8" s="49">
        <v>0.2</v>
      </c>
      <c r="H8" s="49">
        <v>0.128</v>
      </c>
      <c r="I8" s="49">
        <f t="shared" si="0"/>
        <v>0.709601535842548</v>
      </c>
      <c r="J8" s="49">
        <f t="shared" si="0"/>
        <v>0.7141389231401561</v>
      </c>
      <c r="K8" s="49">
        <v>0.99</v>
      </c>
      <c r="L8" s="50">
        <f t="shared" si="1"/>
        <v>1566000000</v>
      </c>
      <c r="M8" s="49">
        <v>1</v>
      </c>
      <c r="N8" s="49">
        <v>2180</v>
      </c>
      <c r="O8" s="44">
        <f>(E8/H8/I8/J8/K8)/L8*10^6/C8*M8</f>
        <v>2.684909125990744</v>
      </c>
      <c r="P8" s="44">
        <f>O8/(O$41/N$37)/D8/(G8/G$3)</f>
        <v>1.3282403697489988</v>
      </c>
      <c r="Q8" s="51">
        <f>P8/P14</f>
        <v>1.3016949152542374</v>
      </c>
      <c r="R8" s="51">
        <f>syst!$B$34</f>
        <v>0.10012492197250393</v>
      </c>
      <c r="S8" s="51">
        <f>syst!$B$34</f>
        <v>0.10012492197250393</v>
      </c>
      <c r="T8" s="1">
        <f>P8/rdaCent!P8</f>
        <v>1.0708594553858253</v>
      </c>
    </row>
    <row r="9" spans="1:19" s="53" customFormat="1" ht="22.5">
      <c r="A9" s="52" t="s">
        <v>24</v>
      </c>
      <c r="B9" s="208">
        <f aca="true" t="shared" si="2" ref="B9:B15">$B$3</f>
        <v>-1.7</v>
      </c>
      <c r="C9" s="53">
        <v>1</v>
      </c>
      <c r="D9" s="53">
        <v>1</v>
      </c>
      <c r="E9" s="53">
        <f>fitModel!E130</f>
        <v>19</v>
      </c>
      <c r="L9" s="54"/>
      <c r="O9" s="55">
        <f>E9/E8*O8</f>
        <v>0.18893804960675606</v>
      </c>
      <c r="P9" s="55">
        <f>O9/O8*P8</f>
        <v>0.09346876676011474</v>
      </c>
      <c r="Q9" s="55">
        <f>P9/P8*Q8</f>
        <v>0.09160075329566857</v>
      </c>
      <c r="R9" s="55">
        <f>SQRT(P9^2+(R8*P8)^2)</f>
        <v>0.1625507327573828</v>
      </c>
      <c r="S9" s="55">
        <f>SQRT(Q9^2+(S8*Q8)^2)</f>
        <v>0.1593020865200179</v>
      </c>
    </row>
    <row r="10" spans="1:20" s="57" customFormat="1" ht="22.5">
      <c r="A10" s="56" t="s">
        <v>83</v>
      </c>
      <c r="B10" s="1">
        <f t="shared" si="2"/>
        <v>-1.7</v>
      </c>
      <c r="C10" s="57">
        <v>1</v>
      </c>
      <c r="D10" s="57">
        <v>10.4</v>
      </c>
      <c r="E10" s="57">
        <f>fitModel!E131</f>
        <v>106</v>
      </c>
      <c r="F10" s="57">
        <f>G8+G10+G12+G14</f>
        <v>0.8800000000000001</v>
      </c>
      <c r="G10" s="57">
        <v>0.2</v>
      </c>
      <c r="H10" s="57">
        <v>0.128</v>
      </c>
      <c r="I10" s="57">
        <f t="shared" si="0"/>
        <v>0.709601535842548</v>
      </c>
      <c r="J10" s="57">
        <f t="shared" si="0"/>
        <v>0.7141389231401561</v>
      </c>
      <c r="K10" s="57">
        <v>0.99</v>
      </c>
      <c r="L10" s="58">
        <f t="shared" si="1"/>
        <v>1566000000</v>
      </c>
      <c r="M10" s="57">
        <f>0.995</f>
        <v>0.995</v>
      </c>
      <c r="N10" s="57">
        <v>2180</v>
      </c>
      <c r="O10" s="3">
        <f>(E10/H10/I10/J10/K10)/L10*10^6/C10*M10</f>
        <v>1.0488050574749765</v>
      </c>
      <c r="P10" s="44">
        <f>O10/(O$41/N$37)/D10/(G10/G$3)</f>
        <v>0.7483414091742889</v>
      </c>
      <c r="Q10" s="59">
        <f>P10/P14</f>
        <v>0.7333854845719252</v>
      </c>
      <c r="R10" s="59">
        <f>syst!$C$34</f>
        <v>0.04031128874149275</v>
      </c>
      <c r="S10" s="59">
        <f>syst!$C$34</f>
        <v>0.04031128874149275</v>
      </c>
      <c r="T10" s="1">
        <f>P10/rdaCent!P10</f>
        <v>0.8581160463236804</v>
      </c>
    </row>
    <row r="11" spans="1:19" s="57" customFormat="1" ht="22.5">
      <c r="A11" s="56" t="s">
        <v>24</v>
      </c>
      <c r="B11" s="1">
        <f t="shared" si="2"/>
        <v>-1.7</v>
      </c>
      <c r="C11" s="57">
        <v>1</v>
      </c>
      <c r="D11" s="57">
        <v>0.7</v>
      </c>
      <c r="E11" s="57">
        <f>fitModel!E132</f>
        <v>12</v>
      </c>
      <c r="L11" s="58"/>
      <c r="O11" s="59">
        <f>E11/E10*O10</f>
        <v>0.11873264801603509</v>
      </c>
      <c r="P11" s="59">
        <f>O11/O10*P10</f>
        <v>0.08471789537822139</v>
      </c>
      <c r="Q11" s="59">
        <f>P11/P10*Q10</f>
        <v>0.08302477183833115</v>
      </c>
      <c r="R11" s="59">
        <f>SQRT(P11^2+(R10*P10)^2)</f>
        <v>0.08992856027107476</v>
      </c>
      <c r="S11" s="59">
        <f>SQRT(Q11^2+(S10*Q10)^2)</f>
        <v>0.08813129935443333</v>
      </c>
    </row>
    <row r="12" spans="1:20" s="53" customFormat="1" ht="22.5">
      <c r="A12" s="52" t="s">
        <v>84</v>
      </c>
      <c r="B12" s="208">
        <f t="shared" si="2"/>
        <v>-1.7</v>
      </c>
      <c r="C12" s="53">
        <v>1</v>
      </c>
      <c r="D12" s="53">
        <v>6.9</v>
      </c>
      <c r="E12" s="53">
        <f>fitModel!E133</f>
        <v>81</v>
      </c>
      <c r="F12" s="53">
        <f>G8+G10+G12+G14</f>
        <v>0.8800000000000001</v>
      </c>
      <c r="G12" s="53">
        <v>0.2</v>
      </c>
      <c r="H12" s="53">
        <v>0.128</v>
      </c>
      <c r="I12" s="53">
        <f t="shared" si="0"/>
        <v>0.709601535842548</v>
      </c>
      <c r="J12" s="53">
        <f t="shared" si="0"/>
        <v>0.7141389231401561</v>
      </c>
      <c r="K12" s="53">
        <v>0.99</v>
      </c>
      <c r="L12" s="54">
        <f t="shared" si="1"/>
        <v>1566000000</v>
      </c>
      <c r="M12" s="53">
        <f>0.974</f>
        <v>0.974</v>
      </c>
      <c r="N12" s="53">
        <v>2180</v>
      </c>
      <c r="O12" s="44">
        <f>(E12/H12/I12/J12/K12)/L12*10^6/C12*M12</f>
        <v>0.7845304466144954</v>
      </c>
      <c r="P12" s="44">
        <f>O12/(O$41/N$37)/D12/(G12/G$3)</f>
        <v>0.8437213826970816</v>
      </c>
      <c r="Q12" s="55">
        <f>P12/P14</f>
        <v>0.8268592483419309</v>
      </c>
      <c r="R12" s="55">
        <f>syst!$D$34</f>
        <v>0.04031128874149275</v>
      </c>
      <c r="S12" s="55">
        <f>syst!$D$34</f>
        <v>0.04031128874149275</v>
      </c>
      <c r="T12" s="1">
        <f>P12/rdaCent!P12</f>
        <v>0.9448785886945509</v>
      </c>
    </row>
    <row r="13" spans="1:19" s="53" customFormat="1" ht="22.5">
      <c r="A13" s="52" t="s">
        <v>24</v>
      </c>
      <c r="B13" s="208">
        <f t="shared" si="2"/>
        <v>-1.7</v>
      </c>
      <c r="C13" s="53">
        <v>1</v>
      </c>
      <c r="D13" s="53">
        <v>0.6</v>
      </c>
      <c r="E13" s="53">
        <f>fitModel!E134</f>
        <v>12</v>
      </c>
      <c r="L13" s="54"/>
      <c r="O13" s="55">
        <f>E13/E12*O12</f>
        <v>0.11622673283177709</v>
      </c>
      <c r="P13" s="55">
        <f>O13/O12*P12</f>
        <v>0.12499576039956764</v>
      </c>
      <c r="Q13" s="55">
        <f>P13/P12*Q12</f>
        <v>0.1224976664210268</v>
      </c>
      <c r="R13" s="55">
        <f>SQRT(P13^2+(R12*P12)^2)</f>
        <v>0.1295404261099564</v>
      </c>
      <c r="S13" s="55">
        <f>SQRT(Q13^2+(S12*Q12)^2)</f>
        <v>0.1269515050344859</v>
      </c>
    </row>
    <row r="14" spans="1:20" s="57" customFormat="1" ht="22.5">
      <c r="A14" s="56" t="s">
        <v>85</v>
      </c>
      <c r="B14" s="1">
        <f t="shared" si="2"/>
        <v>-1.7</v>
      </c>
      <c r="C14" s="57">
        <v>1</v>
      </c>
      <c r="D14" s="57">
        <v>3.2</v>
      </c>
      <c r="E14" s="57">
        <f>fitModel!E135</f>
        <v>70</v>
      </c>
      <c r="F14" s="57">
        <f>G8+G10+G12+G14</f>
        <v>0.8800000000000001</v>
      </c>
      <c r="G14" s="57">
        <v>0.28</v>
      </c>
      <c r="H14" s="57">
        <v>0.128</v>
      </c>
      <c r="I14" s="57">
        <f t="shared" si="0"/>
        <v>0.709601535842548</v>
      </c>
      <c r="J14" s="57">
        <f t="shared" si="0"/>
        <v>0.7141389231401561</v>
      </c>
      <c r="K14" s="57">
        <v>0.99</v>
      </c>
      <c r="L14" s="58">
        <f t="shared" si="1"/>
        <v>1566000000</v>
      </c>
      <c r="M14" s="57">
        <f>0.885</f>
        <v>0.885</v>
      </c>
      <c r="N14" s="57">
        <v>2180</v>
      </c>
      <c r="O14" s="3">
        <f>(E14/H14/I14/J14/K14)/L14*10^6/C14*M14</f>
        <v>0.6160374827967652</v>
      </c>
      <c r="P14" s="44">
        <f>O14/(O$41/N$37)/D14/(G14/G$3)</f>
        <v>1.0203929923852986</v>
      </c>
      <c r="Q14" s="59">
        <f>P14/P14</f>
        <v>1</v>
      </c>
      <c r="R14" s="59">
        <f>syst!$E$34</f>
        <v>0.035355339059327376</v>
      </c>
      <c r="S14" s="59">
        <f>syst!$E$34</f>
        <v>0.035355339059327376</v>
      </c>
      <c r="T14" s="1">
        <f>P14/rdaCent!P14</f>
        <v>0.8933897467260016</v>
      </c>
    </row>
    <row r="15" spans="1:19" s="57" customFormat="1" ht="22.5">
      <c r="A15" s="56" t="s">
        <v>24</v>
      </c>
      <c r="B15" s="1">
        <f t="shared" si="2"/>
        <v>-1.7</v>
      </c>
      <c r="C15" s="57">
        <v>1</v>
      </c>
      <c r="D15" s="57">
        <v>0.3</v>
      </c>
      <c r="E15" s="57">
        <f>fitModel!E136</f>
        <v>8</v>
      </c>
      <c r="L15" s="58"/>
      <c r="O15" s="59">
        <f>E15/E14*O14</f>
        <v>0.07040428374820173</v>
      </c>
      <c r="P15" s="59">
        <f>O15/O14*P14</f>
        <v>0.11661634198689126</v>
      </c>
      <c r="Q15" s="59">
        <f>P15/P14*Q14</f>
        <v>0.11428571428571428</v>
      </c>
      <c r="R15" s="59">
        <f>SQRT(P15^2+(R14*P14)^2)</f>
        <v>0.12206913427250911</v>
      </c>
      <c r="S15" s="59">
        <f>SQRT(Q15^2+(S14*Q14)^2)</f>
        <v>0.11962953017460161</v>
      </c>
    </row>
    <row r="16" spans="1:17" s="62" customFormat="1" ht="22.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 t="s">
        <v>86</v>
      </c>
      <c r="M16" s="62">
        <f>(M8*G8+M10*G10+M12*G12+M14*G14)/(G8+G10+G12+G14)</f>
        <v>0.9563636363636363</v>
      </c>
      <c r="N16" s="60"/>
      <c r="O16" s="63" t="s">
        <v>87</v>
      </c>
      <c r="P16" s="64">
        <f>(P8*G8+P10*G10+P12*G12+P14*G14)/(G8+G10+G12+G14)</f>
        <v>0.9883757615817698</v>
      </c>
      <c r="Q16" s="63"/>
    </row>
    <row r="17" spans="1:17" ht="22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4"/>
      <c r="N17" s="14"/>
      <c r="O17" s="7"/>
      <c r="P17" s="65"/>
      <c r="Q17" s="3"/>
    </row>
    <row r="18" spans="1:20" ht="22.5">
      <c r="A18" s="14" t="s">
        <v>51</v>
      </c>
      <c r="B18" s="14">
        <v>1.8</v>
      </c>
      <c r="C18" s="14">
        <v>1.2</v>
      </c>
      <c r="D18" s="163">
        <v>7.627</v>
      </c>
      <c r="E18" s="14">
        <f>fitModel!E139</f>
        <v>576</v>
      </c>
      <c r="F18" s="14">
        <f>G23+G25+G27+G29</f>
        <v>0.88</v>
      </c>
      <c r="G18" s="14">
        <f>G23+G25+G27+G29</f>
        <v>0.88</v>
      </c>
      <c r="H18" s="14">
        <v>0.127</v>
      </c>
      <c r="I18" s="14">
        <f>simDau!$H$8</f>
        <v>0.8161130143639365</v>
      </c>
      <c r="J18" s="14">
        <f>simDau!$I$8</f>
        <v>0.7814584259670965</v>
      </c>
      <c r="K18" s="14">
        <v>0.93</v>
      </c>
      <c r="L18" s="15">
        <v>1711000000</v>
      </c>
      <c r="M18" s="14">
        <f>$M$3</f>
        <v>0.9565217391304347</v>
      </c>
      <c r="N18" s="14">
        <f>$N$3</f>
        <v>2180</v>
      </c>
      <c r="O18" s="7">
        <f>(E18/H18/I18/J18/K18)/L18*10^6/C18*M18</f>
        <v>3.5624044232902</v>
      </c>
      <c r="P18" s="44">
        <f>O18/(O$41/N$37)/D18/(G18/G$3)</f>
        <v>0.7877259312166621</v>
      </c>
      <c r="Q18" s="3"/>
      <c r="R18" s="45">
        <v>0.111</v>
      </c>
      <c r="T18" s="1">
        <f>P18/rdaCent!P18</f>
        <v>1.0290304338898162</v>
      </c>
    </row>
    <row r="19" spans="1:18" ht="22.5">
      <c r="A19" s="14" t="s">
        <v>24</v>
      </c>
      <c r="B19" s="14">
        <f>$B$18</f>
        <v>1.8</v>
      </c>
      <c r="C19" s="14">
        <v>1.2</v>
      </c>
      <c r="D19" s="14">
        <v>0.7</v>
      </c>
      <c r="E19" s="14">
        <f>fitModel!E140</f>
        <v>25</v>
      </c>
      <c r="F19" s="14"/>
      <c r="G19" s="14"/>
      <c r="H19" s="14"/>
      <c r="I19" s="14"/>
      <c r="J19" s="14"/>
      <c r="K19" s="14"/>
      <c r="L19" s="15"/>
      <c r="M19" s="14"/>
      <c r="N19" s="14"/>
      <c r="O19" s="7">
        <f>E19/E18*O18</f>
        <v>0.15461824753863715</v>
      </c>
      <c r="P19" s="7">
        <f>O19/O18*P18</f>
        <v>0.03418949354238985</v>
      </c>
      <c r="Q19" s="3"/>
      <c r="R19" s="45">
        <f>SQRT(P19^2+(R18*P18)^2)</f>
        <v>0.09388424563806906</v>
      </c>
    </row>
    <row r="20" spans="1:17" s="11" customFormat="1" ht="22.5">
      <c r="A20" s="11" t="s">
        <v>81</v>
      </c>
      <c r="B20" s="11">
        <f>$B$18</f>
        <v>1.8</v>
      </c>
      <c r="C20" s="11">
        <v>1.2</v>
      </c>
      <c r="D20" s="11">
        <v>3.6</v>
      </c>
      <c r="E20" s="11">
        <v>0</v>
      </c>
      <c r="F20" s="11">
        <v>0.88</v>
      </c>
      <c r="G20" s="11">
        <f>0.148</f>
        <v>0.148</v>
      </c>
      <c r="H20" s="11">
        <v>0.127</v>
      </c>
      <c r="I20" s="11">
        <f aca="true" t="shared" si="3" ref="I20:J29">I$18</f>
        <v>0.8161130143639365</v>
      </c>
      <c r="J20" s="11">
        <f t="shared" si="3"/>
        <v>0.7814584259670965</v>
      </c>
      <c r="K20" s="11">
        <v>0.93</v>
      </c>
      <c r="L20" s="12">
        <f aca="true" t="shared" si="4" ref="L20:L29">L$18</f>
        <v>1711000000</v>
      </c>
      <c r="M20" s="11">
        <v>1</v>
      </c>
      <c r="N20" s="11">
        <f aca="true" t="shared" si="5" ref="N20:N29">$N$3</f>
        <v>2180</v>
      </c>
      <c r="O20" s="8">
        <f>(E20/H20/I20/J20/K20)/L20*10^6/C20*M20</f>
        <v>0</v>
      </c>
      <c r="P20" s="44">
        <f>O20/(O$41/N$37)/D20/(G20/G$3)</f>
        <v>0</v>
      </c>
      <c r="Q20" s="8"/>
    </row>
    <row r="21" spans="1:17" s="11" customFormat="1" ht="22.5">
      <c r="A21" s="47" t="s">
        <v>24</v>
      </c>
      <c r="B21" s="11">
        <f>$B$18</f>
        <v>1.8</v>
      </c>
      <c r="C21" s="11">
        <v>1.2</v>
      </c>
      <c r="D21" s="11">
        <v>0.25</v>
      </c>
      <c r="E21" s="11">
        <v>10</v>
      </c>
      <c r="L21" s="12"/>
      <c r="O21" s="8" t="e">
        <f>E21/E20*O20</f>
        <v>#DIV/0!</v>
      </c>
      <c r="P21" s="8" t="e">
        <f>O21/O20*P20</f>
        <v>#DIV/0!</v>
      </c>
      <c r="Q21" s="8"/>
    </row>
    <row r="22" spans="1:18" ht="22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4"/>
      <c r="O22" s="7"/>
      <c r="P22" s="7"/>
      <c r="Q22" s="3"/>
      <c r="R22" s="45"/>
    </row>
    <row r="23" spans="1:20" s="71" customFormat="1" ht="22.5">
      <c r="A23" s="66" t="s">
        <v>82</v>
      </c>
      <c r="B23" s="67">
        <f>$B$18</f>
        <v>1.8</v>
      </c>
      <c r="C23" s="67">
        <v>1.2</v>
      </c>
      <c r="D23" s="67">
        <v>15</v>
      </c>
      <c r="E23" s="67">
        <f>fitModel!E141</f>
        <v>221</v>
      </c>
      <c r="F23" s="67">
        <f>G23+G25+G27+G29</f>
        <v>0.88</v>
      </c>
      <c r="G23" s="67">
        <v>0.2</v>
      </c>
      <c r="H23" s="67">
        <v>0.127</v>
      </c>
      <c r="I23" s="67">
        <f t="shared" si="3"/>
        <v>0.8161130143639365</v>
      </c>
      <c r="J23" s="67">
        <f t="shared" si="3"/>
        <v>0.7814584259670965</v>
      </c>
      <c r="K23" s="67">
        <v>0.93</v>
      </c>
      <c r="L23" s="68">
        <f t="shared" si="4"/>
        <v>1711000000</v>
      </c>
      <c r="M23" s="67">
        <v>1</v>
      </c>
      <c r="N23" s="67">
        <f t="shared" si="5"/>
        <v>2180</v>
      </c>
      <c r="O23" s="69">
        <f>(E23/H23/I23/J23/K23)/L23*10^6/C23*M23</f>
        <v>1.4289537313434417</v>
      </c>
      <c r="P23" s="44">
        <f>O23/(O$41/N$37)/D23/(G23/G$3)</f>
        <v>0.7069118332909894</v>
      </c>
      <c r="Q23" s="70">
        <f>P23/P29</f>
        <v>0.8878844946641558</v>
      </c>
      <c r="R23" s="67">
        <f>syst!$B$38</f>
        <v>0.03</v>
      </c>
      <c r="S23" s="67">
        <f>syst!$B$38</f>
        <v>0.03</v>
      </c>
      <c r="T23" s="1">
        <f>P23/rdaCent!P23</f>
        <v>1.0858530225168312</v>
      </c>
    </row>
    <row r="24" spans="1:19" s="76" customFormat="1" ht="22.5">
      <c r="A24" s="72" t="s">
        <v>24</v>
      </c>
      <c r="B24" s="67">
        <f aca="true" t="shared" si="6" ref="B24:B30">$B$18</f>
        <v>1.8</v>
      </c>
      <c r="C24" s="73">
        <v>1.2</v>
      </c>
      <c r="D24" s="73">
        <v>1</v>
      </c>
      <c r="E24" s="73">
        <f>fitModel!E142</f>
        <v>16</v>
      </c>
      <c r="F24" s="73"/>
      <c r="G24" s="73"/>
      <c r="H24" s="73"/>
      <c r="I24" s="73"/>
      <c r="J24" s="73"/>
      <c r="K24" s="73"/>
      <c r="L24" s="74"/>
      <c r="M24" s="73"/>
      <c r="N24" s="73"/>
      <c r="O24" s="75">
        <f>E24/E23*O23</f>
        <v>0.10345366380767</v>
      </c>
      <c r="P24" s="75">
        <f>O24/O23*P23</f>
        <v>0.05117913725183634</v>
      </c>
      <c r="Q24" s="75">
        <f>P24/P23*Q23</f>
        <v>0.06428123038292531</v>
      </c>
      <c r="R24" s="75">
        <f>SQRT(P24^2+(R23*P23)^2)</f>
        <v>0.05539906132674494</v>
      </c>
      <c r="S24" s="75">
        <f>SQRT(Q24^2+(S23*Q23)^2)</f>
        <v>0.0695814743148005</v>
      </c>
    </row>
    <row r="25" spans="1:20" s="78" customFormat="1" ht="22.5">
      <c r="A25" s="56" t="s">
        <v>83</v>
      </c>
      <c r="B25" s="209">
        <f t="shared" si="6"/>
        <v>1.8</v>
      </c>
      <c r="C25" s="57">
        <v>1.2</v>
      </c>
      <c r="D25" s="57">
        <v>10.4</v>
      </c>
      <c r="E25" s="57">
        <f>fitModel!E143</f>
        <v>149</v>
      </c>
      <c r="F25" s="57">
        <f>G23+G25+G27+G29</f>
        <v>0.88</v>
      </c>
      <c r="G25" s="57">
        <v>0.2</v>
      </c>
      <c r="H25" s="57">
        <v>0.127</v>
      </c>
      <c r="I25" s="57">
        <f t="shared" si="3"/>
        <v>0.8161130143639365</v>
      </c>
      <c r="J25" s="57">
        <f t="shared" si="3"/>
        <v>0.7814584259670965</v>
      </c>
      <c r="K25" s="57">
        <v>0.93</v>
      </c>
      <c r="L25" s="58">
        <f t="shared" si="4"/>
        <v>1711000000</v>
      </c>
      <c r="M25" s="57">
        <v>0.995</v>
      </c>
      <c r="N25" s="57">
        <f t="shared" si="5"/>
        <v>2180</v>
      </c>
      <c r="O25" s="3">
        <f>(E25/H25/I25/J25/K25)/L25*10^6/C25*M25</f>
        <v>0.9585951829878822</v>
      </c>
      <c r="P25" s="44">
        <f>O25/(O$41/N$37)/D25/(G25/G$3)</f>
        <v>0.683975029441496</v>
      </c>
      <c r="Q25" s="77">
        <f>P25/P29</f>
        <v>0.85907576416051</v>
      </c>
      <c r="R25" s="57">
        <f>syst!$C$38</f>
        <v>0.025000000000000005</v>
      </c>
      <c r="S25" s="57">
        <f>syst!$C$38</f>
        <v>0.025000000000000005</v>
      </c>
      <c r="T25" s="1">
        <f>P25/rdaCent!P25</f>
        <v>0.9074117126089892</v>
      </c>
    </row>
    <row r="26" spans="1:19" s="78" customFormat="1" ht="22.5">
      <c r="A26" s="56" t="s">
        <v>24</v>
      </c>
      <c r="B26" s="209">
        <f t="shared" si="6"/>
        <v>1.8</v>
      </c>
      <c r="C26" s="57">
        <v>1.2</v>
      </c>
      <c r="D26" s="57">
        <v>0.7</v>
      </c>
      <c r="E26" s="57">
        <f>fitModel!E144</f>
        <v>12</v>
      </c>
      <c r="F26" s="57"/>
      <c r="G26" s="57"/>
      <c r="H26" s="57"/>
      <c r="I26" s="57"/>
      <c r="J26" s="57"/>
      <c r="K26" s="57"/>
      <c r="L26" s="58"/>
      <c r="M26" s="57"/>
      <c r="N26" s="57"/>
      <c r="O26" s="59">
        <f>E26/E25*O25</f>
        <v>0.07720229661647372</v>
      </c>
      <c r="P26" s="59">
        <f>O26/O25*P25</f>
        <v>0.05508523727045605</v>
      </c>
      <c r="Q26" s="59">
        <f>P26/P25*Q25</f>
        <v>0.06918730986527596</v>
      </c>
      <c r="R26" s="59">
        <f>SQRT(P26^2+(R25*P25)^2)</f>
        <v>0.057678176251547905</v>
      </c>
      <c r="S26" s="59">
        <f>SQRT(Q26^2+(S25*Q25)^2)</f>
        <v>0.07244405308062692</v>
      </c>
    </row>
    <row r="27" spans="1:20" s="76" customFormat="1" ht="22.5">
      <c r="A27" s="72" t="s">
        <v>84</v>
      </c>
      <c r="B27" s="67">
        <f t="shared" si="6"/>
        <v>1.8</v>
      </c>
      <c r="C27" s="73">
        <v>1.2</v>
      </c>
      <c r="D27" s="73">
        <v>6.9</v>
      </c>
      <c r="E27" s="73">
        <f>fitModel!E145</f>
        <v>98</v>
      </c>
      <c r="F27" s="73">
        <f>G23+G25+G27+G29</f>
        <v>0.88</v>
      </c>
      <c r="G27" s="73">
        <f>0.6-0.4</f>
        <v>0.19999999999999996</v>
      </c>
      <c r="H27" s="73">
        <v>0.127</v>
      </c>
      <c r="I27" s="73">
        <f t="shared" si="3"/>
        <v>0.8161130143639365</v>
      </c>
      <c r="J27" s="73">
        <f t="shared" si="3"/>
        <v>0.7814584259670965</v>
      </c>
      <c r="K27" s="73">
        <v>0.93</v>
      </c>
      <c r="L27" s="74">
        <f t="shared" si="4"/>
        <v>1711000000</v>
      </c>
      <c r="M27" s="73">
        <v>0.974</v>
      </c>
      <c r="N27" s="73">
        <f t="shared" si="5"/>
        <v>2180</v>
      </c>
      <c r="O27" s="69">
        <f>(E27/H27/I27/J27/K27)/L27*10^6/C27*M27</f>
        <v>0.6171786948606072</v>
      </c>
      <c r="P27" s="44">
        <f>O27/(O$41/N$37)/D27/(G27/G$3)</f>
        <v>0.6637433436090059</v>
      </c>
      <c r="Q27" s="79">
        <f>P27/P29</f>
        <v>0.8336646742542103</v>
      </c>
      <c r="R27" s="73">
        <f>syst!$D$38</f>
        <v>0.015000000000000001</v>
      </c>
      <c r="S27" s="73">
        <f>syst!$D$38</f>
        <v>0.015000000000000001</v>
      </c>
      <c r="T27" s="1">
        <f>P27/rdaCent!P27</f>
        <v>0.8263299059702871</v>
      </c>
    </row>
    <row r="28" spans="1:19" s="76" customFormat="1" ht="22.5">
      <c r="A28" s="72" t="s">
        <v>24</v>
      </c>
      <c r="B28" s="67">
        <f t="shared" si="6"/>
        <v>1.8</v>
      </c>
      <c r="C28" s="73">
        <v>1.2</v>
      </c>
      <c r="D28" s="73">
        <v>0.6</v>
      </c>
      <c r="E28" s="73">
        <f>fitModel!E146</f>
        <v>11</v>
      </c>
      <c r="F28" s="73"/>
      <c r="G28" s="73"/>
      <c r="H28" s="73"/>
      <c r="I28" s="73"/>
      <c r="J28" s="73"/>
      <c r="K28" s="73"/>
      <c r="L28" s="74"/>
      <c r="M28" s="73"/>
      <c r="N28" s="73"/>
      <c r="O28" s="75">
        <f>E28/E27*O27</f>
        <v>0.06927515962721101</v>
      </c>
      <c r="P28" s="75">
        <f>O28/O27*P27</f>
        <v>0.07450180387448026</v>
      </c>
      <c r="Q28" s="75">
        <f>P28/P27*Q27</f>
        <v>0.09357460629383994</v>
      </c>
      <c r="R28" s="75">
        <f>SQRT(P28^2+(R27*P27)^2)</f>
        <v>0.07516411182501398</v>
      </c>
      <c r="S28" s="75">
        <f>SQRT(Q28^2+(S27*Q27)^2)</f>
        <v>0.09440646810782888</v>
      </c>
    </row>
    <row r="29" spans="1:20" s="78" customFormat="1" ht="22.5">
      <c r="A29" s="56" t="s">
        <v>85</v>
      </c>
      <c r="B29" s="209">
        <f t="shared" si="6"/>
        <v>1.8</v>
      </c>
      <c r="C29" s="57">
        <v>1.2</v>
      </c>
      <c r="D29" s="57">
        <v>3.2</v>
      </c>
      <c r="E29" s="57">
        <f>fitModel!E147</f>
        <v>84</v>
      </c>
      <c r="F29" s="57">
        <f>G23+G25+G27+G29</f>
        <v>0.88</v>
      </c>
      <c r="G29" s="57">
        <v>0.28</v>
      </c>
      <c r="H29" s="57">
        <v>0.127</v>
      </c>
      <c r="I29" s="57">
        <f t="shared" si="3"/>
        <v>0.8161130143639365</v>
      </c>
      <c r="J29" s="57">
        <f t="shared" si="3"/>
        <v>0.7814584259670965</v>
      </c>
      <c r="K29" s="57">
        <v>0.93</v>
      </c>
      <c r="L29" s="58">
        <f t="shared" si="4"/>
        <v>1711000000</v>
      </c>
      <c r="M29" s="57">
        <v>0.885</v>
      </c>
      <c r="N29" s="57">
        <f t="shared" si="5"/>
        <v>2180</v>
      </c>
      <c r="O29" s="3">
        <f>(E29/H29/I29/J29/K29)/L29*10^6/C29*M29</f>
        <v>0.4806715854663867</v>
      </c>
      <c r="P29" s="44">
        <f>O29/(O$41/N$37)/D29/(G29/G$3)</f>
        <v>0.7961754457243679</v>
      </c>
      <c r="Q29" s="77">
        <f>P29/P29</f>
        <v>1</v>
      </c>
      <c r="R29" s="57">
        <f>syst!$E$38</f>
        <v>0.010000000000000002</v>
      </c>
      <c r="S29" s="57">
        <f>syst!$E$38</f>
        <v>0.010000000000000002</v>
      </c>
      <c r="T29" s="1">
        <f>P29/rdaCent!P29</f>
        <v>0.815043984094962</v>
      </c>
    </row>
    <row r="30" spans="1:19" s="78" customFormat="1" ht="22.5">
      <c r="A30" s="56" t="s">
        <v>24</v>
      </c>
      <c r="B30" s="209">
        <f t="shared" si="6"/>
        <v>1.8</v>
      </c>
      <c r="C30" s="57">
        <v>1.2</v>
      </c>
      <c r="D30" s="57">
        <v>0.3</v>
      </c>
      <c r="E30" s="57">
        <f>fitModel!E148</f>
        <v>10</v>
      </c>
      <c r="F30" s="57"/>
      <c r="G30" s="57"/>
      <c r="H30" s="57"/>
      <c r="I30" s="57"/>
      <c r="J30" s="57"/>
      <c r="K30" s="57"/>
      <c r="L30" s="58"/>
      <c r="M30" s="57"/>
      <c r="N30" s="57"/>
      <c r="O30" s="59">
        <f>E30/E29*O29</f>
        <v>0.057222807793617464</v>
      </c>
      <c r="P30" s="59">
        <f>O30/O29*P29</f>
        <v>0.09478279115766285</v>
      </c>
      <c r="Q30" s="59">
        <f>P30/P29*Q29</f>
        <v>0.11904761904761904</v>
      </c>
      <c r="R30" s="59">
        <f>SQRT(P30^2+(R29*P29)^2)</f>
        <v>0.09511659704633345</v>
      </c>
      <c r="S30" s="59">
        <f>SQRT(Q30^2+(S29*Q29)^2)</f>
        <v>0.11946688076997335</v>
      </c>
    </row>
    <row r="31" spans="1:17" s="62" customFormat="1" ht="22.5">
      <c r="A31" s="8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81"/>
      <c r="M31" s="60"/>
      <c r="N31" s="60"/>
      <c r="O31" s="63" t="s">
        <v>87</v>
      </c>
      <c r="P31" s="64">
        <f>(P23*0.2+P25*0.2+P27*0.2+P29*0.28)/(0.2+0.2+0.2+0.28)</f>
        <v>0.720289961444456</v>
      </c>
      <c r="Q31" s="63"/>
    </row>
    <row r="32" spans="1:17" ht="22.5">
      <c r="A32" s="8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7"/>
      <c r="P32" s="65"/>
      <c r="Q32" s="3"/>
    </row>
    <row r="33" spans="1:17" ht="22.5">
      <c r="A33" s="9" t="s">
        <v>5</v>
      </c>
      <c r="B33" s="9">
        <v>-1.7</v>
      </c>
      <c r="C33" s="9">
        <v>1</v>
      </c>
      <c r="D33" s="83"/>
      <c r="E33" s="83">
        <v>65</v>
      </c>
      <c r="F33" s="9"/>
      <c r="G33" s="9"/>
      <c r="H33" s="9">
        <v>0.1265</v>
      </c>
      <c r="I33" s="9">
        <v>0.468</v>
      </c>
      <c r="J33" s="9">
        <v>0.6</v>
      </c>
      <c r="K33" s="9">
        <v>0.99</v>
      </c>
      <c r="L33" s="38">
        <v>1450000000</v>
      </c>
      <c r="M33" s="9">
        <f>0.53/0.74</f>
        <v>0.7162162162162162</v>
      </c>
      <c r="N33" s="9">
        <v>42.1</v>
      </c>
      <c r="O33" s="10">
        <f>(M33*E33/H33/I33/J33/K33)/(L33/(N33*1E-27))/C33*1E+30</f>
        <v>0.038436937411692455</v>
      </c>
      <c r="P33" s="10">
        <f>O33/$O$33</f>
        <v>1</v>
      </c>
      <c r="Q33" s="3"/>
    </row>
    <row r="34" spans="1:17" ht="22.5">
      <c r="A34" s="9" t="s">
        <v>5</v>
      </c>
      <c r="B34" s="9">
        <v>-1.45</v>
      </c>
      <c r="C34" s="9">
        <v>0.5</v>
      </c>
      <c r="D34" s="83"/>
      <c r="E34" s="83">
        <v>36</v>
      </c>
      <c r="F34" s="9"/>
      <c r="G34" s="9"/>
      <c r="H34" s="9">
        <v>0.1265</v>
      </c>
      <c r="I34" s="9">
        <v>0.397</v>
      </c>
      <c r="J34" s="9">
        <v>0.6</v>
      </c>
      <c r="K34" s="9">
        <v>0.99</v>
      </c>
      <c r="L34" s="38">
        <v>1450000000</v>
      </c>
      <c r="M34" s="9">
        <f>0.53/0.74</f>
        <v>0.7162162162162162</v>
      </c>
      <c r="N34" s="9">
        <v>42.1</v>
      </c>
      <c r="O34" s="10">
        <f>(M34*E34/H34/I34/J34/K34)/(L34/(N34*1E-27))/C34*1E+30</f>
        <v>0.05019070114413443</v>
      </c>
      <c r="P34" s="10"/>
      <c r="Q34" s="3"/>
    </row>
    <row r="35" spans="1:17" ht="22.5">
      <c r="A35" s="9" t="s">
        <v>5</v>
      </c>
      <c r="B35" s="9">
        <v>-1.95</v>
      </c>
      <c r="C35" s="9">
        <v>0.5</v>
      </c>
      <c r="D35" s="83"/>
      <c r="E35" s="83">
        <v>29</v>
      </c>
      <c r="F35" s="9"/>
      <c r="G35" s="9"/>
      <c r="H35" s="9">
        <v>0.1265</v>
      </c>
      <c r="I35" s="9">
        <v>0.562</v>
      </c>
      <c r="J35" s="9">
        <v>0.6</v>
      </c>
      <c r="K35" s="9">
        <v>0.99</v>
      </c>
      <c r="L35" s="38">
        <v>1450000000</v>
      </c>
      <c r="M35" s="9">
        <f>0.53/0.74</f>
        <v>0.7162162162162162</v>
      </c>
      <c r="N35" s="9">
        <v>42.1</v>
      </c>
      <c r="O35" s="10">
        <f>(M35*E35/H35/I35/J35/K35)/(L35/(N35*1E-27))/C35*1E+30</f>
        <v>0.02856096986320778</v>
      </c>
      <c r="P35" s="10"/>
      <c r="Q35" s="3"/>
    </row>
    <row r="36" spans="1:17" ht="22.5">
      <c r="A36" s="9"/>
      <c r="B36" s="9"/>
      <c r="C36" s="9"/>
      <c r="D36" s="83"/>
      <c r="E36" s="83"/>
      <c r="F36" s="9"/>
      <c r="G36" s="9"/>
      <c r="H36" s="9"/>
      <c r="I36" s="9"/>
      <c r="J36" s="9"/>
      <c r="K36" s="9"/>
      <c r="L36" s="38"/>
      <c r="M36" s="9"/>
      <c r="N36" s="9"/>
      <c r="O36" s="10"/>
      <c r="P36" s="10"/>
      <c r="Q36" s="3"/>
    </row>
    <row r="37" spans="1:17" ht="22.5">
      <c r="A37" s="11" t="s">
        <v>6</v>
      </c>
      <c r="B37" s="11">
        <v>-1.7</v>
      </c>
      <c r="C37" s="11">
        <v>1</v>
      </c>
      <c r="D37" s="30"/>
      <c r="E37" s="30">
        <f>fitModel!E4</f>
        <v>158</v>
      </c>
      <c r="F37" s="11"/>
      <c r="G37" s="11"/>
      <c r="H37" s="11">
        <v>0.128</v>
      </c>
      <c r="I37" s="11">
        <f>simPp!$H$2</f>
        <v>0.538923846251484</v>
      </c>
      <c r="J37" s="11">
        <f>simPp!$I$2</f>
        <v>0.5366922827145795</v>
      </c>
      <c r="K37" s="11">
        <v>0.99</v>
      </c>
      <c r="L37" s="12">
        <v>4530000000</v>
      </c>
      <c r="M37" s="11">
        <f>0.516/0.74</f>
        <v>0.6972972972972973</v>
      </c>
      <c r="N37" s="11">
        <v>42.2</v>
      </c>
      <c r="O37" s="8">
        <f>(E37/H37/I37/J37/K37)/(L37/N37)/C37*M37*10^6</f>
        <v>28.002151597586288</v>
      </c>
      <c r="P37" s="8">
        <f>O37/$O$33</f>
        <v>728.5219240455947</v>
      </c>
      <c r="Q37" s="3"/>
    </row>
    <row r="38" spans="1:17" ht="22.5">
      <c r="A38" s="11" t="s">
        <v>24</v>
      </c>
      <c r="B38" s="11"/>
      <c r="C38" s="11"/>
      <c r="D38" s="30"/>
      <c r="E38" s="30">
        <f>fitModel!E5</f>
        <v>14</v>
      </c>
      <c r="F38" s="11"/>
      <c r="G38" s="11"/>
      <c r="H38" s="11"/>
      <c r="I38" s="11"/>
      <c r="J38" s="11"/>
      <c r="K38" s="11"/>
      <c r="L38" s="12"/>
      <c r="M38" s="11"/>
      <c r="N38" s="11"/>
      <c r="O38" s="8">
        <f>E38/E37*O37</f>
        <v>2.4812033061152405</v>
      </c>
      <c r="P38" s="8">
        <f>SQRT((O38/O37)^2+(0.15/0.654)^2)*P37</f>
        <v>179.12797967433602</v>
      </c>
      <c r="Q38" s="3"/>
    </row>
    <row r="39" spans="1:17" ht="22.5">
      <c r="A39" s="11" t="s">
        <v>6</v>
      </c>
      <c r="B39" s="11">
        <v>1.8</v>
      </c>
      <c r="C39" s="11">
        <v>1.2</v>
      </c>
      <c r="D39" s="30"/>
      <c r="E39" s="30">
        <f>fitModel!E11</f>
        <v>294</v>
      </c>
      <c r="F39" s="11"/>
      <c r="G39" s="11"/>
      <c r="H39" s="11">
        <v>0.127</v>
      </c>
      <c r="I39" s="11">
        <f>simPp!$H$8</f>
        <v>0.8005870124709046</v>
      </c>
      <c r="J39" s="11">
        <f>simPp!$I$8</f>
        <v>0.7814938323566549</v>
      </c>
      <c r="K39" s="11">
        <v>0.95</v>
      </c>
      <c r="L39" s="12">
        <v>4020000000</v>
      </c>
      <c r="M39" s="11">
        <f>0.516/0.74</f>
        <v>0.6972972972972973</v>
      </c>
      <c r="N39" s="11">
        <v>42.2</v>
      </c>
      <c r="O39" s="8">
        <f>(E39/H39/I39/J39/K39)/(L39/N39)/C39*M39*10^6</f>
        <v>23.75795429702704</v>
      </c>
      <c r="P39" s="8">
        <f>O39/$O$33</f>
        <v>618.1021667402645</v>
      </c>
      <c r="Q39" s="3"/>
    </row>
    <row r="40" spans="1:17" ht="22.5">
      <c r="A40" s="11" t="s">
        <v>24</v>
      </c>
      <c r="B40" s="11"/>
      <c r="C40" s="11"/>
      <c r="D40" s="30"/>
      <c r="E40" s="30">
        <f>fitModel!E12</f>
        <v>20</v>
      </c>
      <c r="F40" s="11"/>
      <c r="G40" s="11"/>
      <c r="H40" s="11"/>
      <c r="I40" s="11"/>
      <c r="J40" s="11"/>
      <c r="K40" s="11"/>
      <c r="L40" s="11"/>
      <c r="M40" s="11"/>
      <c r="N40" s="11"/>
      <c r="O40" s="8">
        <f>E40/E39*O39</f>
        <v>1.616187367144697</v>
      </c>
      <c r="P40" s="8">
        <f>SQRT((O40/O39)^2+(0.15/0.654)^2)*P39</f>
        <v>147.8707879545271</v>
      </c>
      <c r="Q40" s="3"/>
    </row>
    <row r="41" spans="1:17" ht="23.25">
      <c r="A41" s="11"/>
      <c r="B41" s="2" t="s">
        <v>7</v>
      </c>
      <c r="C41" s="13"/>
      <c r="D41" s="13"/>
      <c r="E41" s="13"/>
      <c r="F41" s="13"/>
      <c r="G41" s="13"/>
      <c r="H41" s="11"/>
      <c r="I41" s="11"/>
      <c r="J41" s="11"/>
      <c r="K41" s="11"/>
      <c r="L41" s="11"/>
      <c r="M41" s="11" t="s">
        <v>25</v>
      </c>
      <c r="N41" s="11"/>
      <c r="O41" s="8">
        <f>(O37/O38^2+O39/O40^2)/(1/O38^2+1/O40^2)</f>
        <v>25.022274475222716</v>
      </c>
      <c r="P41" s="8">
        <f>O41/$O$33</f>
        <v>650.9955308669046</v>
      </c>
      <c r="Q41" s="3"/>
    </row>
    <row r="42" spans="1:17" ht="22.5">
      <c r="A42" s="11"/>
      <c r="B42" s="3">
        <v>0.0588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s">
        <v>24</v>
      </c>
      <c r="N42" s="11"/>
      <c r="O42" s="8">
        <f>SQRT(1/(1/O38^2+1/O40^2))</f>
        <v>1.3542320984712857</v>
      </c>
      <c r="P42" s="8">
        <f>SQRT((O42/O41)^2+(0.15/0.654)^2)*P41</f>
        <v>153.41147068338375</v>
      </c>
      <c r="Q42" s="3"/>
    </row>
    <row r="44" spans="2:19" s="2" customFormat="1" ht="21" customHeight="1">
      <c r="B44" s="2" t="s">
        <v>0</v>
      </c>
      <c r="C44" s="2" t="s">
        <v>1</v>
      </c>
      <c r="D44" s="2" t="s">
        <v>72</v>
      </c>
      <c r="E44" s="2" t="s">
        <v>73</v>
      </c>
      <c r="F44" s="2" t="s">
        <v>74</v>
      </c>
      <c r="G44" s="2" t="s">
        <v>74</v>
      </c>
      <c r="H44" s="2" t="s">
        <v>3</v>
      </c>
      <c r="I44" s="2" t="s">
        <v>11</v>
      </c>
      <c r="J44" s="2" t="s">
        <v>8</v>
      </c>
      <c r="K44" s="2" t="s">
        <v>4</v>
      </c>
      <c r="L44" s="2" t="s">
        <v>12</v>
      </c>
      <c r="M44" s="2" t="s">
        <v>75</v>
      </c>
      <c r="N44" s="2" t="s">
        <v>22</v>
      </c>
      <c r="O44" s="2" t="s">
        <v>76</v>
      </c>
      <c r="P44" s="2" t="s">
        <v>15</v>
      </c>
      <c r="Q44" s="2" t="s">
        <v>77</v>
      </c>
      <c r="R44" s="2" t="s">
        <v>78</v>
      </c>
      <c r="S44" s="2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T44"/>
  <sheetViews>
    <sheetView workbookViewId="0" topLeftCell="A15">
      <selection activeCell="B40" sqref="B40"/>
    </sheetView>
  </sheetViews>
  <sheetFormatPr defaultColWidth="9.140625" defaultRowHeight="12.75"/>
  <cols>
    <col min="1" max="1" width="11.00390625" style="1" customWidth="1"/>
    <col min="2" max="2" width="6.57421875" style="1" customWidth="1"/>
    <col min="3" max="3" width="5.00390625" style="1" customWidth="1"/>
    <col min="4" max="4" width="7.421875" style="1" customWidth="1"/>
    <col min="5" max="5" width="6.7109375" style="1" customWidth="1"/>
    <col min="6" max="6" width="6.421875" style="1" hidden="1" customWidth="1"/>
    <col min="7" max="7" width="7.421875" style="1" customWidth="1"/>
    <col min="8" max="8" width="8.1406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10.57421875" style="1" customWidth="1"/>
    <col min="13" max="13" width="12.7109375" style="1" customWidth="1"/>
    <col min="14" max="14" width="7.8515625" style="1" customWidth="1"/>
    <col min="15" max="15" width="11.421875" style="1" customWidth="1"/>
    <col min="16" max="16" width="11.00390625" style="1" customWidth="1"/>
    <col min="17" max="17" width="7.7109375" style="1" customWidth="1"/>
    <col min="18" max="18" width="11.57421875" style="1" customWidth="1"/>
    <col min="19" max="19" width="10.57421875" style="1" customWidth="1"/>
    <col min="20" max="16384" width="10.421875" style="1" customWidth="1"/>
  </cols>
  <sheetData>
    <row r="1" spans="4:20" ht="26.25" customHeight="1">
      <c r="D1" s="1" t="s">
        <v>67</v>
      </c>
      <c r="E1" s="1" t="s">
        <v>68</v>
      </c>
      <c r="F1" s="1" t="s">
        <v>69</v>
      </c>
      <c r="G1" s="1" t="s">
        <v>70</v>
      </c>
      <c r="H1" s="5" t="s">
        <v>10</v>
      </c>
      <c r="J1" s="5" t="s">
        <v>9</v>
      </c>
      <c r="M1" s="1" t="s">
        <v>71</v>
      </c>
      <c r="N1" s="5" t="s">
        <v>23</v>
      </c>
      <c r="O1" s="2"/>
      <c r="T1" s="1" t="s">
        <v>153</v>
      </c>
    </row>
    <row r="2" spans="2:20" s="2" customFormat="1" ht="21" customHeight="1">
      <c r="B2" s="2" t="s">
        <v>0</v>
      </c>
      <c r="C2" s="2" t="s">
        <v>1</v>
      </c>
      <c r="D2" s="2" t="s">
        <v>72</v>
      </c>
      <c r="E2" s="2" t="s">
        <v>73</v>
      </c>
      <c r="F2" s="2" t="s">
        <v>74</v>
      </c>
      <c r="G2" s="2" t="s">
        <v>74</v>
      </c>
      <c r="H2" s="2" t="s">
        <v>3</v>
      </c>
      <c r="I2" s="2" t="s">
        <v>11</v>
      </c>
      <c r="J2" s="2" t="s">
        <v>8</v>
      </c>
      <c r="K2" s="2" t="s">
        <v>4</v>
      </c>
      <c r="L2" s="2" t="s">
        <v>12</v>
      </c>
      <c r="M2" s="2" t="s">
        <v>75</v>
      </c>
      <c r="N2" s="2" t="s">
        <v>22</v>
      </c>
      <c r="O2" s="2" t="s">
        <v>76</v>
      </c>
      <c r="P2" s="2" t="s">
        <v>15</v>
      </c>
      <c r="Q2" s="2" t="s">
        <v>77</v>
      </c>
      <c r="R2" s="2" t="s">
        <v>78</v>
      </c>
      <c r="S2" s="2" t="s">
        <v>79</v>
      </c>
      <c r="T2" s="2" t="s">
        <v>175</v>
      </c>
    </row>
    <row r="3" spans="1:20" ht="22.5">
      <c r="A3" s="14" t="s">
        <v>52</v>
      </c>
      <c r="B3" s="14">
        <v>-1.7</v>
      </c>
      <c r="C3" s="14">
        <v>1</v>
      </c>
      <c r="D3" s="14">
        <v>7.627</v>
      </c>
      <c r="E3" s="14">
        <f>fitModel!F127</f>
        <v>236</v>
      </c>
      <c r="F3" s="14">
        <f>G8+G10+G12+G14</f>
        <v>0.8800000000000001</v>
      </c>
      <c r="G3" s="14">
        <f>G8+G10+G12+G14</f>
        <v>0.8800000000000001</v>
      </c>
      <c r="H3" s="14">
        <v>0.128</v>
      </c>
      <c r="I3" s="14">
        <f>simDau!$H$2</f>
        <v>0.709601535842548</v>
      </c>
      <c r="J3" s="14">
        <f>simDau!$J$2</f>
        <v>0.37784628031237155</v>
      </c>
      <c r="K3" s="14">
        <v>0.99</v>
      </c>
      <c r="L3" s="15">
        <v>1184000000</v>
      </c>
      <c r="M3" s="14">
        <f>0.88/0.92</f>
        <v>0.9565217391304347</v>
      </c>
      <c r="N3" s="14">
        <v>2180</v>
      </c>
      <c r="O3" s="7">
        <f>(E3/H3/I3/J3/K3)/L3*10^6/C3*M3</f>
        <v>5.611517002745678</v>
      </c>
      <c r="P3" s="44">
        <f>O3/(O$41/N$37)/D3/(G3/G$3)</f>
        <v>1.2408297686884728</v>
      </c>
      <c r="Q3" s="3"/>
      <c r="R3" s="45">
        <v>0.096</v>
      </c>
      <c r="S3" s="45"/>
      <c r="T3" s="1">
        <f>P3/rdaCent!P3</f>
        <v>1.0869093212991556</v>
      </c>
    </row>
    <row r="4" spans="1:19" ht="22.5">
      <c r="A4" s="14" t="s">
        <v>24</v>
      </c>
      <c r="B4" s="14">
        <f>$B$3</f>
        <v>-1.7</v>
      </c>
      <c r="C4" s="14">
        <v>1</v>
      </c>
      <c r="D4" s="14">
        <v>0.7</v>
      </c>
      <c r="E4" s="14">
        <f>fitModel!F128</f>
        <v>15</v>
      </c>
      <c r="F4" s="14"/>
      <c r="G4" s="14"/>
      <c r="H4" s="14"/>
      <c r="I4" s="14"/>
      <c r="J4" s="14"/>
      <c r="K4" s="14"/>
      <c r="L4" s="15"/>
      <c r="M4" s="14"/>
      <c r="N4" s="14"/>
      <c r="O4" s="46">
        <f>E4/E3*O3</f>
        <v>0.35666421627620837</v>
      </c>
      <c r="P4" s="7">
        <f>O4/O3*P3</f>
        <v>0.07886629885731819</v>
      </c>
      <c r="Q4" s="3"/>
      <c r="R4" s="45">
        <f>SQRT(P4^2+(R3*P3)^2)</f>
        <v>0.1428614222539932</v>
      </c>
      <c r="S4" s="45"/>
    </row>
    <row r="5" spans="1:17" s="11" customFormat="1" ht="22.5">
      <c r="A5" s="11" t="s">
        <v>81</v>
      </c>
      <c r="B5" s="11">
        <f>$B$3</f>
        <v>-1.7</v>
      </c>
      <c r="C5" s="11">
        <v>1</v>
      </c>
      <c r="D5" s="11">
        <v>3.6</v>
      </c>
      <c r="E5" s="11">
        <v>0</v>
      </c>
      <c r="F5" s="11">
        <v>0.88</v>
      </c>
      <c r="G5" s="11">
        <v>0.148</v>
      </c>
      <c r="H5" s="11">
        <v>0.128</v>
      </c>
      <c r="I5" s="11">
        <f aca="true" t="shared" si="0" ref="I5:J14">I$3</f>
        <v>0.709601535842548</v>
      </c>
      <c r="J5" s="11">
        <f t="shared" si="0"/>
        <v>0.37784628031237155</v>
      </c>
      <c r="K5" s="11">
        <v>0.99</v>
      </c>
      <c r="L5" s="12">
        <f aca="true" t="shared" si="1" ref="L5:L14">L$3</f>
        <v>1184000000</v>
      </c>
      <c r="M5" s="11">
        <f>1</f>
        <v>1</v>
      </c>
      <c r="N5" s="11">
        <v>2180</v>
      </c>
      <c r="O5" s="8">
        <f>(E5/H5/I5/J5/K5)/L5*10^6/C5*M5</f>
        <v>0</v>
      </c>
      <c r="P5" s="44">
        <f>O5/(O$41/N$37)/D5/(G5/G$3)</f>
        <v>0</v>
      </c>
      <c r="Q5" s="8"/>
    </row>
    <row r="6" spans="1:17" s="11" customFormat="1" ht="22.5">
      <c r="A6" s="47" t="s">
        <v>24</v>
      </c>
      <c r="B6" s="11">
        <f>$B$3</f>
        <v>-1.7</v>
      </c>
      <c r="C6" s="11">
        <v>1</v>
      </c>
      <c r="D6" s="11">
        <v>0.25</v>
      </c>
      <c r="E6" s="11">
        <v>8</v>
      </c>
      <c r="L6" s="12"/>
      <c r="O6" s="8" t="e">
        <f>E6/E5*O5</f>
        <v>#DIV/0!</v>
      </c>
      <c r="P6" s="8" t="e">
        <f>O6/O5*P5</f>
        <v>#DIV/0!</v>
      </c>
      <c r="Q6" s="8"/>
    </row>
    <row r="7" spans="1:19" ht="22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4"/>
      <c r="O7" s="7"/>
      <c r="P7" s="7"/>
      <c r="Q7" s="3"/>
      <c r="R7" s="45"/>
      <c r="S7" s="45"/>
    </row>
    <row r="8" spans="1:20" s="49" customFormat="1" ht="22.5">
      <c r="A8" s="48" t="s">
        <v>82</v>
      </c>
      <c r="B8" s="208">
        <f>$B$3</f>
        <v>-1.7</v>
      </c>
      <c r="C8" s="49">
        <v>1</v>
      </c>
      <c r="D8" s="49">
        <v>15</v>
      </c>
      <c r="E8" s="49">
        <f>fitModel!F129</f>
        <v>109</v>
      </c>
      <c r="F8" s="49">
        <f>G8+G10+G12+G14</f>
        <v>0.8800000000000001</v>
      </c>
      <c r="G8" s="49">
        <v>0.2</v>
      </c>
      <c r="H8" s="49">
        <v>0.128</v>
      </c>
      <c r="I8" s="49">
        <f t="shared" si="0"/>
        <v>0.709601535842548</v>
      </c>
      <c r="J8" s="49">
        <f t="shared" si="0"/>
        <v>0.37784628031237155</v>
      </c>
      <c r="K8" s="49">
        <v>0.99</v>
      </c>
      <c r="L8" s="50">
        <f t="shared" si="1"/>
        <v>1184000000</v>
      </c>
      <c r="M8" s="49">
        <v>1</v>
      </c>
      <c r="N8" s="49">
        <v>2180</v>
      </c>
      <c r="O8" s="44">
        <f>(E8/H8/I8/J8/K8)/L8*10^6/C8*M8</f>
        <v>2.7095672430438014</v>
      </c>
      <c r="P8" s="44">
        <f>O8/(O$41/N$37)/D8/(G8/G$3)</f>
        <v>1.3404388855925404</v>
      </c>
      <c r="Q8" s="51">
        <f>P8/P14</f>
        <v>1.114694972322091</v>
      </c>
      <c r="R8" s="51">
        <f>syst!$B$34</f>
        <v>0.10012492197250393</v>
      </c>
      <c r="S8" s="51">
        <f>syst!$B$34</f>
        <v>0.10012492197250393</v>
      </c>
      <c r="T8" s="1">
        <f>P8/rdaCent!P8</f>
        <v>1.0806941933822307</v>
      </c>
    </row>
    <row r="9" spans="1:19" s="53" customFormat="1" ht="22.5">
      <c r="A9" s="52" t="s">
        <v>24</v>
      </c>
      <c r="B9" s="208">
        <f aca="true" t="shared" si="2" ref="B9:B15">$B$3</f>
        <v>-1.7</v>
      </c>
      <c r="C9" s="53">
        <v>1</v>
      </c>
      <c r="D9" s="53">
        <v>1</v>
      </c>
      <c r="E9" s="53">
        <f>fitModel!F130</f>
        <v>10</v>
      </c>
      <c r="L9" s="54"/>
      <c r="O9" s="55">
        <f>E9/E8*O8</f>
        <v>0.24858415073796344</v>
      </c>
      <c r="P9" s="55">
        <f>O9/O8*P8</f>
        <v>0.12297604454977436</v>
      </c>
      <c r="Q9" s="55">
        <f>P9/P8*Q8</f>
        <v>0.10226559379101752</v>
      </c>
      <c r="R9" s="55">
        <f>SQRT(P9^2+(R8*P8)^2)</f>
        <v>0.18203238998415647</v>
      </c>
      <c r="S9" s="55">
        <f>SQRT(Q9^2+(S8*Q8)^2)</f>
        <v>0.15137623363217845</v>
      </c>
    </row>
    <row r="10" spans="1:20" s="57" customFormat="1" ht="22.5">
      <c r="A10" s="56" t="s">
        <v>83</v>
      </c>
      <c r="B10" s="1">
        <f t="shared" si="2"/>
        <v>-1.7</v>
      </c>
      <c r="C10" s="57">
        <v>1</v>
      </c>
      <c r="D10" s="57">
        <v>10.4</v>
      </c>
      <c r="E10" s="57">
        <f>fitModel!F131</f>
        <v>68</v>
      </c>
      <c r="F10" s="57">
        <f>G8+G10+G12+G14</f>
        <v>0.8800000000000001</v>
      </c>
      <c r="G10" s="57">
        <v>0.2</v>
      </c>
      <c r="H10" s="57">
        <v>0.128</v>
      </c>
      <c r="I10" s="57">
        <f t="shared" si="0"/>
        <v>0.709601535842548</v>
      </c>
      <c r="J10" s="57">
        <f t="shared" si="0"/>
        <v>0.37784628031237155</v>
      </c>
      <c r="K10" s="57">
        <v>0.99</v>
      </c>
      <c r="L10" s="58">
        <f t="shared" si="1"/>
        <v>1184000000</v>
      </c>
      <c r="M10" s="57">
        <f>0.995</f>
        <v>0.995</v>
      </c>
      <c r="N10" s="57">
        <v>2180</v>
      </c>
      <c r="O10" s="3">
        <f>(E10/H10/I10/J10/K10)/L10*10^6/C10*M10</f>
        <v>1.6819203638930609</v>
      </c>
      <c r="P10" s="44">
        <f>O10/(O$41/N$37)/D10/(G10/G$3)</f>
        <v>1.2000806501304424</v>
      </c>
      <c r="Q10" s="59">
        <f>P10/P14</f>
        <v>0.99797453017792</v>
      </c>
      <c r="R10" s="59">
        <f>syst!$C$34</f>
        <v>0.04031128874149275</v>
      </c>
      <c r="S10" s="59">
        <f>syst!$C$34</f>
        <v>0.04031128874149275</v>
      </c>
      <c r="T10" s="1">
        <f>P10/rdaCent!P10</f>
        <v>1.376121179630786</v>
      </c>
    </row>
    <row r="11" spans="1:19" s="57" customFormat="1" ht="22.5">
      <c r="A11" s="56" t="s">
        <v>24</v>
      </c>
      <c r="B11" s="1">
        <f t="shared" si="2"/>
        <v>-1.7</v>
      </c>
      <c r="C11" s="57">
        <v>1</v>
      </c>
      <c r="D11" s="57">
        <v>0.7</v>
      </c>
      <c r="E11" s="57">
        <f>fitModel!F132</f>
        <v>8</v>
      </c>
      <c r="L11" s="58"/>
      <c r="O11" s="59">
        <f>E11/E10*O10</f>
        <v>0.19787298398741893</v>
      </c>
      <c r="P11" s="59">
        <f>O11/O10*P10</f>
        <v>0.14118595883887558</v>
      </c>
      <c r="Q11" s="59">
        <f>P11/P10*Q10</f>
        <v>0.11740876825622588</v>
      </c>
      <c r="R11" s="59">
        <f>SQRT(P11^2+(R10*P10)^2)</f>
        <v>0.14924406024807524</v>
      </c>
      <c r="S11" s="59">
        <f>SQRT(Q11^2+(S10*Q10)^2)</f>
        <v>0.12410980119688532</v>
      </c>
    </row>
    <row r="12" spans="1:20" s="53" customFormat="1" ht="22.5">
      <c r="A12" s="52" t="s">
        <v>84</v>
      </c>
      <c r="B12" s="208">
        <f t="shared" si="2"/>
        <v>-1.7</v>
      </c>
      <c r="C12" s="53">
        <v>1</v>
      </c>
      <c r="D12" s="53">
        <v>6.9</v>
      </c>
      <c r="E12" s="53">
        <f>fitModel!F133</f>
        <v>31</v>
      </c>
      <c r="F12" s="53">
        <f>G8+G10+G12+G14</f>
        <v>0.8800000000000001</v>
      </c>
      <c r="G12" s="53">
        <v>0.2</v>
      </c>
      <c r="H12" s="53">
        <v>0.128</v>
      </c>
      <c r="I12" s="53">
        <f t="shared" si="0"/>
        <v>0.709601535842548</v>
      </c>
      <c r="J12" s="53">
        <f t="shared" si="0"/>
        <v>0.37784628031237155</v>
      </c>
      <c r="K12" s="53">
        <v>0.99</v>
      </c>
      <c r="L12" s="54">
        <f t="shared" si="1"/>
        <v>1184000000</v>
      </c>
      <c r="M12" s="53">
        <f>0.974</f>
        <v>0.974</v>
      </c>
      <c r="N12" s="53">
        <v>2180</v>
      </c>
      <c r="O12" s="44">
        <f>(E12/H12/I12/J12/K12)/L12*10^6/C12*M12</f>
        <v>0.7505749847382069</v>
      </c>
      <c r="P12" s="44">
        <f>O12/(O$41/N$37)/D12/(G12/G$3)</f>
        <v>0.8072040628556278</v>
      </c>
      <c r="Q12" s="55">
        <f>P12/P14</f>
        <v>0.6712624649839095</v>
      </c>
      <c r="R12" s="55">
        <f>syst!$D$34</f>
        <v>0.04031128874149275</v>
      </c>
      <c r="S12" s="55">
        <f>syst!$D$34</f>
        <v>0.04031128874149275</v>
      </c>
      <c r="T12" s="1">
        <f>P12/rdaCent!P12</f>
        <v>0.9039830580818244</v>
      </c>
    </row>
    <row r="13" spans="1:19" s="53" customFormat="1" ht="22.5">
      <c r="A13" s="52" t="s">
        <v>24</v>
      </c>
      <c r="B13" s="208">
        <f t="shared" si="2"/>
        <v>-1.7</v>
      </c>
      <c r="C13" s="53">
        <v>1</v>
      </c>
      <c r="D13" s="53">
        <v>0.6</v>
      </c>
      <c r="E13" s="53">
        <f>fitModel!F134</f>
        <v>6</v>
      </c>
      <c r="L13" s="54"/>
      <c r="O13" s="55">
        <f>E13/E12*O12</f>
        <v>0.14527257769126586</v>
      </c>
      <c r="P13" s="55">
        <f>O13/O12*P12</f>
        <v>0.1562330444236699</v>
      </c>
      <c r="Q13" s="55">
        <f>P13/P12*Q12</f>
        <v>0.12992176741624054</v>
      </c>
      <c r="R13" s="55">
        <f>SQRT(P13^2+(R12*P12)^2)</f>
        <v>0.1595856480652652</v>
      </c>
      <c r="S13" s="55">
        <f>SQRT(Q13^2+(S12*Q12)^2)</f>
        <v>0.13270975757651035</v>
      </c>
    </row>
    <row r="14" spans="1:20" s="57" customFormat="1" ht="22.5">
      <c r="A14" s="56" t="s">
        <v>85</v>
      </c>
      <c r="B14" s="1">
        <f t="shared" si="2"/>
        <v>-1.7</v>
      </c>
      <c r="C14" s="57">
        <v>1</v>
      </c>
      <c r="D14" s="57">
        <v>3.2</v>
      </c>
      <c r="E14" s="57">
        <f>fitModel!F135</f>
        <v>33</v>
      </c>
      <c r="F14" s="57">
        <f>G8+G10+G12+G14</f>
        <v>0.8800000000000001</v>
      </c>
      <c r="G14" s="57">
        <v>0.28</v>
      </c>
      <c r="H14" s="57">
        <v>0.128</v>
      </c>
      <c r="I14" s="57">
        <f t="shared" si="0"/>
        <v>0.709601535842548</v>
      </c>
      <c r="J14" s="57">
        <f t="shared" si="0"/>
        <v>0.37784628031237155</v>
      </c>
      <c r="K14" s="57">
        <v>0.99</v>
      </c>
      <c r="L14" s="58">
        <f t="shared" si="1"/>
        <v>1184000000</v>
      </c>
      <c r="M14" s="57">
        <f>0.885</f>
        <v>0.885</v>
      </c>
      <c r="N14" s="57">
        <v>2180</v>
      </c>
      <c r="O14" s="3">
        <f>(E14/H14/I14/J14/K14)/L14*10^6/C14*M14</f>
        <v>0.7259900122302223</v>
      </c>
      <c r="P14" s="44">
        <f>O14/(O$41/N$37)/D14/(G14/G$3)</f>
        <v>1.2025163106281787</v>
      </c>
      <c r="Q14" s="59">
        <f>P14/P14</f>
        <v>1</v>
      </c>
      <c r="R14" s="59">
        <f>syst!$E$34</f>
        <v>0.035355339059327376</v>
      </c>
      <c r="S14" s="59">
        <f>syst!$E$34</f>
        <v>0.035355339059327376</v>
      </c>
      <c r="T14" s="1">
        <f>P14/rdaCent!P14</f>
        <v>1.0528450804769294</v>
      </c>
    </row>
    <row r="15" spans="1:19" s="57" customFormat="1" ht="22.5">
      <c r="A15" s="56" t="s">
        <v>24</v>
      </c>
      <c r="B15" s="1">
        <f t="shared" si="2"/>
        <v>-1.7</v>
      </c>
      <c r="C15" s="57">
        <v>1</v>
      </c>
      <c r="D15" s="57">
        <v>0.3</v>
      </c>
      <c r="E15" s="57">
        <f>fitModel!F136</f>
        <v>6</v>
      </c>
      <c r="L15" s="58"/>
      <c r="O15" s="59">
        <f>E15/E14*O14</f>
        <v>0.1319981840418586</v>
      </c>
      <c r="P15" s="59">
        <f>O15/O14*P14</f>
        <v>0.21863932920512336</v>
      </c>
      <c r="Q15" s="59">
        <f>P15/P14*Q14</f>
        <v>0.1818181818181818</v>
      </c>
      <c r="R15" s="59">
        <f>SQRT(P15^2+(R14*P14)^2)</f>
        <v>0.22273462488334592</v>
      </c>
      <c r="S15" s="59">
        <f>SQRT(Q15^2+(S14*Q14)^2)</f>
        <v>0.18522378691644714</v>
      </c>
    </row>
    <row r="16" spans="1:17" s="62" customFormat="1" ht="22.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 t="s">
        <v>86</v>
      </c>
      <c r="M16" s="62">
        <f>(M8*G8+M10*G10+M12*G12+M14*G14)/(G8+G10+G12+G14)</f>
        <v>0.9563636363636363</v>
      </c>
      <c r="N16" s="60"/>
      <c r="O16" s="63" t="s">
        <v>87</v>
      </c>
      <c r="P16" s="64">
        <f>(P8*G8+P10*G10+P12*G12+P14*G14)/(G8+G10+G12+G14)</f>
        <v>1.1434650985131958</v>
      </c>
      <c r="Q16" s="63"/>
    </row>
    <row r="17" spans="1:17" ht="22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4"/>
      <c r="N17" s="14"/>
      <c r="O17" s="7"/>
      <c r="P17" s="65"/>
      <c r="Q17" s="3"/>
    </row>
    <row r="18" spans="1:20" ht="22.5">
      <c r="A18" s="14" t="s">
        <v>52</v>
      </c>
      <c r="B18" s="14">
        <v>1.8</v>
      </c>
      <c r="C18" s="14">
        <v>1.2</v>
      </c>
      <c r="D18" s="14">
        <v>7.627</v>
      </c>
      <c r="E18" s="14">
        <f>fitModel!F139</f>
        <v>343</v>
      </c>
      <c r="F18" s="14">
        <f>G23+G25+G27+G29</f>
        <v>0.88</v>
      </c>
      <c r="G18" s="14">
        <f>G23+G25+G27+G29</f>
        <v>0.88</v>
      </c>
      <c r="H18" s="14">
        <v>0.127</v>
      </c>
      <c r="I18" s="14">
        <f>simDau!$H$8</f>
        <v>0.8161130143639365</v>
      </c>
      <c r="J18" s="14">
        <f>simDau!$J$8</f>
        <v>0.5256939592199708</v>
      </c>
      <c r="K18" s="14">
        <v>0.93</v>
      </c>
      <c r="L18" s="15">
        <v>1550000000</v>
      </c>
      <c r="M18" s="14">
        <f>$M$3</f>
        <v>0.9565217391304347</v>
      </c>
      <c r="N18" s="14">
        <f>$N$3</f>
        <v>2180</v>
      </c>
      <c r="O18" s="7">
        <f>(E18/H18/I18/J18/K18)/L18*10^6/C18*M18</f>
        <v>3.481016333513786</v>
      </c>
      <c r="P18" s="44">
        <f>O18/(O$41/N$37)/D18/(G18/G$3)</f>
        <v>0.7697292353923687</v>
      </c>
      <c r="Q18" s="3"/>
      <c r="R18" s="45">
        <v>0.111</v>
      </c>
      <c r="T18" s="1">
        <f>P18/rdaCent!P18</f>
        <v>1.0055208006801384</v>
      </c>
    </row>
    <row r="19" spans="1:18" ht="22.5">
      <c r="A19" s="14" t="s">
        <v>24</v>
      </c>
      <c r="B19" s="14">
        <f>$B$18</f>
        <v>1.8</v>
      </c>
      <c r="C19" s="14">
        <v>1.2</v>
      </c>
      <c r="D19" s="14">
        <v>0.7</v>
      </c>
      <c r="E19" s="14">
        <f>fitModel!F140</f>
        <v>20</v>
      </c>
      <c r="F19" s="14"/>
      <c r="G19" s="14"/>
      <c r="H19" s="14"/>
      <c r="I19" s="14"/>
      <c r="J19" s="14"/>
      <c r="K19" s="14"/>
      <c r="L19" s="15"/>
      <c r="M19" s="14"/>
      <c r="N19" s="14"/>
      <c r="O19" s="7">
        <f>E19/E18*O18</f>
        <v>0.202974713324419</v>
      </c>
      <c r="P19" s="7">
        <f>O19/O18*P18</f>
        <v>0.04488217115990488</v>
      </c>
      <c r="Q19" s="3"/>
      <c r="R19" s="45">
        <f>SQRT(P19^2+(R18*P18)^2)</f>
        <v>0.0965111056386628</v>
      </c>
    </row>
    <row r="20" spans="1:17" s="11" customFormat="1" ht="22.5">
      <c r="A20" s="11" t="s">
        <v>81</v>
      </c>
      <c r="B20" s="11">
        <f>$B$18</f>
        <v>1.8</v>
      </c>
      <c r="C20" s="11">
        <v>1.2</v>
      </c>
      <c r="D20" s="11">
        <v>3.6</v>
      </c>
      <c r="E20" s="11">
        <v>0</v>
      </c>
      <c r="F20" s="11">
        <v>0.88</v>
      </c>
      <c r="G20" s="11">
        <f>0.148</f>
        <v>0.148</v>
      </c>
      <c r="H20" s="11">
        <v>0.127</v>
      </c>
      <c r="I20" s="11">
        <f aca="true" t="shared" si="3" ref="I20:J29">I$18</f>
        <v>0.8161130143639365</v>
      </c>
      <c r="J20" s="11">
        <f t="shared" si="3"/>
        <v>0.5256939592199708</v>
      </c>
      <c r="K20" s="11">
        <v>0.93</v>
      </c>
      <c r="L20" s="12">
        <f aca="true" t="shared" si="4" ref="L20:L29">L$18</f>
        <v>1550000000</v>
      </c>
      <c r="M20" s="11">
        <v>1</v>
      </c>
      <c r="N20" s="11">
        <f aca="true" t="shared" si="5" ref="N20:N29">$N$3</f>
        <v>2180</v>
      </c>
      <c r="O20" s="8">
        <f>(E20/H20/I20/J20/K20)/L20*10^6/C20*M20</f>
        <v>0</v>
      </c>
      <c r="P20" s="44">
        <f>O20/(O$41/N$37)/D20/(G20/G$3)</f>
        <v>0</v>
      </c>
      <c r="Q20" s="8"/>
    </row>
    <row r="21" spans="1:17" s="11" customFormat="1" ht="22.5">
      <c r="A21" s="47" t="s">
        <v>24</v>
      </c>
      <c r="B21" s="11">
        <f>$B$18</f>
        <v>1.8</v>
      </c>
      <c r="C21" s="11">
        <v>1.2</v>
      </c>
      <c r="D21" s="11">
        <v>0.25</v>
      </c>
      <c r="E21" s="11">
        <v>10</v>
      </c>
      <c r="L21" s="12"/>
      <c r="O21" s="8" t="e">
        <f>E21/E20*O20</f>
        <v>#DIV/0!</v>
      </c>
      <c r="P21" s="8" t="e">
        <f>O21/O20*P20</f>
        <v>#DIV/0!</v>
      </c>
      <c r="Q21" s="8"/>
    </row>
    <row r="22" spans="1:18" ht="22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4"/>
      <c r="O22" s="7"/>
      <c r="P22" s="7"/>
      <c r="Q22" s="3"/>
      <c r="R22" s="45"/>
    </row>
    <row r="23" spans="1:20" s="71" customFormat="1" ht="22.5">
      <c r="A23" s="66" t="s">
        <v>82</v>
      </c>
      <c r="B23" s="67">
        <f>$B$18</f>
        <v>1.8</v>
      </c>
      <c r="C23" s="67">
        <v>1.2</v>
      </c>
      <c r="D23" s="67">
        <v>15</v>
      </c>
      <c r="E23" s="67">
        <f>fitModel!F141</f>
        <v>118</v>
      </c>
      <c r="F23" s="67">
        <f>G23+G25+G27+G29</f>
        <v>0.88</v>
      </c>
      <c r="G23" s="67">
        <v>0.2</v>
      </c>
      <c r="H23" s="67">
        <v>0.127</v>
      </c>
      <c r="I23" s="67">
        <f t="shared" si="3"/>
        <v>0.8161130143639365</v>
      </c>
      <c r="J23" s="67">
        <f t="shared" si="3"/>
        <v>0.5256939592199708</v>
      </c>
      <c r="K23" s="67">
        <v>0.93</v>
      </c>
      <c r="L23" s="68">
        <f t="shared" si="4"/>
        <v>1550000000</v>
      </c>
      <c r="M23" s="67">
        <v>1</v>
      </c>
      <c r="N23" s="67">
        <f t="shared" si="5"/>
        <v>2180</v>
      </c>
      <c r="O23" s="69">
        <f>(E23/H23/I23/J23/K23)/L23*10^6/C23*M23</f>
        <v>1.2519849362783484</v>
      </c>
      <c r="P23" s="44">
        <f>O23/(O$41/N$37)/D23/(G23/G$3)</f>
        <v>0.6193643273006118</v>
      </c>
      <c r="Q23" s="70">
        <f>P23/P29</f>
        <v>0.765811965811966</v>
      </c>
      <c r="R23" s="67">
        <f>syst!$B$38</f>
        <v>0.03</v>
      </c>
      <c r="S23" s="67">
        <f>syst!$B$38</f>
        <v>0.03</v>
      </c>
      <c r="T23" s="1">
        <f>P23/rdaCent!P23</f>
        <v>0.9513755395881639</v>
      </c>
    </row>
    <row r="24" spans="1:19" s="76" customFormat="1" ht="22.5">
      <c r="A24" s="72" t="s">
        <v>24</v>
      </c>
      <c r="B24" s="67">
        <f aca="true" t="shared" si="6" ref="B24:B30">$B$18</f>
        <v>1.8</v>
      </c>
      <c r="C24" s="73">
        <v>1.2</v>
      </c>
      <c r="D24" s="73">
        <v>1</v>
      </c>
      <c r="E24" s="73">
        <f>fitModel!F142</f>
        <v>12</v>
      </c>
      <c r="F24" s="73"/>
      <c r="G24" s="73"/>
      <c r="H24" s="73"/>
      <c r="I24" s="73"/>
      <c r="J24" s="73"/>
      <c r="K24" s="73"/>
      <c r="L24" s="74"/>
      <c r="M24" s="73"/>
      <c r="N24" s="73"/>
      <c r="O24" s="75">
        <f>E24/E23*O23</f>
        <v>0.1273205019944083</v>
      </c>
      <c r="P24" s="75">
        <f>O24/O23*P23</f>
        <v>0.06298620277633339</v>
      </c>
      <c r="Q24" s="75">
        <f>P24/P23*Q23</f>
        <v>0.07787918296392873</v>
      </c>
      <c r="R24" s="75">
        <f>SQRT(P24^2+(R23*P23)^2)</f>
        <v>0.06566972432651651</v>
      </c>
      <c r="S24" s="75">
        <f>SQRT(Q24^2+(S23*Q23)^2)</f>
        <v>0.08119721860637713</v>
      </c>
    </row>
    <row r="25" spans="1:20" s="78" customFormat="1" ht="22.5">
      <c r="A25" s="56" t="s">
        <v>83</v>
      </c>
      <c r="B25" s="209">
        <f t="shared" si="6"/>
        <v>1.8</v>
      </c>
      <c r="C25" s="57">
        <v>1.2</v>
      </c>
      <c r="D25" s="57">
        <v>10.4</v>
      </c>
      <c r="E25" s="57">
        <f>fitModel!F143</f>
        <v>105</v>
      </c>
      <c r="F25" s="57">
        <f>G23+G25+G27+G29</f>
        <v>0.88</v>
      </c>
      <c r="G25" s="57">
        <v>0.2</v>
      </c>
      <c r="H25" s="57">
        <v>0.127</v>
      </c>
      <c r="I25" s="57">
        <f t="shared" si="3"/>
        <v>0.8161130143639365</v>
      </c>
      <c r="J25" s="57">
        <f t="shared" si="3"/>
        <v>0.5256939592199708</v>
      </c>
      <c r="K25" s="57">
        <v>0.93</v>
      </c>
      <c r="L25" s="58">
        <f t="shared" si="4"/>
        <v>1550000000</v>
      </c>
      <c r="M25" s="57">
        <v>0.995</v>
      </c>
      <c r="N25" s="57">
        <f t="shared" si="5"/>
        <v>2180</v>
      </c>
      <c r="O25" s="3">
        <f>(E25/H25/I25/J25/K25)/L25*10^6/C25*M25</f>
        <v>1.108484120488817</v>
      </c>
      <c r="P25" s="44">
        <f>O25/(O$41/N$37)/D25/(G25/G$3)</f>
        <v>0.7909235018097871</v>
      </c>
      <c r="Q25" s="77">
        <f>P25/P29</f>
        <v>0.9779360144418812</v>
      </c>
      <c r="R25" s="57">
        <f>syst!$C$38</f>
        <v>0.025000000000000005</v>
      </c>
      <c r="S25" s="57">
        <f>syst!$C$38</f>
        <v>0.025000000000000005</v>
      </c>
      <c r="T25" s="1">
        <f>P25/rdaCent!P25</f>
        <v>1.0492974427823114</v>
      </c>
    </row>
    <row r="26" spans="1:19" s="78" customFormat="1" ht="22.5">
      <c r="A26" s="56" t="s">
        <v>24</v>
      </c>
      <c r="B26" s="209">
        <f t="shared" si="6"/>
        <v>1.8</v>
      </c>
      <c r="C26" s="57">
        <v>1.2</v>
      </c>
      <c r="D26" s="57">
        <v>0.7</v>
      </c>
      <c r="E26" s="57">
        <f>fitModel!F144</f>
        <v>11</v>
      </c>
      <c r="F26" s="57"/>
      <c r="G26" s="57"/>
      <c r="H26" s="57"/>
      <c r="I26" s="57"/>
      <c r="J26" s="57"/>
      <c r="K26" s="57"/>
      <c r="L26" s="58"/>
      <c r="M26" s="57"/>
      <c r="N26" s="57"/>
      <c r="O26" s="59">
        <f>E26/E25*O25</f>
        <v>0.11612690786073321</v>
      </c>
      <c r="P26" s="59">
        <f>O26/O25*P25</f>
        <v>0.08285865257054913</v>
      </c>
      <c r="Q26" s="59">
        <f>P26/P25*Q25</f>
        <v>0.10245043960819708</v>
      </c>
      <c r="R26" s="59">
        <f>SQRT(P26^2+(R25*P25)^2)</f>
        <v>0.08518527629161554</v>
      </c>
      <c r="S26" s="59">
        <f>SQRT(Q26^2+(S25*Q25)^2)</f>
        <v>0.10532718953872681</v>
      </c>
    </row>
    <row r="27" spans="1:20" s="76" customFormat="1" ht="22.5">
      <c r="A27" s="72" t="s">
        <v>84</v>
      </c>
      <c r="B27" s="67">
        <f t="shared" si="6"/>
        <v>1.8</v>
      </c>
      <c r="C27" s="73">
        <v>1.2</v>
      </c>
      <c r="D27" s="73">
        <v>6.9</v>
      </c>
      <c r="E27" s="73">
        <f>fitModel!F145</f>
        <v>76</v>
      </c>
      <c r="F27" s="73">
        <f>G23+G25+G27+G29</f>
        <v>0.88</v>
      </c>
      <c r="G27" s="73">
        <f>0.6-0.4</f>
        <v>0.19999999999999996</v>
      </c>
      <c r="H27" s="73">
        <v>0.127</v>
      </c>
      <c r="I27" s="73">
        <f t="shared" si="3"/>
        <v>0.8161130143639365</v>
      </c>
      <c r="J27" s="73">
        <f t="shared" si="3"/>
        <v>0.5256939592199708</v>
      </c>
      <c r="K27" s="73">
        <v>0.93</v>
      </c>
      <c r="L27" s="74">
        <f t="shared" si="4"/>
        <v>1550000000</v>
      </c>
      <c r="M27" s="73">
        <v>0.974</v>
      </c>
      <c r="N27" s="73">
        <f t="shared" si="5"/>
        <v>2180</v>
      </c>
      <c r="O27" s="69">
        <f>(E27/H27/I27/J27/K27)/L27*10^6/C27*M27</f>
        <v>0.7853977366361733</v>
      </c>
      <c r="P27" s="44">
        <f>O27/(O$41/N$37)/D27/(G27/G$3)</f>
        <v>0.844654107665816</v>
      </c>
      <c r="Q27" s="79">
        <f>P27/P29</f>
        <v>1.0443711303843952</v>
      </c>
      <c r="R27" s="73">
        <f>syst!$D$38</f>
        <v>0.015000000000000001</v>
      </c>
      <c r="S27" s="73">
        <f>syst!$D$38</f>
        <v>0.015000000000000001</v>
      </c>
      <c r="T27" s="1">
        <f>P27/rdaCent!P27</f>
        <v>1.0515554786129238</v>
      </c>
    </row>
    <row r="28" spans="1:19" s="76" customFormat="1" ht="22.5">
      <c r="A28" s="72" t="s">
        <v>24</v>
      </c>
      <c r="B28" s="67">
        <f t="shared" si="6"/>
        <v>1.8</v>
      </c>
      <c r="C28" s="73">
        <v>1.2</v>
      </c>
      <c r="D28" s="73">
        <v>0.6</v>
      </c>
      <c r="E28" s="73">
        <f>fitModel!F146</f>
        <v>9</v>
      </c>
      <c r="F28" s="73"/>
      <c r="G28" s="73"/>
      <c r="H28" s="73"/>
      <c r="I28" s="73"/>
      <c r="J28" s="73"/>
      <c r="K28" s="73"/>
      <c r="L28" s="74"/>
      <c r="M28" s="73"/>
      <c r="N28" s="73"/>
      <c r="O28" s="75">
        <f>E28/E27*O27</f>
        <v>0.09300762670691526</v>
      </c>
      <c r="P28" s="75">
        <f>O28/O27*P27</f>
        <v>0.10002482853937293</v>
      </c>
      <c r="Q28" s="75">
        <f>P28/P27*Q27</f>
        <v>0.12367552859815206</v>
      </c>
      <c r="R28" s="75">
        <f>SQRT(P28^2+(R27*P27)^2)</f>
        <v>0.10082405690454148</v>
      </c>
      <c r="S28" s="75">
        <f>SQRT(Q28^2+(S27*Q27)^2)</f>
        <v>0.12466373314672521</v>
      </c>
    </row>
    <row r="29" spans="1:20" s="78" customFormat="1" ht="22.5">
      <c r="A29" s="56" t="s">
        <v>85</v>
      </c>
      <c r="B29" s="209">
        <f t="shared" si="6"/>
        <v>1.8</v>
      </c>
      <c r="C29" s="57">
        <v>1.2</v>
      </c>
      <c r="D29" s="57">
        <v>3.2</v>
      </c>
      <c r="E29" s="57">
        <f>fitModel!F147</f>
        <v>52</v>
      </c>
      <c r="F29" s="57">
        <f>G23+G25+G27+G29</f>
        <v>0.88</v>
      </c>
      <c r="G29" s="57">
        <v>0.28</v>
      </c>
      <c r="H29" s="57">
        <v>0.127</v>
      </c>
      <c r="I29" s="57">
        <f t="shared" si="3"/>
        <v>0.8161130143639365</v>
      </c>
      <c r="J29" s="57">
        <f t="shared" si="3"/>
        <v>0.5256939592199708</v>
      </c>
      <c r="K29" s="57">
        <v>0.93</v>
      </c>
      <c r="L29" s="58">
        <f t="shared" si="4"/>
        <v>1550000000</v>
      </c>
      <c r="M29" s="57">
        <v>0.885</v>
      </c>
      <c r="N29" s="57">
        <f t="shared" si="5"/>
        <v>2180</v>
      </c>
      <c r="O29" s="3">
        <f>(E29/H29/I29/J29/K29)/L29*10^6/C29*M29</f>
        <v>0.48827412514855584</v>
      </c>
      <c r="P29" s="44">
        <f>O29/(O$41/N$37)/D29/(G29/G$3)</f>
        <v>0.8087681506045933</v>
      </c>
      <c r="Q29" s="77">
        <f>P29/P29</f>
        <v>1</v>
      </c>
      <c r="R29" s="57">
        <f>syst!$E$38</f>
        <v>0.010000000000000002</v>
      </c>
      <c r="S29" s="57">
        <f>syst!$E$38</f>
        <v>0.010000000000000002</v>
      </c>
      <c r="T29" s="1">
        <f>P29/rdaCent!P29</f>
        <v>0.8279351231161775</v>
      </c>
    </row>
    <row r="30" spans="1:19" s="78" customFormat="1" ht="22.5">
      <c r="A30" s="56" t="s">
        <v>24</v>
      </c>
      <c r="B30" s="209">
        <f t="shared" si="6"/>
        <v>1.8</v>
      </c>
      <c r="C30" s="57">
        <v>1.2</v>
      </c>
      <c r="D30" s="57">
        <v>0.3</v>
      </c>
      <c r="E30" s="57">
        <f>fitModel!F148</f>
        <v>8</v>
      </c>
      <c r="F30" s="57"/>
      <c r="G30" s="57"/>
      <c r="H30" s="57"/>
      <c r="I30" s="57"/>
      <c r="J30" s="57"/>
      <c r="K30" s="57"/>
      <c r="L30" s="58"/>
      <c r="M30" s="57"/>
      <c r="N30" s="57"/>
      <c r="O30" s="59">
        <f>E30/E29*O29</f>
        <v>0.0751190961767009</v>
      </c>
      <c r="P30" s="59">
        <f>O30/O29*P29</f>
        <v>0.12442586932378359</v>
      </c>
      <c r="Q30" s="59">
        <f>P30/P29*Q29</f>
        <v>0.15384615384615385</v>
      </c>
      <c r="R30" s="59">
        <f>SQRT(P30^2+(R29*P29)^2)</f>
        <v>0.12468844192274803</v>
      </c>
      <c r="S30" s="59">
        <f>SQRT(Q30^2+(S29*Q29)^2)</f>
        <v>0.1541708112881762</v>
      </c>
    </row>
    <row r="31" spans="1:17" s="62" customFormat="1" ht="22.5">
      <c r="A31" s="8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81"/>
      <c r="M31" s="60"/>
      <c r="N31" s="60"/>
      <c r="O31" s="63" t="s">
        <v>87</v>
      </c>
      <c r="P31" s="64">
        <f>(P23*0.2+P25*0.2+P27*0.2+P29*0.28)/(0.2+0.2+0.2+0.28)</f>
        <v>0.769822124459692</v>
      </c>
      <c r="Q31" s="63"/>
    </row>
    <row r="32" spans="1:17" ht="22.5">
      <c r="A32" s="8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7"/>
      <c r="P32" s="65"/>
      <c r="Q32" s="3"/>
    </row>
    <row r="33" spans="1:17" ht="22.5">
      <c r="A33" s="9" t="s">
        <v>5</v>
      </c>
      <c r="B33" s="9">
        <v>-1.7</v>
      </c>
      <c r="C33" s="9">
        <v>1</v>
      </c>
      <c r="D33" s="83"/>
      <c r="E33" s="83">
        <v>65</v>
      </c>
      <c r="F33" s="9"/>
      <c r="G33" s="9"/>
      <c r="H33" s="9">
        <v>0.1265</v>
      </c>
      <c r="I33" s="9">
        <v>0.468</v>
      </c>
      <c r="J33" s="9">
        <v>0.6</v>
      </c>
      <c r="K33" s="9">
        <v>0.99</v>
      </c>
      <c r="L33" s="38">
        <v>1450000000</v>
      </c>
      <c r="M33" s="9">
        <f>0.53/0.74</f>
        <v>0.7162162162162162</v>
      </c>
      <c r="N33" s="9">
        <v>42.1</v>
      </c>
      <c r="O33" s="10">
        <f>(M33*E33/H33/I33/J33/K33)/(L33/(N33*1E-27))/C33*1E+30</f>
        <v>0.038436937411692455</v>
      </c>
      <c r="P33" s="10">
        <f>O33/$O$33</f>
        <v>1</v>
      </c>
      <c r="Q33" s="3"/>
    </row>
    <row r="34" spans="1:17" ht="22.5">
      <c r="A34" s="9" t="s">
        <v>5</v>
      </c>
      <c r="B34" s="9">
        <v>-1.45</v>
      </c>
      <c r="C34" s="9">
        <v>0.5</v>
      </c>
      <c r="D34" s="83"/>
      <c r="E34" s="83">
        <v>36</v>
      </c>
      <c r="F34" s="9"/>
      <c r="G34" s="9"/>
      <c r="H34" s="9">
        <v>0.1265</v>
      </c>
      <c r="I34" s="9">
        <v>0.397</v>
      </c>
      <c r="J34" s="9">
        <v>0.6</v>
      </c>
      <c r="K34" s="9">
        <v>0.99</v>
      </c>
      <c r="L34" s="38">
        <v>1450000000</v>
      </c>
      <c r="M34" s="9">
        <f>0.53/0.74</f>
        <v>0.7162162162162162</v>
      </c>
      <c r="N34" s="9">
        <v>42.1</v>
      </c>
      <c r="O34" s="10">
        <f>(M34*E34/H34/I34/J34/K34)/(L34/(N34*1E-27))/C34*1E+30</f>
        <v>0.05019070114413443</v>
      </c>
      <c r="P34" s="10"/>
      <c r="Q34" s="3"/>
    </row>
    <row r="35" spans="1:17" ht="22.5">
      <c r="A35" s="9" t="s">
        <v>5</v>
      </c>
      <c r="B35" s="9">
        <v>-1.95</v>
      </c>
      <c r="C35" s="9">
        <v>0.5</v>
      </c>
      <c r="D35" s="83"/>
      <c r="E35" s="83">
        <v>29</v>
      </c>
      <c r="F35" s="9"/>
      <c r="G35" s="9"/>
      <c r="H35" s="9">
        <v>0.1265</v>
      </c>
      <c r="I35" s="9">
        <v>0.562</v>
      </c>
      <c r="J35" s="9">
        <v>0.6</v>
      </c>
      <c r="K35" s="9">
        <v>0.99</v>
      </c>
      <c r="L35" s="38">
        <v>1450000000</v>
      </c>
      <c r="M35" s="9">
        <f>0.53/0.74</f>
        <v>0.7162162162162162</v>
      </c>
      <c r="N35" s="9">
        <v>42.1</v>
      </c>
      <c r="O35" s="10">
        <f>(M35*E35/H35/I35/J35/K35)/(L35/(N35*1E-27))/C35*1E+30</f>
        <v>0.02856096986320778</v>
      </c>
      <c r="P35" s="10"/>
      <c r="Q35" s="3"/>
    </row>
    <row r="36" spans="1:17" ht="22.5">
      <c r="A36" s="9"/>
      <c r="B36" s="9"/>
      <c r="C36" s="9"/>
      <c r="D36" s="83"/>
      <c r="E36" s="83"/>
      <c r="F36" s="9"/>
      <c r="G36" s="9"/>
      <c r="H36" s="9"/>
      <c r="I36" s="9"/>
      <c r="J36" s="9"/>
      <c r="K36" s="9"/>
      <c r="L36" s="38"/>
      <c r="M36" s="9"/>
      <c r="N36" s="9"/>
      <c r="O36" s="10"/>
      <c r="P36" s="10"/>
      <c r="Q36" s="3"/>
    </row>
    <row r="37" spans="1:17" ht="22.5">
      <c r="A37" s="11" t="s">
        <v>6</v>
      </c>
      <c r="B37" s="11">
        <v>-1.7</v>
      </c>
      <c r="C37" s="11">
        <v>1</v>
      </c>
      <c r="D37" s="30"/>
      <c r="E37" s="30">
        <f>fitModel!E4</f>
        <v>158</v>
      </c>
      <c r="F37" s="11"/>
      <c r="G37" s="11"/>
      <c r="H37" s="11">
        <v>0.128</v>
      </c>
      <c r="I37" s="11">
        <f>simPp!$H$2</f>
        <v>0.538923846251484</v>
      </c>
      <c r="J37" s="11">
        <f>simPp!$I$2</f>
        <v>0.5366922827145795</v>
      </c>
      <c r="K37" s="11">
        <v>0.99</v>
      </c>
      <c r="L37" s="12">
        <v>4530000000</v>
      </c>
      <c r="M37" s="11">
        <f>0.516/0.74</f>
        <v>0.6972972972972973</v>
      </c>
      <c r="N37" s="11">
        <v>42.2</v>
      </c>
      <c r="O37" s="8">
        <f>(E37/H37/I37/J37/K37)/(L37/N37)/C37*M37*10^6</f>
        <v>28.002151597586288</v>
      </c>
      <c r="P37" s="8">
        <f>O37/$O$33</f>
        <v>728.5219240455947</v>
      </c>
      <c r="Q37" s="3"/>
    </row>
    <row r="38" spans="1:17" ht="22.5">
      <c r="A38" s="11" t="s">
        <v>24</v>
      </c>
      <c r="B38" s="11"/>
      <c r="C38" s="11"/>
      <c r="D38" s="30"/>
      <c r="E38" s="30">
        <f>fitModel!E5</f>
        <v>14</v>
      </c>
      <c r="F38" s="11"/>
      <c r="G38" s="11"/>
      <c r="H38" s="11"/>
      <c r="I38" s="11"/>
      <c r="J38" s="11"/>
      <c r="K38" s="11"/>
      <c r="L38" s="12"/>
      <c r="M38" s="11"/>
      <c r="N38" s="11"/>
      <c r="O38" s="8">
        <f>E38/E37*O37</f>
        <v>2.4812033061152405</v>
      </c>
      <c r="P38" s="8">
        <f>SQRT((O38/O37)^2+(0.15/0.654)^2)*P37</f>
        <v>179.12797967433602</v>
      </c>
      <c r="Q38" s="3"/>
    </row>
    <row r="39" spans="1:17" ht="22.5">
      <c r="A39" s="11" t="s">
        <v>6</v>
      </c>
      <c r="B39" s="11">
        <v>1.8</v>
      </c>
      <c r="C39" s="11">
        <v>1.2</v>
      </c>
      <c r="D39" s="30"/>
      <c r="E39" s="30">
        <f>fitModel!E11</f>
        <v>294</v>
      </c>
      <c r="F39" s="11"/>
      <c r="G39" s="11"/>
      <c r="H39" s="11">
        <v>0.127</v>
      </c>
      <c r="I39" s="11">
        <f>simPp!$H$8</f>
        <v>0.8005870124709046</v>
      </c>
      <c r="J39" s="11">
        <f>simPp!$I$8</f>
        <v>0.7814938323566549</v>
      </c>
      <c r="K39" s="11">
        <v>0.95</v>
      </c>
      <c r="L39" s="12">
        <v>4020000000</v>
      </c>
      <c r="M39" s="11">
        <f>0.516/0.74</f>
        <v>0.6972972972972973</v>
      </c>
      <c r="N39" s="11">
        <v>42.2</v>
      </c>
      <c r="O39" s="8">
        <f>(E39/H39/I39/J39/K39)/(L39/N39)/C39*M39*10^6</f>
        <v>23.75795429702704</v>
      </c>
      <c r="P39" s="8">
        <f>O39/$O$33</f>
        <v>618.1021667402645</v>
      </c>
      <c r="Q39" s="3"/>
    </row>
    <row r="40" spans="1:17" ht="22.5">
      <c r="A40" s="11" t="s">
        <v>24</v>
      </c>
      <c r="B40" s="11"/>
      <c r="C40" s="11"/>
      <c r="D40" s="30"/>
      <c r="E40" s="30">
        <f>fitModel!E12</f>
        <v>20</v>
      </c>
      <c r="F40" s="11"/>
      <c r="G40" s="11"/>
      <c r="H40" s="11"/>
      <c r="I40" s="11"/>
      <c r="J40" s="11"/>
      <c r="K40" s="11"/>
      <c r="L40" s="11"/>
      <c r="M40" s="11"/>
      <c r="N40" s="11"/>
      <c r="O40" s="8">
        <f>E40/E39*O39</f>
        <v>1.616187367144697</v>
      </c>
      <c r="P40" s="8">
        <f>SQRT((O40/O39)^2+(0.15/0.654)^2)*P39</f>
        <v>147.8707879545271</v>
      </c>
      <c r="Q40" s="3"/>
    </row>
    <row r="41" spans="1:17" ht="23.25">
      <c r="A41" s="11"/>
      <c r="B41" s="2" t="s">
        <v>7</v>
      </c>
      <c r="C41" s="13"/>
      <c r="D41" s="13"/>
      <c r="E41" s="13"/>
      <c r="F41" s="13"/>
      <c r="G41" s="13"/>
      <c r="H41" s="11"/>
      <c r="I41" s="11"/>
      <c r="J41" s="11"/>
      <c r="K41" s="11"/>
      <c r="L41" s="11"/>
      <c r="M41" s="11" t="s">
        <v>25</v>
      </c>
      <c r="N41" s="11"/>
      <c r="O41" s="8">
        <f>(O37/O38^2+O39/O40^2)/(1/O38^2+1/O40^2)</f>
        <v>25.022274475222716</v>
      </c>
      <c r="P41" s="8">
        <f>O41/$O$33</f>
        <v>650.9955308669046</v>
      </c>
      <c r="Q41" s="3"/>
    </row>
    <row r="42" spans="1:17" ht="22.5">
      <c r="A42" s="11"/>
      <c r="B42" s="3">
        <v>0.0588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s">
        <v>24</v>
      </c>
      <c r="N42" s="11"/>
      <c r="O42" s="8">
        <f>SQRT(1/(1/O38^2+1/O40^2))</f>
        <v>1.3542320984712857</v>
      </c>
      <c r="P42" s="8">
        <f>SQRT((O42/O41)^2+(0.15/0.654)^2)*P41</f>
        <v>153.41147068338375</v>
      </c>
      <c r="Q42" s="3"/>
    </row>
    <row r="44" spans="2:19" s="2" customFormat="1" ht="21" customHeight="1">
      <c r="B44" s="2" t="s">
        <v>0</v>
      </c>
      <c r="C44" s="2" t="s">
        <v>1</v>
      </c>
      <c r="D44" s="2" t="s">
        <v>72</v>
      </c>
      <c r="E44" s="2" t="s">
        <v>73</v>
      </c>
      <c r="F44" s="2" t="s">
        <v>74</v>
      </c>
      <c r="G44" s="2" t="s">
        <v>74</v>
      </c>
      <c r="H44" s="2" t="s">
        <v>3</v>
      </c>
      <c r="I44" s="2" t="s">
        <v>11</v>
      </c>
      <c r="J44" s="2" t="s">
        <v>8</v>
      </c>
      <c r="K44" s="2" t="s">
        <v>4</v>
      </c>
      <c r="L44" s="2" t="s">
        <v>12</v>
      </c>
      <c r="M44" s="2" t="s">
        <v>75</v>
      </c>
      <c r="N44" s="2" t="s">
        <v>22</v>
      </c>
      <c r="O44" s="2" t="s">
        <v>76</v>
      </c>
      <c r="P44" s="2" t="s">
        <v>15</v>
      </c>
      <c r="Q44" s="2" t="s">
        <v>77</v>
      </c>
      <c r="R44" s="2" t="s">
        <v>78</v>
      </c>
      <c r="S44" s="2" t="s">
        <v>79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L58"/>
  <sheetViews>
    <sheetView workbookViewId="0" topLeftCell="A1">
      <selection activeCell="M45" sqref="M45"/>
    </sheetView>
  </sheetViews>
  <sheetFormatPr defaultColWidth="9.140625" defaultRowHeight="12.75"/>
  <cols>
    <col min="1" max="16384" width="9.140625" style="41" customWidth="1"/>
  </cols>
  <sheetData>
    <row r="1" spans="1:12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  <c r="K1" s="40" t="s">
        <v>248</v>
      </c>
      <c r="L1" s="40" t="s">
        <v>250</v>
      </c>
    </row>
    <row r="2" spans="1:12" ht="12.75">
      <c r="A2" s="41">
        <v>-2.2</v>
      </c>
      <c r="B2" s="41">
        <v>-1.2</v>
      </c>
      <c r="C2" s="41">
        <v>267866</v>
      </c>
      <c r="D2" s="41">
        <v>18478</v>
      </c>
      <c r="E2" s="41">
        <v>9917</v>
      </c>
      <c r="G2" s="41">
        <v>0.128</v>
      </c>
      <c r="H2" s="42">
        <f>D2/C2/G2</f>
        <v>0.538923846251484</v>
      </c>
      <c r="I2" s="42">
        <f>E2/D2</f>
        <v>0.5366922827145795</v>
      </c>
      <c r="J2" s="42"/>
      <c r="K2" s="42">
        <f>(H2*I2)/(simPpDJ!H2*simPpDJ!I2)</f>
        <v>1.0493169334703283</v>
      </c>
      <c r="L2" s="42">
        <f>(H2*I2)/('simPp.QM'!H2*'simPp.QM'!I2)</f>
        <v>1.3491706156643586</v>
      </c>
    </row>
    <row r="3" spans="8:10" ht="12.75">
      <c r="H3" s="42"/>
      <c r="I3" s="42">
        <f>SQRT(1/E2)*I2</f>
        <v>0.005389335170618273</v>
      </c>
      <c r="J3" s="42"/>
    </row>
    <row r="4" spans="1:12" ht="12.75">
      <c r="A4" s="41">
        <v>-2.2</v>
      </c>
      <c r="B4" s="41">
        <v>-1.7</v>
      </c>
      <c r="C4" s="41">
        <v>117200</v>
      </c>
      <c r="D4" s="41">
        <v>8585</v>
      </c>
      <c r="E4" s="41">
        <v>4718</v>
      </c>
      <c r="G4" s="41">
        <f>G2</f>
        <v>0.128</v>
      </c>
      <c r="H4" s="42">
        <f>D4/C4/G4</f>
        <v>0.5722722909556314</v>
      </c>
      <c r="I4" s="42">
        <f>E4/D4</f>
        <v>0.5495631916132789</v>
      </c>
      <c r="J4" s="42"/>
      <c r="K4" s="42">
        <f>(H4*I4)/(simPpDJ!H4*simPpDJ!I4)</f>
        <v>1.0276658354158883</v>
      </c>
      <c r="L4" s="42">
        <f>(H4*I4)/('simPp.QM'!H4*'simPp.QM'!I4)</f>
        <v>1.2751526496113434</v>
      </c>
    </row>
    <row r="5" spans="8:10" ht="12.75">
      <c r="H5" s="42"/>
      <c r="I5" s="42">
        <f>SQRT(1/E4)*I4</f>
        <v>0.00800089680189838</v>
      </c>
      <c r="J5" s="42"/>
    </row>
    <row r="6" spans="1:12" ht="12.75">
      <c r="A6" s="41">
        <v>-1.7</v>
      </c>
      <c r="B6" s="41">
        <v>-1.2</v>
      </c>
      <c r="C6" s="41">
        <v>150666</v>
      </c>
      <c r="D6" s="41">
        <v>9893</v>
      </c>
      <c r="E6" s="41">
        <v>5199</v>
      </c>
      <c r="G6" s="41">
        <f>G2</f>
        <v>0.128</v>
      </c>
      <c r="H6" s="42">
        <f>D6/C6/G6</f>
        <v>0.5129827731538635</v>
      </c>
      <c r="I6" s="42">
        <f>E6/D6</f>
        <v>0.5255230971393915</v>
      </c>
      <c r="J6" s="42"/>
      <c r="K6" s="42">
        <f>(H6*I6)/(simPpDJ!H6*simPpDJ!I6)</f>
        <v>1.0707188562228973</v>
      </c>
      <c r="L6" s="42">
        <f>(H6*I6)/('simPp.QM'!H6*'simPp.QM'!I6)</f>
        <v>1.4259771574630806</v>
      </c>
    </row>
    <row r="7" spans="8:10" ht="12.75">
      <c r="H7" s="42"/>
      <c r="I7" s="42">
        <f>SQRT(1/E6)*I6</f>
        <v>0.0072883949685071696</v>
      </c>
      <c r="J7" s="42"/>
    </row>
    <row r="8" spans="1:12" ht="12.75">
      <c r="A8" s="41">
        <v>1.2</v>
      </c>
      <c r="B8" s="41">
        <v>2.4</v>
      </c>
      <c r="C8" s="41">
        <v>303783</v>
      </c>
      <c r="D8" s="41">
        <v>30887</v>
      </c>
      <c r="E8" s="41">
        <v>24138</v>
      </c>
      <c r="G8" s="41">
        <v>0.127</v>
      </c>
      <c r="H8" s="42">
        <f>D8/C8/G8</f>
        <v>0.8005870124709046</v>
      </c>
      <c r="I8" s="42">
        <f>E8/D8</f>
        <v>0.7814938323566549</v>
      </c>
      <c r="J8" s="42"/>
      <c r="K8" s="42">
        <f>(H8*I8)/(simPpDJ!H8*simPpDJ!I8)</f>
        <v>1.0152105304316372</v>
      </c>
      <c r="L8" s="42">
        <f>(H8*I8)/('simPp.QM'!H8*'simPp.QM'!I8)</f>
        <v>1.109787000445326</v>
      </c>
    </row>
    <row r="9" spans="8:10" ht="12.75">
      <c r="H9" s="42"/>
      <c r="I9" s="42">
        <f>SQRT(1/E8)*I8</f>
        <v>0.005030080244591208</v>
      </c>
      <c r="J9" s="42"/>
    </row>
    <row r="10" spans="1:12" ht="12.75">
      <c r="A10" s="41">
        <v>1.2</v>
      </c>
      <c r="B10" s="41">
        <v>1.7</v>
      </c>
      <c r="C10" s="41">
        <v>150713</v>
      </c>
      <c r="D10" s="41">
        <v>13835</v>
      </c>
      <c r="E10" s="41">
        <v>10690</v>
      </c>
      <c r="G10" s="41">
        <f>G8</f>
        <v>0.127</v>
      </c>
      <c r="H10" s="42">
        <f>D10/C10/G10</f>
        <v>0.7228109577409763</v>
      </c>
      <c r="I10" s="42">
        <f>E10/D10</f>
        <v>0.7726779906035417</v>
      </c>
      <c r="J10" s="42"/>
      <c r="K10" s="42">
        <f>(H10*I10)/(simPpDJ!H10*simPpDJ!I10)</f>
        <v>1.0337466414132597</v>
      </c>
      <c r="L10" s="42">
        <f>(H10*I10)/('simPp.QM'!H10*'simPp.QM'!I10)</f>
        <v>1.0049821411689386</v>
      </c>
    </row>
    <row r="11" spans="8:10" ht="12.75">
      <c r="H11" s="42"/>
      <c r="I11" s="42">
        <f>SQRT(1/E10)*I10</f>
        <v>0.007473253068630477</v>
      </c>
      <c r="J11" s="42"/>
    </row>
    <row r="12" spans="1:12" ht="12.75">
      <c r="A12" s="41">
        <v>1.7</v>
      </c>
      <c r="B12" s="41">
        <v>2.4</v>
      </c>
      <c r="C12" s="41">
        <v>153070</v>
      </c>
      <c r="D12" s="41">
        <v>17052</v>
      </c>
      <c r="E12" s="41">
        <v>13448</v>
      </c>
      <c r="G12" s="41">
        <f>G8</f>
        <v>0.127</v>
      </c>
      <c r="H12" s="42">
        <f>D12/C12/G12</f>
        <v>0.8771654572119493</v>
      </c>
      <c r="I12" s="42">
        <f>E12/D12</f>
        <v>0.7886464930799906</v>
      </c>
      <c r="J12" s="42"/>
      <c r="K12" s="42">
        <f>(H12*I12)/(simPpDJ!H12*simPpDJ!I12)</f>
        <v>1.0006591081519156</v>
      </c>
      <c r="L12" s="42">
        <f>(H12*I12)/('simPp.QM'!H12*'simPp.QM'!I12)</f>
        <v>1.2029567005920456</v>
      </c>
    </row>
    <row r="13" spans="8:10" ht="12.75">
      <c r="H13" s="42"/>
      <c r="I13" s="42">
        <f>SQRT(1/E12)*I12</f>
        <v>0.0068006985758030615</v>
      </c>
      <c r="J13" s="42"/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155"/>
    </row>
    <row r="15" ht="12.75">
      <c r="A15" s="180">
        <v>38266</v>
      </c>
    </row>
    <row r="16" ht="12.75">
      <c r="A16" s="101" t="s">
        <v>249</v>
      </c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12" ht="12.75">
      <c r="A18" s="41" t="s">
        <v>60</v>
      </c>
      <c r="B18" s="43" t="s">
        <v>38</v>
      </c>
      <c r="C18" s="41">
        <v>77371</v>
      </c>
      <c r="D18" s="41">
        <v>5534</v>
      </c>
      <c r="E18" s="41">
        <v>3216</v>
      </c>
      <c r="G18" s="41">
        <v>0.128</v>
      </c>
      <c r="H18" s="42">
        <f>D18/C18/G18</f>
        <v>0.5587930232257564</v>
      </c>
      <c r="I18" s="42">
        <f>E18/D18</f>
        <v>0.5811348030357788</v>
      </c>
      <c r="K18" s="42">
        <f>(H18*I18)/(simPpDJ!H18*simPpDJ!I18)</f>
        <v>1.0508577566912376</v>
      </c>
      <c r="L18" s="42">
        <f>(H18*I18)/('simPp.QM'!H18*'simPp.QM'!I18)</f>
        <v>1.4166626719951494</v>
      </c>
    </row>
    <row r="19" spans="2:9" ht="12.75">
      <c r="B19" s="43"/>
      <c r="I19" s="42">
        <f>SQRT(1/E18)*I18</f>
        <v>0.010247522138603415</v>
      </c>
    </row>
    <row r="20" spans="2:12" ht="12.75">
      <c r="B20" s="43" t="s">
        <v>39</v>
      </c>
      <c r="C20" s="41">
        <v>124702</v>
      </c>
      <c r="D20" s="41">
        <v>8152</v>
      </c>
      <c r="E20" s="41">
        <v>4604</v>
      </c>
      <c r="G20" s="41">
        <v>0.128</v>
      </c>
      <c r="H20" s="42">
        <f>D20/C20/G20</f>
        <v>0.5107175506407275</v>
      </c>
      <c r="I20" s="42">
        <f>E20/D20</f>
        <v>0.5647693817468106</v>
      </c>
      <c r="K20" s="42">
        <f>(H20*I20)/(simPpDJ!H20*simPpDJ!I20)</f>
        <v>1.0378604977014532</v>
      </c>
      <c r="L20" s="42">
        <f>(H20*I20)/('simPp.QM'!H20*'simPp.QM'!I20)</f>
        <v>1.3615496628261634</v>
      </c>
    </row>
    <row r="21" spans="2:11" ht="12.75">
      <c r="B21" s="43"/>
      <c r="I21" s="42">
        <f>SQRT(1/E20)*I20</f>
        <v>0.008323452136254844</v>
      </c>
      <c r="K21" s="42"/>
    </row>
    <row r="22" spans="2:12" ht="12.75">
      <c r="B22" s="43" t="s">
        <v>40</v>
      </c>
      <c r="C22" s="41">
        <v>52891</v>
      </c>
      <c r="D22" s="41">
        <v>2962</v>
      </c>
      <c r="E22" s="41">
        <v>1678</v>
      </c>
      <c r="G22" s="41">
        <v>0.128</v>
      </c>
      <c r="H22" s="42">
        <f>D22/C22/G22</f>
        <v>0.43751536178177763</v>
      </c>
      <c r="I22" s="42">
        <f>E22/D22</f>
        <v>0.5665091154625254</v>
      </c>
      <c r="K22" s="42">
        <f>(H22*I22)/(simPpDJ!H22*simPpDJ!I22)</f>
        <v>1.1373432977061195</v>
      </c>
      <c r="L22" s="42">
        <f>(H22*I22)/('simPp.QM'!H22*'simPp.QM'!I22)</f>
        <v>1.285692423493874</v>
      </c>
    </row>
    <row r="23" spans="2:9" ht="12.75">
      <c r="B23" s="43"/>
      <c r="I23" s="42">
        <f>SQRT(1/E22)*I22</f>
        <v>0.013829641558584769</v>
      </c>
    </row>
    <row r="24" spans="2:12" ht="12.75">
      <c r="B24" s="43" t="s">
        <v>41</v>
      </c>
      <c r="C24" s="41">
        <v>10294</v>
      </c>
      <c r="D24" s="41">
        <v>620</v>
      </c>
      <c r="E24" s="41">
        <v>347</v>
      </c>
      <c r="G24" s="41">
        <v>0.128</v>
      </c>
      <c r="H24" s="42">
        <f>D24/C24/G24</f>
        <v>0.4705410918981931</v>
      </c>
      <c r="I24" s="42">
        <f>E24/D24</f>
        <v>0.5596774193548387</v>
      </c>
      <c r="K24" s="42">
        <f>(H24*I24)/(simPpDJ!H24*simPpDJ!I24)</f>
        <v>0.93931304269851</v>
      </c>
      <c r="L24" s="42">
        <f>(H24*I24)/('simPp.QM'!H24*'simPp.QM'!I24)</f>
        <v>1.1447877707888092</v>
      </c>
    </row>
    <row r="25" ht="12.75">
      <c r="I25" s="42">
        <f>SQRT(1/E24)*I24</f>
        <v>0.030045058080963156</v>
      </c>
    </row>
    <row r="26" spans="2:12" ht="12.75">
      <c r="B26" s="43" t="s">
        <v>42</v>
      </c>
      <c r="C26" s="41">
        <v>1313</v>
      </c>
      <c r="D26" s="41">
        <v>90</v>
      </c>
      <c r="E26" s="41">
        <v>52</v>
      </c>
      <c r="G26" s="41">
        <v>0.128</v>
      </c>
      <c r="H26" s="42">
        <f>D26/C26/G26</f>
        <v>0.5355102817974104</v>
      </c>
      <c r="I26" s="42">
        <f>E26/D26</f>
        <v>0.5777777777777777</v>
      </c>
      <c r="K26" s="42">
        <f>(H26*I26)/(simPpDJ!H26*simPpDJ!I26)</f>
        <v>0.8453922315308453</v>
      </c>
      <c r="L26" s="42">
        <f>(H26*I26)/('simPp.QM'!H26*'simPp.QM'!I26)</f>
        <v>1.0990099009900987</v>
      </c>
    </row>
    <row r="27" ht="12.75">
      <c r="I27" s="42">
        <f>SQRT(1/E26)*I26</f>
        <v>0.08012336167697753</v>
      </c>
    </row>
    <row r="28" spans="1:12" ht="12.75">
      <c r="A28" s="41" t="s">
        <v>61</v>
      </c>
      <c r="B28" s="43" t="s">
        <v>38</v>
      </c>
      <c r="C28" s="41">
        <v>88366</v>
      </c>
      <c r="D28" s="41">
        <v>9278</v>
      </c>
      <c r="E28" s="41">
        <v>7760</v>
      </c>
      <c r="G28" s="41">
        <v>0.127</v>
      </c>
      <c r="H28" s="42">
        <f>D28/C28/G28</f>
        <v>0.826733337598581</v>
      </c>
      <c r="I28" s="42">
        <f>E28/D28</f>
        <v>0.8363871524035352</v>
      </c>
      <c r="K28" s="42">
        <f>(H28*I28)/(simPpDJ!H28*simPpDJ!I28)</f>
        <v>1.0217411690020841</v>
      </c>
      <c r="L28" s="42">
        <f>(H28*I28)/('simPp.QM'!H28*'simPp.QM'!I28)</f>
        <v>1.1903265676694654</v>
      </c>
    </row>
    <row r="29" spans="2:9" ht="12.75">
      <c r="B29" s="43"/>
      <c r="I29" s="42">
        <f>SQRT(1/E28)*I28</f>
        <v>0.009494596053263738</v>
      </c>
    </row>
    <row r="30" spans="2:12" ht="12.75">
      <c r="B30" s="43" t="s">
        <v>39</v>
      </c>
      <c r="C30" s="41">
        <v>141532</v>
      </c>
      <c r="D30" s="41">
        <v>13640</v>
      </c>
      <c r="E30" s="41">
        <v>11319</v>
      </c>
      <c r="G30" s="41">
        <v>0.127</v>
      </c>
      <c r="H30" s="42">
        <f>D30/C30/G30</f>
        <v>0.7588501173102168</v>
      </c>
      <c r="I30" s="42">
        <f>E30/D30</f>
        <v>0.8298387096774194</v>
      </c>
      <c r="K30" s="42">
        <f>(H30*I30)/(simPpDJ!H30*simPpDJ!I30)</f>
        <v>1.011165430727531</v>
      </c>
      <c r="L30" s="42">
        <f>(H30*I30)/('simPp.QM'!H30*'simPp.QM'!I30)</f>
        <v>1.1151859799808104</v>
      </c>
    </row>
    <row r="31" spans="2:9" ht="12.75">
      <c r="B31" s="43"/>
      <c r="I31" s="42">
        <f>SQRT(1/E30)*I30</f>
        <v>0.007799911222506939</v>
      </c>
    </row>
    <row r="32" spans="2:12" ht="12.75">
      <c r="B32" s="43" t="s">
        <v>40</v>
      </c>
      <c r="C32" s="41">
        <v>61020</v>
      </c>
      <c r="D32" s="41">
        <v>4872</v>
      </c>
      <c r="E32" s="41">
        <v>4089</v>
      </c>
      <c r="G32" s="41">
        <v>0.127</v>
      </c>
      <c r="H32" s="42">
        <f>D32/C32/G32</f>
        <v>0.6286824766373229</v>
      </c>
      <c r="I32" s="42">
        <f>E32/D32</f>
        <v>0.8392857142857143</v>
      </c>
      <c r="K32" s="42">
        <f>(H32*I32)/(simPpDJ!H32*simPpDJ!I32)</f>
        <v>1.0104735878621243</v>
      </c>
      <c r="L32" s="42">
        <f>(H32*I32)/('simPp.QM'!H32*'simPp.QM'!I32)</f>
        <v>0.9875216542997349</v>
      </c>
    </row>
    <row r="33" spans="2:9" ht="12.75">
      <c r="B33" s="43"/>
      <c r="I33" s="42">
        <f>SQRT(1/E32)*I32</f>
        <v>0.013125059342157774</v>
      </c>
    </row>
    <row r="34" spans="2:12" ht="12.75">
      <c r="B34" s="43" t="s">
        <v>41</v>
      </c>
      <c r="C34" s="41">
        <v>11274</v>
      </c>
      <c r="D34" s="41">
        <v>984</v>
      </c>
      <c r="E34" s="41">
        <v>843</v>
      </c>
      <c r="G34" s="41">
        <v>0.127</v>
      </c>
      <c r="H34" s="42">
        <f>D34/C34/G34</f>
        <v>0.6872477821592152</v>
      </c>
      <c r="I34" s="42">
        <f>E34/D34</f>
        <v>0.8567073170731707</v>
      </c>
      <c r="K34" s="42">
        <f>(H34*I34)/(simPpDJ!H34*simPpDJ!I34)</f>
        <v>1.0224987482325676</v>
      </c>
      <c r="L34" s="42">
        <f>(H34*I34)/('simPp.QM'!H34*'simPp.QM'!I34)</f>
        <v>1.007593518666495</v>
      </c>
    </row>
    <row r="35" spans="2:9" ht="12.75">
      <c r="B35" s="43"/>
      <c r="H35" s="42"/>
      <c r="I35" s="42">
        <f>SQRT(1/E34)*I34</f>
        <v>0.029506567359670683</v>
      </c>
    </row>
    <row r="36" spans="2:12" ht="12.75">
      <c r="B36" s="43" t="s">
        <v>42</v>
      </c>
      <c r="C36" s="41">
        <v>1332</v>
      </c>
      <c r="D36" s="41">
        <v>133</v>
      </c>
      <c r="E36" s="41">
        <v>110</v>
      </c>
      <c r="G36" s="41">
        <v>0.127</v>
      </c>
      <c r="H36" s="42">
        <f>D36/C36/G36</f>
        <v>0.786219290156298</v>
      </c>
      <c r="I36" s="42">
        <f>E36/D36</f>
        <v>0.8270676691729323</v>
      </c>
      <c r="K36" s="42">
        <f>(H36*I36)/(simPpDJ!H36*simPpDJ!I36)</f>
        <v>1.1460851094997435</v>
      </c>
      <c r="L36" s="42">
        <f>(H36*I36)/('simPp.QM'!H36*'simPp.QM'!I36)</f>
        <v>1.3425568425568424</v>
      </c>
    </row>
    <row r="37" spans="2:9" ht="12.75">
      <c r="B37" s="43"/>
      <c r="H37" s="42"/>
      <c r="I37" s="42">
        <f>SQRT(1/E36)*I36</f>
        <v>0.07885780813309409</v>
      </c>
    </row>
    <row r="38" spans="1:9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</row>
    <row r="41" spans="1:9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P59"/>
  <sheetViews>
    <sheetView workbookViewId="0" topLeftCell="A1">
      <selection activeCell="A18" sqref="A18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248</v>
      </c>
      <c r="P1" s="40" t="s">
        <v>250</v>
      </c>
    </row>
    <row r="2" spans="1:16" ht="12.75">
      <c r="A2" s="41">
        <v>-2.2</v>
      </c>
      <c r="B2" s="41">
        <v>-1.2</v>
      </c>
      <c r="C2" s="41">
        <v>267866</v>
      </c>
      <c r="D2" s="41">
        <v>24330</v>
      </c>
      <c r="E2" s="41">
        <v>17375</v>
      </c>
      <c r="F2" s="41">
        <v>9193</v>
      </c>
      <c r="G2" s="41">
        <v>0.128</v>
      </c>
      <c r="H2" s="42">
        <f>D2/C2/G2</f>
        <v>0.709601535842548</v>
      </c>
      <c r="I2" s="42">
        <f>E2/D2</f>
        <v>0.7141389231401561</v>
      </c>
      <c r="J2" s="42">
        <f>F2/D2</f>
        <v>0.37784628031237155</v>
      </c>
      <c r="K2" s="42">
        <f>(I2*$L$2+J2*$L$3)/($L$2+$L$3)</f>
        <v>0.5693496543735754</v>
      </c>
      <c r="L2" s="41">
        <v>1.566</v>
      </c>
      <c r="M2" s="41" t="s">
        <v>51</v>
      </c>
      <c r="O2" s="42">
        <f>(H2*K2)/(simDauDJ!H2*simDauDJ!K2)</f>
        <v>1.0351591442089518</v>
      </c>
      <c r="P2" s="42">
        <f>(H2*K2)/('simDau.QM'!H2*'simDau.QM'!K2)</f>
        <v>1.224871914927558</v>
      </c>
    </row>
    <row r="3" spans="8:13" ht="12.75">
      <c r="H3" s="42"/>
      <c r="I3" s="42">
        <f>SQRT(1/E2)*I2</f>
        <v>0.005417766677543801</v>
      </c>
      <c r="J3" s="42">
        <f>SQRT(1/F2)*J2</f>
        <v>0.003940819297168749</v>
      </c>
      <c r="K3" s="42">
        <f>($L$2*I3+$L$3*J3)/($L$2+$L$3)</f>
        <v>0.004781873696320506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117200</v>
      </c>
      <c r="D4" s="41">
        <v>10872</v>
      </c>
      <c r="E4" s="41">
        <v>7911</v>
      </c>
      <c r="F4" s="41">
        <v>4330</v>
      </c>
      <c r="G4" s="41">
        <f>G2</f>
        <v>0.128</v>
      </c>
      <c r="H4" s="42">
        <f>D4/C4/G4</f>
        <v>0.7247226962457338</v>
      </c>
      <c r="I4" s="42">
        <f>E4/D4</f>
        <v>0.7276490066225165</v>
      </c>
      <c r="J4" s="42">
        <f>F4/D4</f>
        <v>0.398270787343635</v>
      </c>
      <c r="K4" s="42">
        <f>(I4*$L$2+J4*$L$3)/($L$2+$L$3)</f>
        <v>0.585836711485718</v>
      </c>
      <c r="O4" s="42">
        <f>(H4*K4)/(simDauDJ!H4*simDauDJ!K4)</f>
        <v>1.014016798090476</v>
      </c>
      <c r="P4" s="42">
        <f>(H4*K4)/('simDau.QM'!H4*'simDau.QM'!K4)</f>
        <v>1.1890103050157708</v>
      </c>
    </row>
    <row r="5" spans="8:11" ht="12.75">
      <c r="H5" s="42"/>
      <c r="I5" s="42">
        <f>SQRT(1/E4)*I4</f>
        <v>0.00818099728497439</v>
      </c>
      <c r="J5" s="42">
        <f>SQRT(1/F4)*J4</f>
        <v>0.006052495907417991</v>
      </c>
      <c r="K5" s="42">
        <f>($L$2*I5+$L$3*J5)/($L$2+$L$3)</f>
        <v>0.007264580691873745</v>
      </c>
    </row>
    <row r="6" spans="1:16" ht="12.75">
      <c r="A6" s="41">
        <v>-1.7</v>
      </c>
      <c r="B6" s="41">
        <v>-1.2</v>
      </c>
      <c r="C6" s="41">
        <v>150666</v>
      </c>
      <c r="D6" s="41">
        <v>13458</v>
      </c>
      <c r="E6" s="41">
        <v>9464</v>
      </c>
      <c r="F6" s="41">
        <v>4863</v>
      </c>
      <c r="G6" s="41">
        <f>G2</f>
        <v>0.128</v>
      </c>
      <c r="H6" s="42">
        <f>D6/C6/G6</f>
        <v>0.6978390944207717</v>
      </c>
      <c r="I6" s="42">
        <f>E6/D6</f>
        <v>0.7032248476742458</v>
      </c>
      <c r="J6" s="42">
        <f>F6/D6</f>
        <v>0.3613464110566206</v>
      </c>
      <c r="K6" s="42">
        <f>(I6*$L$2+J6*$L$3)/($L$2+$L$3)</f>
        <v>0.5560306407814211</v>
      </c>
      <c r="O6" s="42">
        <f>(H6*K6)/(simDauDJ!H6*simDauDJ!K6)</f>
        <v>1.0544595579814766</v>
      </c>
      <c r="P6" s="42">
        <f>(H6*K6)/('simDau.QM'!H6*'simDau.QM'!K6)</f>
        <v>1.257960521637434</v>
      </c>
    </row>
    <row r="7" spans="8:11" ht="12.75">
      <c r="H7" s="42"/>
      <c r="I7" s="42">
        <f>SQRT(1/E6)*I6</f>
        <v>0.007228644082042091</v>
      </c>
      <c r="J7" s="42">
        <f>SQRT(1/F6)*J6</f>
        <v>0.00518169218951141</v>
      </c>
      <c r="K7" s="42">
        <f>($L$2*I7+$L$3*J7)/($L$2+$L$3)</f>
        <v>0.006347338249039791</v>
      </c>
    </row>
    <row r="8" spans="1:16" ht="12.75">
      <c r="A8" s="41">
        <v>1.2</v>
      </c>
      <c r="B8" s="41">
        <v>2.4</v>
      </c>
      <c r="C8" s="41">
        <v>303783</v>
      </c>
      <c r="D8" s="41">
        <v>31486</v>
      </c>
      <c r="E8" s="41">
        <v>24605</v>
      </c>
      <c r="F8" s="41">
        <v>16552</v>
      </c>
      <c r="G8" s="41">
        <v>0.127</v>
      </c>
      <c r="H8" s="42">
        <f>D8/C8/G8</f>
        <v>0.8161130143639365</v>
      </c>
      <c r="I8" s="42">
        <f>E8/D8</f>
        <v>0.7814584259670965</v>
      </c>
      <c r="J8" s="42">
        <f>F8/D8</f>
        <v>0.5256939592199708</v>
      </c>
      <c r="K8" s="42">
        <f>(I8*$L$8+J8*$L$9)/($L$8+$L$9)</f>
        <v>0.6597665703119843</v>
      </c>
      <c r="L8" s="41">
        <v>1.711</v>
      </c>
      <c r="M8" s="41" t="s">
        <v>51</v>
      </c>
      <c r="O8" s="42">
        <f>(H8*K8)/(simDauDJ!H8*simDauDJ!K8)</f>
        <v>1.0127032454024463</v>
      </c>
      <c r="P8" s="42">
        <f>(H8*K8)/('simDau.QM'!H8*'simDau.QM'!K8)</f>
        <v>1.069429454023392</v>
      </c>
    </row>
    <row r="9" spans="8:13" ht="12.75">
      <c r="H9" s="42"/>
      <c r="I9" s="42">
        <f>SQRT(1/E8)*I8</f>
        <v>0.004981890682257522</v>
      </c>
      <c r="J9" s="42">
        <f>SQRT(1/F8)*J8</f>
        <v>0.004086088302375758</v>
      </c>
      <c r="K9" s="42">
        <f>($L$2*I9+$L$3*J9)/($L$2+$L$3)</f>
        <v>0.004596207039428428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150713</v>
      </c>
      <c r="D10" s="41">
        <v>13810</v>
      </c>
      <c r="E10" s="41">
        <v>10782</v>
      </c>
      <c r="F10" s="41">
        <v>6710</v>
      </c>
      <c r="G10" s="41">
        <f>G8</f>
        <v>0.127</v>
      </c>
      <c r="H10" s="42">
        <f>D10/C10/G10</f>
        <v>0.7215048302423477</v>
      </c>
      <c r="I10" s="42">
        <f>E10/D10</f>
        <v>0.7807385952208544</v>
      </c>
      <c r="J10" s="42">
        <f>F10/D10</f>
        <v>0.48587979724837077</v>
      </c>
      <c r="K10" s="42">
        <f>(I10*$L$8+J10*$L$9)/($L$8+$L$9)</f>
        <v>0.6404457909159318</v>
      </c>
      <c r="O10" s="42">
        <f>(H10*K10)/(simDauDJ!H10*simDauDJ!K10)</f>
        <v>1.0290689566062168</v>
      </c>
      <c r="P10" s="42">
        <f>(H10*K10)/('simDau.QM'!H10*'simDau.QM'!K10)</f>
        <v>0.9573606591109529</v>
      </c>
    </row>
    <row r="11" spans="8:11" ht="12.75">
      <c r="H11" s="42"/>
      <c r="I11" s="42">
        <f>SQRT(1/E10)*I10</f>
        <v>0.007518929022393967</v>
      </c>
      <c r="J11" s="42">
        <f>SQRT(1/F10)*J10</f>
        <v>0.005931541612243995</v>
      </c>
      <c r="K11" s="42">
        <f>($L$2*I11+$L$3*J11)/($L$2+$L$3)</f>
        <v>0.006835486588351216</v>
      </c>
    </row>
    <row r="12" spans="1:16" ht="12.75">
      <c r="A12" s="41">
        <v>1.7</v>
      </c>
      <c r="B12" s="41">
        <v>2.4</v>
      </c>
      <c r="C12" s="41">
        <v>153070</v>
      </c>
      <c r="D12" s="41">
        <v>17676</v>
      </c>
      <c r="E12" s="41">
        <v>13823</v>
      </c>
      <c r="F12" s="41">
        <v>9842</v>
      </c>
      <c r="G12" s="41">
        <f>G8</f>
        <v>0.127</v>
      </c>
      <c r="H12" s="42">
        <f>D12/C12/G12</f>
        <v>0.9092644042738925</v>
      </c>
      <c r="I12" s="42">
        <f>E12/D12</f>
        <v>0.782020819189862</v>
      </c>
      <c r="J12" s="42">
        <f>F12/D12</f>
        <v>0.5568001810364336</v>
      </c>
      <c r="K12" s="42">
        <f>(I12*$L$8+J12*$L$9)/($L$8+$L$9)</f>
        <v>0.674861612372376</v>
      </c>
      <c r="O12" s="42">
        <f>(H12*K12)/(simDauDJ!H12*simDauDJ!K12)</f>
        <v>1.0005525847923098</v>
      </c>
      <c r="P12" s="42">
        <f>(H12*K12)/('simDau.QM'!H12*'simDau.QM'!K12)</f>
        <v>1.151715713795657</v>
      </c>
    </row>
    <row r="13" spans="8:11" ht="12.75">
      <c r="H13" s="42"/>
      <c r="I13" s="42">
        <f>SQRT(1/E12)*I12</f>
        <v>0.0066514627172621025</v>
      </c>
      <c r="J13" s="42">
        <f>SQRT(1/F12)*J12</f>
        <v>0.0056125172325122916</v>
      </c>
      <c r="K13" s="42">
        <f>($L$2*I13+$L$3*J13)/($L$2+$L$3)</f>
        <v>0.006204149461282547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38266</v>
      </c>
    </row>
    <row r="17" ht="12.75">
      <c r="A17" s="101" t="s">
        <v>249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77371</v>
      </c>
      <c r="D19" s="41">
        <v>7337</v>
      </c>
      <c r="E19" s="41">
        <v>5599</v>
      </c>
      <c r="F19" s="41">
        <v>2859</v>
      </c>
      <c r="G19" s="41">
        <v>0.128</v>
      </c>
      <c r="H19" s="42">
        <f>D19/C19/G19</f>
        <v>0.7408500924118856</v>
      </c>
      <c r="I19" s="42">
        <f>E19/D19</f>
        <v>0.7631184407796102</v>
      </c>
      <c r="J19" s="42">
        <f>F19/D19</f>
        <v>0.389668801962655</v>
      </c>
      <c r="K19" s="42">
        <f>(I19*$L$2+J19*$L$3)/($L$2+$L$3)</f>
        <v>0.6023313962853284</v>
      </c>
      <c r="O19" s="42">
        <f>(H19*K19)/(simDauDJ!H19*simDauDJ!K19)</f>
        <v>1.0133831621527076</v>
      </c>
      <c r="P19" s="42">
        <f>(H19*K19)/('simDau.QM'!H19*'simDau.QM'!K19)</f>
        <v>1.2455834964654922</v>
      </c>
    </row>
    <row r="20" spans="2:11" ht="12.75">
      <c r="B20" s="43"/>
      <c r="I20" s="42">
        <f>SQRT(1/E19)*I19</f>
        <v>0.010198509732332254</v>
      </c>
      <c r="J20" s="42">
        <f>SQRT(1/F19+1/C19)*J19</f>
        <v>0.00742109258224272</v>
      </c>
      <c r="K20" s="42">
        <f>($L$2*I20+$L$3*J20)/($L$2+$L$3)</f>
        <v>0.009002705402984616</v>
      </c>
    </row>
    <row r="21" spans="2:16" ht="12.75">
      <c r="B21" s="43" t="s">
        <v>39</v>
      </c>
      <c r="C21" s="41">
        <v>124702</v>
      </c>
      <c r="D21" s="41">
        <v>10717</v>
      </c>
      <c r="E21" s="41">
        <v>8074</v>
      </c>
      <c r="F21" s="41">
        <v>4321</v>
      </c>
      <c r="G21" s="41">
        <v>0.128</v>
      </c>
      <c r="H21" s="42">
        <f>D21/C21/G21</f>
        <v>0.6714131489470898</v>
      </c>
      <c r="I21" s="42">
        <f>E21/D21</f>
        <v>0.753382476439302</v>
      </c>
      <c r="J21" s="42">
        <f>F21/D21</f>
        <v>0.4031911915648036</v>
      </c>
      <c r="K21" s="42">
        <f>(I21*$L$2+J21*$L$3)/($L$2+$L$3)</f>
        <v>0.6026092105151544</v>
      </c>
      <c r="O21" s="42">
        <f>(H21*K21)/(simDauDJ!H21*simDauDJ!K21)</f>
        <v>1.0394155898618824</v>
      </c>
      <c r="P21" s="42">
        <f>(H21*K21)/('simDau.QM'!H21*'simDau.QM'!K21)</f>
        <v>1.1883174189791765</v>
      </c>
    </row>
    <row r="22" spans="2:11" ht="12.75">
      <c r="B22" s="43"/>
      <c r="I22" s="42">
        <f>SQRT(1/E21)*I21</f>
        <v>0.00838438363879267</v>
      </c>
      <c r="J22" s="42">
        <f>SQRT(1/F21+1/C21)*J21</f>
        <v>0.006239011137267197</v>
      </c>
      <c r="K22" s="42">
        <f>($L$2*I22+$L$3*J22)/($L$2+$L$3)</f>
        <v>0.007460703259954066</v>
      </c>
    </row>
    <row r="23" spans="2:16" ht="12.75">
      <c r="B23" s="43" t="s">
        <v>40</v>
      </c>
      <c r="C23" s="41">
        <v>52891</v>
      </c>
      <c r="D23" s="41">
        <v>3830</v>
      </c>
      <c r="E23" s="41">
        <v>2947</v>
      </c>
      <c r="F23" s="41">
        <v>1614</v>
      </c>
      <c r="G23" s="41">
        <v>0.128</v>
      </c>
      <c r="H23" s="42">
        <f>D23/C23/G23</f>
        <v>0.5657271558488212</v>
      </c>
      <c r="I23" s="42">
        <f>E23/D23</f>
        <v>0.7694516971279374</v>
      </c>
      <c r="J23" s="42">
        <f>F23/D23</f>
        <v>0.42140992167101826</v>
      </c>
      <c r="K23" s="42">
        <f>(I23*$L$2+J23*$L$3)/($L$2+$L$3)</f>
        <v>0.6196038927130311</v>
      </c>
      <c r="O23" s="42">
        <f>(H23*K23)/(simDauDJ!H23*simDauDJ!K23)</f>
        <v>1.1231013941228678</v>
      </c>
      <c r="P23" s="42">
        <f>(H23*K23)/('simDau.QM'!H23*'simDau.QM'!K23)</f>
        <v>1.1503319299371146</v>
      </c>
    </row>
    <row r="24" spans="2:11" ht="12.75">
      <c r="B24" s="43"/>
      <c r="I24" s="42">
        <f>SQRT(1/E23)*I23</f>
        <v>0.01417396297455871</v>
      </c>
      <c r="J24" s="42">
        <f>SQRT(1/F23+1/C23)*J23</f>
        <v>0.010648299898618752</v>
      </c>
      <c r="K24" s="42">
        <f>($L$2*I24+$L$3*J24)/($L$2+$L$3)</f>
        <v>0.012656004762954016</v>
      </c>
    </row>
    <row r="25" spans="2:16" ht="12.75">
      <c r="B25" s="43" t="s">
        <v>41</v>
      </c>
      <c r="C25" s="41">
        <v>10294</v>
      </c>
      <c r="D25" s="41">
        <v>835</v>
      </c>
      <c r="E25" s="41">
        <v>634</v>
      </c>
      <c r="F25" s="41">
        <v>330</v>
      </c>
      <c r="G25" s="41">
        <v>0.128</v>
      </c>
      <c r="H25" s="42">
        <f>D25/C25/G25</f>
        <v>0.6337125995725665</v>
      </c>
      <c r="I25" s="42">
        <f>E25/D25</f>
        <v>0.7592814371257485</v>
      </c>
      <c r="J25" s="42">
        <f>F25/D25</f>
        <v>0.39520958083832336</v>
      </c>
      <c r="K25" s="42">
        <f>(I25*$L$2+J25*$L$3)/($L$2+$L$3)</f>
        <v>0.6025319542732717</v>
      </c>
      <c r="O25" s="42">
        <f>(H25*K25)/(simDauDJ!H25*simDauDJ!K25)</f>
        <v>0.9100394744588688</v>
      </c>
      <c r="P25" s="42">
        <f>(H25*K25)/('simDau.QM'!H25*'simDau.QM'!K25)</f>
        <v>1.0075673567441599</v>
      </c>
    </row>
    <row r="26" spans="9:11" ht="12.75">
      <c r="I26" s="42">
        <f>SQRT(1/E25)*I25</f>
        <v>0.030154918112608793</v>
      </c>
      <c r="J26" s="42">
        <f>SQRT(1/F25+1/C25)*J25</f>
        <v>0.022101535309157316</v>
      </c>
      <c r="K26" s="42">
        <f>($L$2*I26+$L$3*J26)/($L$2+$L$3)</f>
        <v>0.02668757075286823</v>
      </c>
    </row>
    <row r="27" spans="2:16" ht="12.75">
      <c r="B27" s="43" t="s">
        <v>42</v>
      </c>
      <c r="C27" s="41">
        <v>1313</v>
      </c>
      <c r="D27" s="41">
        <v>111</v>
      </c>
      <c r="E27" s="41">
        <v>87</v>
      </c>
      <c r="F27" s="41">
        <v>49</v>
      </c>
      <c r="G27" s="41">
        <v>0.128</v>
      </c>
      <c r="H27" s="42">
        <f>D27/C27/G27</f>
        <v>0.6604626808834729</v>
      </c>
      <c r="I27" s="42">
        <f>E27/D27</f>
        <v>0.7837837837837838</v>
      </c>
      <c r="J27" s="42">
        <f>F27/D27</f>
        <v>0.44144144144144143</v>
      </c>
      <c r="K27" s="42">
        <f>(I27*$L$2+J27*$L$3)/($L$2+$L$3)</f>
        <v>0.6363898443898444</v>
      </c>
      <c r="O27" s="42">
        <f>(H27*K27)/(simDauDJ!H27*simDauDJ!K27)</f>
        <v>0.8717894217560568</v>
      </c>
      <c r="P27" s="42">
        <f>(H27*K27)/('simDau.QM'!H27*'simDau.QM'!K27)</f>
        <v>0.8137162031152458</v>
      </c>
    </row>
    <row r="28" spans="9:11" ht="12.75">
      <c r="I28" s="42">
        <f>SQRT(1/E27)*I27</f>
        <v>0.08403044191971905</v>
      </c>
      <c r="J28" s="42">
        <f>SQRT(1/F27+1/C27)*J27</f>
        <v>0.06422901354131644</v>
      </c>
      <c r="K28" s="42">
        <f>($L$2*I28+$L$3*J28)/($L$2+$L$3)</f>
        <v>0.07550502693789043</v>
      </c>
    </row>
    <row r="29" spans="1:16" ht="12.75">
      <c r="A29" s="41" t="s">
        <v>61</v>
      </c>
      <c r="B29" s="43" t="s">
        <v>38</v>
      </c>
      <c r="C29" s="41">
        <v>88366</v>
      </c>
      <c r="D29" s="41">
        <v>9442</v>
      </c>
      <c r="E29" s="41">
        <v>7888</v>
      </c>
      <c r="F29" s="41">
        <v>5264</v>
      </c>
      <c r="G29" s="41">
        <v>0.127</v>
      </c>
      <c r="H29" s="42">
        <f>D29/C29/G29</f>
        <v>0.8413468607033632</v>
      </c>
      <c r="I29" s="42">
        <f>E29/D29</f>
        <v>0.8354162253759797</v>
      </c>
      <c r="J29" s="42">
        <f>F29/D29</f>
        <v>0.5575090023300149</v>
      </c>
      <c r="K29" s="42">
        <f>(I29*$L$8+J29*$L$9)/($L$8+$L$9)</f>
        <v>0.7031889222539259</v>
      </c>
      <c r="O29" s="42">
        <f>(H29*K29)/(simDauDJ!H29*simDauDJ!K29)</f>
        <v>1.0088845185278545</v>
      </c>
      <c r="P29" s="42">
        <f>(H29*K29)/('simDau.QM'!H29*'simDau.QM'!K29)</f>
        <v>1.0993166115622497</v>
      </c>
    </row>
    <row r="30" spans="2:11" ht="12.75">
      <c r="B30" s="43"/>
      <c r="I30" s="42">
        <f>SQRT(1/E29)*I29</f>
        <v>0.009406313624729726</v>
      </c>
      <c r="J30" s="42">
        <f>SQRT(1/F29+1/C29)*J29</f>
        <v>0.007909678978662574</v>
      </c>
      <c r="K30" s="42">
        <f>($L$2*I30+$L$3*J30)/($L$2+$L$3)</f>
        <v>0.008761944380750269</v>
      </c>
    </row>
    <row r="31" spans="2:16" ht="12.75">
      <c r="B31" s="43" t="s">
        <v>39</v>
      </c>
      <c r="C31" s="41">
        <v>141532</v>
      </c>
      <c r="D31" s="41">
        <v>13949</v>
      </c>
      <c r="E31" s="41">
        <v>11549</v>
      </c>
      <c r="F31" s="41">
        <v>7692</v>
      </c>
      <c r="G31" s="41">
        <v>0.127</v>
      </c>
      <c r="H31" s="42">
        <f>D31/C31/G31</f>
        <v>0.7760410767126257</v>
      </c>
      <c r="I31" s="42">
        <f>E31/D31</f>
        <v>0.8279446555308624</v>
      </c>
      <c r="J31" s="42">
        <f>F31/D31</f>
        <v>0.5514373790235859</v>
      </c>
      <c r="K31" s="42">
        <f>(I31*$L$8+J31*$L$9)/($L$8+$L$9)</f>
        <v>0.6963834421681784</v>
      </c>
      <c r="O31" s="42">
        <f>(H31*K31)/(simDauDJ!H31*simDauDJ!K31)</f>
        <v>1.0097942571050966</v>
      </c>
      <c r="P31" s="42">
        <f>(H31*K31)/('simDau.QM'!H31*'simDau.QM'!K31)</f>
        <v>1.0369729342022518</v>
      </c>
    </row>
    <row r="32" spans="2:11" ht="12.75">
      <c r="B32" s="43"/>
      <c r="I32" s="42">
        <f>SQRT(1/E31)*I31</f>
        <v>0.007704227814127556</v>
      </c>
      <c r="J32" s="42">
        <f>SQRT(1/F31+1/C31)*J31</f>
        <v>0.006456075197892141</v>
      </c>
      <c r="K32" s="42">
        <f>($L$2*I32+$L$3*J32)/($L$2+$L$3)</f>
        <v>0.007166841378628381</v>
      </c>
    </row>
    <row r="33" spans="2:16" ht="12.75">
      <c r="B33" s="43" t="s">
        <v>40</v>
      </c>
      <c r="C33" s="41">
        <v>61020</v>
      </c>
      <c r="D33" s="41">
        <v>4958</v>
      </c>
      <c r="E33" s="41">
        <v>4186</v>
      </c>
      <c r="F33" s="41">
        <v>2901</v>
      </c>
      <c r="G33" s="41">
        <v>0.127</v>
      </c>
      <c r="H33" s="42">
        <f>D33/C33/G33</f>
        <v>0.63977990951721</v>
      </c>
      <c r="I33" s="42">
        <f>E33/D33</f>
        <v>0.8442920532472771</v>
      </c>
      <c r="J33" s="42">
        <f>F33/D33</f>
        <v>0.5851149657119806</v>
      </c>
      <c r="K33" s="42">
        <f>(I33*$L$8+J33*$L$9)/($L$8+$L$9)</f>
        <v>0.7209764843311264</v>
      </c>
      <c r="O33" s="42">
        <f>(H33*K33)/(simDauDJ!H33*simDauDJ!K33)</f>
        <v>1.0276128053875442</v>
      </c>
      <c r="P33" s="42">
        <f>(H33*K33)/('simDau.QM'!H33*'simDau.QM'!K33)</f>
        <v>0.9525298488333868</v>
      </c>
    </row>
    <row r="34" spans="2:11" ht="12.75">
      <c r="B34" s="43"/>
      <c r="I34" s="42">
        <f>SQRT(1/E33)*I33</f>
        <v>0.013049476498283027</v>
      </c>
      <c r="J34" s="42">
        <f>SQRT(1/F33+1/C33)*J33</f>
        <v>0.011118674607537642</v>
      </c>
      <c r="K34" s="42">
        <f>($L$2*I34+$L$3*J34)/($L$2+$L$3)</f>
        <v>0.01221817852059483</v>
      </c>
    </row>
    <row r="35" spans="2:16" ht="12.75">
      <c r="B35" s="43" t="s">
        <v>41</v>
      </c>
      <c r="C35" s="41">
        <v>11274</v>
      </c>
      <c r="D35" s="41">
        <v>993</v>
      </c>
      <c r="E35" s="41">
        <v>852</v>
      </c>
      <c r="F35" s="41">
        <v>596</v>
      </c>
      <c r="G35" s="41">
        <v>0.127</v>
      </c>
      <c r="H35" s="42">
        <f>D35/C35/G35</f>
        <v>0.6935335850448178</v>
      </c>
      <c r="I35" s="42">
        <f>E35/D35</f>
        <v>0.8580060422960725</v>
      </c>
      <c r="J35" s="42">
        <f>F35/D35</f>
        <v>0.6002014098690835</v>
      </c>
      <c r="K35" s="42">
        <f>(I35*$L$8+J35*$L$9)/($L$8+$L$9)</f>
        <v>0.7353434828110498</v>
      </c>
      <c r="O35" s="42">
        <f>(H35*K35)/(simDauDJ!H35*simDauDJ!K35)</f>
        <v>1.0039575721263445</v>
      </c>
      <c r="P35" s="42">
        <f>(H35*K35)/('simDau.QM'!H35*'simDau.QM'!K35)</f>
        <v>0.9314089376054542</v>
      </c>
    </row>
    <row r="36" spans="2:11" ht="12.75">
      <c r="B36" s="43"/>
      <c r="H36" s="42"/>
      <c r="I36" s="42">
        <f>SQRT(1/E35)*I35</f>
        <v>0.029394802657253624</v>
      </c>
      <c r="J36" s="42">
        <f>SQRT(1/F35+1/C35)*J35</f>
        <v>0.025226687399847476</v>
      </c>
      <c r="K36" s="42">
        <f>($L$2*I36+$L$3*J36)/($L$2+$L$3)</f>
        <v>0.02760023957915585</v>
      </c>
    </row>
    <row r="37" spans="2:16" ht="12.75">
      <c r="B37" s="43" t="s">
        <v>42</v>
      </c>
      <c r="C37" s="41">
        <v>1332</v>
      </c>
      <c r="D37" s="41">
        <v>142</v>
      </c>
      <c r="E37" s="41">
        <v>115</v>
      </c>
      <c r="F37" s="41">
        <v>88</v>
      </c>
      <c r="G37" s="41">
        <v>0.127</v>
      </c>
      <c r="H37" s="42">
        <f>D37/C37/G37</f>
        <v>0.839422099264619</v>
      </c>
      <c r="I37" s="42">
        <f>E37/D37</f>
        <v>0.8098591549295775</v>
      </c>
      <c r="J37" s="42">
        <f>F37/D37</f>
        <v>0.6197183098591549</v>
      </c>
      <c r="K37" s="42">
        <f>(I37*$L$8+J37*$L$9)/($L$8+$L$9)</f>
        <v>0.7193907932891467</v>
      </c>
      <c r="O37" s="42">
        <f>(H37*K37)/(simDauDJ!H37*simDauDJ!K37)</f>
        <v>1.1671795841173547</v>
      </c>
      <c r="P37" s="42">
        <f>(H37*K37)/('simDau.QM'!H37*'simDau.QM'!K37)</f>
        <v>1.2399301745334723</v>
      </c>
    </row>
    <row r="38" spans="2:11" ht="12.75">
      <c r="B38" s="43"/>
      <c r="H38" s="42"/>
      <c r="I38" s="42">
        <f>SQRT(1/E37)*I37</f>
        <v>0.07551975559692682</v>
      </c>
      <c r="J38" s="42">
        <f>SQRT(1/F37+1/C37)*J37</f>
        <v>0.06820952912758942</v>
      </c>
      <c r="K38" s="42">
        <f>($L$2*I38+$L$3*J38)/($L$2+$L$3)</f>
        <v>0.07237237081885574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N58"/>
  <sheetViews>
    <sheetView workbookViewId="0" topLeftCell="A1">
      <selection activeCell="N1" sqref="N1"/>
    </sheetView>
  </sheetViews>
  <sheetFormatPr defaultColWidth="9.140625" defaultRowHeight="12.75"/>
  <cols>
    <col min="1" max="16384" width="9.140625" style="41" customWidth="1"/>
  </cols>
  <sheetData>
    <row r="1" spans="1:14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  <c r="K1" s="40" t="s">
        <v>173</v>
      </c>
      <c r="L1" s="40" t="s">
        <v>176</v>
      </c>
      <c r="M1" s="40" t="s">
        <v>263</v>
      </c>
      <c r="N1" s="40" t="s">
        <v>248</v>
      </c>
    </row>
    <row r="2" spans="1:14" ht="12.75">
      <c r="A2" s="41">
        <v>-2.2</v>
      </c>
      <c r="B2" s="41">
        <v>-1.2</v>
      </c>
      <c r="C2" s="41">
        <v>111841</v>
      </c>
      <c r="D2" s="41">
        <v>7484</v>
      </c>
      <c r="E2" s="41">
        <v>3946</v>
      </c>
      <c r="G2" s="41">
        <v>0.128</v>
      </c>
      <c r="H2" s="42">
        <f>D2/C2/G2</f>
        <v>0.522784578106419</v>
      </c>
      <c r="I2" s="42">
        <f>E2/D2</f>
        <v>0.5272581507215393</v>
      </c>
      <c r="J2" s="42"/>
      <c r="K2" s="42">
        <f>(H2*I2)/('simPp.50'!H2*'simPp.50'!I2)</f>
        <v>0.9494706448508181</v>
      </c>
      <c r="L2" s="42">
        <f>(H2*I2)/('simPp.QM'!H2*'simPp.QM'!I2)</f>
        <v>1.2857608341479312</v>
      </c>
      <c r="M2" s="42">
        <f>(H2*I2)/(simPp!H2*simPp!I2)</f>
        <v>0.9530009171707292</v>
      </c>
      <c r="N2" s="42">
        <f>1/M2</f>
        <v>1.0493169334703283</v>
      </c>
    </row>
    <row r="3" spans="8:13" ht="12.75">
      <c r="H3" s="42"/>
      <c r="I3" s="42">
        <f>SQRT(1/E2)*I2</f>
        <v>0.008393532215146665</v>
      </c>
      <c r="J3" s="42"/>
      <c r="M3" s="42">
        <f>SQRT((I3/I2)^2+(simPp!I3/simPp!I2)^2)</f>
        <v>0.01882174627042894</v>
      </c>
    </row>
    <row r="4" spans="1:14" ht="12.75">
      <c r="A4" s="41">
        <v>-2.2</v>
      </c>
      <c r="B4" s="41">
        <v>-1.7</v>
      </c>
      <c r="C4" s="41">
        <v>49193</v>
      </c>
      <c r="D4" s="41">
        <v>3578</v>
      </c>
      <c r="E4" s="41">
        <v>1927</v>
      </c>
      <c r="G4" s="41">
        <f>G2</f>
        <v>0.128</v>
      </c>
      <c r="H4" s="42">
        <f>D4/C4/G4</f>
        <v>0.5682337934258939</v>
      </c>
      <c r="I4" s="42">
        <f>E4/D4</f>
        <v>0.538569032979318</v>
      </c>
      <c r="J4" s="42"/>
      <c r="K4" s="42">
        <f>(H4*I4)/('simPp.50'!H4*'simPp.50'!I4)</f>
        <v>0.9413776257938443</v>
      </c>
      <c r="L4" s="42">
        <f>(H4*I4)/('simPp.QM'!H4*'simPp.QM'!I4)</f>
        <v>1.2408242112041208</v>
      </c>
      <c r="M4" s="42">
        <f>(H4*I4)/(simPp!H4*simPp!I4)</f>
        <v>0.973078957709349</v>
      </c>
      <c r="N4" s="42">
        <f>1/M4</f>
        <v>1.0276658354158883</v>
      </c>
    </row>
    <row r="5" spans="8:13" ht="12.75">
      <c r="H5" s="42"/>
      <c r="I5" s="42">
        <f>SQRT(1/E4)*I4</f>
        <v>0.012268755767271083</v>
      </c>
      <c r="J5" s="42"/>
      <c r="M5" s="42">
        <f>SQRT((I5/I4)^2+(simPp!I5/simPp!I4)^2)</f>
        <v>0.027035080497666328</v>
      </c>
    </row>
    <row r="6" spans="1:14" ht="12.75">
      <c r="A6" s="41">
        <v>-1.7</v>
      </c>
      <c r="B6" s="41">
        <v>-1.2</v>
      </c>
      <c r="C6" s="41">
        <v>62648</v>
      </c>
      <c r="D6" s="41">
        <v>3906</v>
      </c>
      <c r="E6" s="41">
        <v>2019</v>
      </c>
      <c r="G6" s="41">
        <f>G2</f>
        <v>0.128</v>
      </c>
      <c r="H6" s="42">
        <f>D6/C6/G6</f>
        <v>0.4870965553569148</v>
      </c>
      <c r="I6" s="42">
        <f>E6/D6</f>
        <v>0.5168970814132104</v>
      </c>
      <c r="J6" s="42"/>
      <c r="K6" s="42">
        <f>(H6*I6)/('simPp.50'!H6*'simPp.50'!I6)</f>
        <v>0.9573257467994309</v>
      </c>
      <c r="L6" s="42">
        <f>(H6*I6)/('simPp.QM'!H6*'simPp.QM'!I6)</f>
        <v>1.33179419525066</v>
      </c>
      <c r="M6" s="42">
        <f>(H6*I6)/(simPp!H6*simPp!I6)</f>
        <v>0.9339519839294066</v>
      </c>
      <c r="N6" s="42">
        <f>1/M6</f>
        <v>1.0707188562228973</v>
      </c>
    </row>
    <row r="7" spans="8:13" ht="12.75">
      <c r="H7" s="42"/>
      <c r="I7" s="42">
        <f>SQRT(1/E6)*I6</f>
        <v>0.011503656906636442</v>
      </c>
      <c r="J7" s="42"/>
      <c r="M7" s="42">
        <f>SQRT((I7/I6)^2+(simPp!I7/simPp!I6)^2)</f>
        <v>0.026222878980315226</v>
      </c>
    </row>
    <row r="8" spans="1:14" ht="12.75">
      <c r="A8" s="41">
        <v>1.2</v>
      </c>
      <c r="B8" s="41">
        <v>2.4</v>
      </c>
      <c r="C8" s="41">
        <v>126387</v>
      </c>
      <c r="D8" s="41">
        <v>12716</v>
      </c>
      <c r="E8" s="41">
        <v>9892</v>
      </c>
      <c r="G8" s="41">
        <v>0.127</v>
      </c>
      <c r="H8" s="42">
        <f>D8/C8/G8</f>
        <v>0.7922174294189157</v>
      </c>
      <c r="I8" s="42">
        <f>E8/D8</f>
        <v>0.7779175841459578</v>
      </c>
      <c r="J8" s="42"/>
      <c r="K8" s="42">
        <f>(H8*I8)/('simPp.50'!H8*'simPp.50'!I8)</f>
        <v>0.9486908986285605</v>
      </c>
      <c r="L8" s="42">
        <f>(H8*I8)/('simPp.QM'!H8*'simPp.QM'!I8)</f>
        <v>1.093159465134269</v>
      </c>
      <c r="M8" s="42">
        <f>(H8*I8)/(simPp!H8*simPp!I8)</f>
        <v>0.9850173634180389</v>
      </c>
      <c r="N8" s="42">
        <f>1/M8</f>
        <v>1.0152105304316372</v>
      </c>
    </row>
    <row r="9" spans="8:13" ht="12.75">
      <c r="H9" s="42"/>
      <c r="I9" s="42">
        <f>SQRT(1/E8)*I8</f>
        <v>0.007821526743728439</v>
      </c>
      <c r="J9" s="42"/>
      <c r="M9" s="42">
        <f>SQRT((I9/I8)^2+(simPp!I9/simPp!I8)^2)</f>
        <v>0.011938184301145016</v>
      </c>
    </row>
    <row r="10" spans="1:14" ht="12.75">
      <c r="A10" s="41">
        <v>1.2</v>
      </c>
      <c r="B10" s="41">
        <v>1.7</v>
      </c>
      <c r="C10" s="41">
        <v>62786</v>
      </c>
      <c r="D10" s="41">
        <v>5611</v>
      </c>
      <c r="E10" s="41">
        <v>4308</v>
      </c>
      <c r="G10" s="41">
        <f>G8</f>
        <v>0.127</v>
      </c>
      <c r="H10" s="42">
        <f>D10/C10/G10</f>
        <v>0.7036776090562342</v>
      </c>
      <c r="I10" s="42">
        <f>E10/D10</f>
        <v>0.7677775797540546</v>
      </c>
      <c r="J10" s="42"/>
      <c r="K10" s="42">
        <f>(H10*I10)/('simPp.50'!H10*'simPp.50'!I10)</f>
        <v>0.9430823117338004</v>
      </c>
      <c r="L10" s="42">
        <f>(H10*I10)/('simPp.QM'!H10*'simPp.QM'!I10)</f>
        <v>0.9721745163737642</v>
      </c>
      <c r="M10" s="42">
        <f>(H10*I10)/(simPp!H10*simPp!I10)</f>
        <v>0.9673550171180012</v>
      </c>
      <c r="N10" s="42">
        <f>1/M10</f>
        <v>1.0337466414132597</v>
      </c>
    </row>
    <row r="11" spans="8:13" ht="12.75">
      <c r="H11" s="42"/>
      <c r="I11" s="42">
        <f>SQRT(1/E10)*I10</f>
        <v>0.011697621872337865</v>
      </c>
      <c r="J11" s="42"/>
      <c r="M11" s="42">
        <f>SQRT((I11/I10)^2+(simPp!I11/simPp!I10)^2)</f>
        <v>0.01804637487693114</v>
      </c>
    </row>
    <row r="12" spans="1:14" ht="12.75">
      <c r="A12" s="41">
        <v>1.7</v>
      </c>
      <c r="B12" s="41">
        <v>2.4</v>
      </c>
      <c r="C12" s="41">
        <v>63601</v>
      </c>
      <c r="D12" s="41">
        <v>7105</v>
      </c>
      <c r="E12" s="41">
        <v>5584</v>
      </c>
      <c r="G12" s="41">
        <f>G8</f>
        <v>0.127</v>
      </c>
      <c r="H12" s="42">
        <f>D12/C12/G12</f>
        <v>0.8796226771554501</v>
      </c>
      <c r="I12" s="42">
        <f>E12/D12</f>
        <v>0.7859254046446165</v>
      </c>
      <c r="J12" s="42"/>
      <c r="K12" s="42">
        <f>(H12*I12)/('simPp.50'!H12*'simPp.50'!I12)</f>
        <v>0.9530636627410821</v>
      </c>
      <c r="L12" s="42">
        <f>(H12*I12)/('simPp.QM'!H12*'simPp.QM'!I12)</f>
        <v>1.202164344272793</v>
      </c>
      <c r="M12" s="42">
        <f>(H12*I12)/(simPp!H12*simPp!I12)</f>
        <v>0.9993413259854967</v>
      </c>
      <c r="N12" s="42">
        <f>1/M12</f>
        <v>1.0006591081519156</v>
      </c>
    </row>
    <row r="13" spans="8:13" ht="12.75">
      <c r="H13" s="42"/>
      <c r="I13" s="42">
        <f>SQRT(1/E12)*I12</f>
        <v>0.01051740559733675</v>
      </c>
      <c r="J13" s="42"/>
      <c r="M13" s="42">
        <f>SQRT((I13/I12)^2+(simPp!I13/simPp!I12)^2)</f>
        <v>0.015919911879731994</v>
      </c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155"/>
    </row>
    <row r="15" ht="12.75">
      <c r="A15" s="180">
        <v>38236</v>
      </c>
    </row>
    <row r="16" ht="12.75">
      <c r="A16" s="101" t="s">
        <v>238</v>
      </c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14" ht="12.75">
      <c r="A18" s="41" t="s">
        <v>60</v>
      </c>
      <c r="B18" s="43" t="s">
        <v>38</v>
      </c>
      <c r="C18" s="41">
        <v>32310</v>
      </c>
      <c r="D18" s="41">
        <v>2285</v>
      </c>
      <c r="E18" s="41">
        <v>1278</v>
      </c>
      <c r="G18" s="41">
        <v>0.128</v>
      </c>
      <c r="H18" s="42">
        <f>D18/C18/G18</f>
        <v>0.5525088981739399</v>
      </c>
      <c r="I18" s="42">
        <f>E18/D18</f>
        <v>0.5592997811816193</v>
      </c>
      <c r="K18" s="42">
        <f>(H18*I18)/('simPp.50'!H18*'simPp.50'!I18)</f>
        <v>0.9609022556390976</v>
      </c>
      <c r="L18" s="42">
        <f>(H18*I18)/('simPp.QM'!H18*'simPp.QM'!I18)</f>
        <v>1.3481012658227849</v>
      </c>
      <c r="M18" s="42">
        <f>(H18*I18)/(simPp!H18*simPp!I18)</f>
        <v>0.9516035768234039</v>
      </c>
      <c r="N18" s="42">
        <f>1/M18</f>
        <v>1.0508577566912376</v>
      </c>
    </row>
    <row r="19" spans="2:14" ht="12.75">
      <c r="B19" s="43"/>
      <c r="I19" s="42">
        <f>SQRT(1/E18)*I18</f>
        <v>0.015645131668901073</v>
      </c>
      <c r="M19" s="42">
        <f>SQRT((I19/I18)^2+(simPp!I19/simPp!I18)^2)</f>
        <v>0.03306686993185732</v>
      </c>
      <c r="N19" s="42"/>
    </row>
    <row r="20" spans="2:14" ht="12.75">
      <c r="B20" s="43" t="s">
        <v>39</v>
      </c>
      <c r="C20" s="41">
        <v>52146</v>
      </c>
      <c r="D20" s="41">
        <v>3281</v>
      </c>
      <c r="E20" s="41">
        <v>1855</v>
      </c>
      <c r="G20" s="41">
        <v>0.128</v>
      </c>
      <c r="H20" s="42">
        <f>D20/C20/G20</f>
        <v>0.4915585567445249</v>
      </c>
      <c r="I20" s="42">
        <f>E20/D20</f>
        <v>0.5653764096312099</v>
      </c>
      <c r="K20" s="42">
        <f>(H20*I20)/('simPp.50'!H20*'simPp.50'!I20)</f>
        <v>0.9601449275362316</v>
      </c>
      <c r="L20" s="42">
        <f>(H20*I20)/('simPp.QM'!H20*'simPp.QM'!I20)</f>
        <v>1.3118811881188115</v>
      </c>
      <c r="M20" s="42">
        <f>(H20*I20)/(simPp!H20*simPp!I20)</f>
        <v>0.9635206294243758</v>
      </c>
      <c r="N20" s="42">
        <f>1/M20</f>
        <v>1.0378604977014532</v>
      </c>
    </row>
    <row r="21" spans="2:14" ht="12.75">
      <c r="B21" s="43"/>
      <c r="I21" s="42">
        <f>SQRT(1/E20)*I20</f>
        <v>0.01312700729494546</v>
      </c>
      <c r="K21" s="42"/>
      <c r="M21" s="42">
        <f>SQRT((I21/I20)^2+(simPp!I21/simPp!I20)^2)</f>
        <v>0.027500654367100585</v>
      </c>
      <c r="N21" s="42"/>
    </row>
    <row r="22" spans="2:14" ht="12.75">
      <c r="B22" s="43" t="s">
        <v>40</v>
      </c>
      <c r="C22" s="41">
        <v>22370</v>
      </c>
      <c r="D22" s="41">
        <v>1100</v>
      </c>
      <c r="E22" s="41">
        <v>624</v>
      </c>
      <c r="G22" s="41">
        <v>0.128</v>
      </c>
      <c r="H22" s="42">
        <f>D22/C22/G22</f>
        <v>0.3841640590075995</v>
      </c>
      <c r="I22" s="42">
        <f>E22/D22</f>
        <v>0.5672727272727273</v>
      </c>
      <c r="K22" s="42">
        <f>(H22*I22)/('simPp.50'!H22*'simPp.50'!I22)</f>
        <v>0.9056603773584906</v>
      </c>
      <c r="L22" s="42">
        <f>(H22*I22)/('simPp.QM'!H22*'simPp.QM'!I22)</f>
        <v>1.1304347826086956</v>
      </c>
      <c r="M22" s="42">
        <f>(H22*I22)/(simPp!H22*simPp!I22)</f>
        <v>0.8792420037264703</v>
      </c>
      <c r="N22" s="42">
        <f>1/M22</f>
        <v>1.1373432977061195</v>
      </c>
    </row>
    <row r="23" spans="2:14" ht="12.75">
      <c r="B23" s="43"/>
      <c r="I23" s="42">
        <f>SQRT(1/E22)*I22</f>
        <v>0.02270908363053963</v>
      </c>
      <c r="M23" s="42">
        <f>SQRT((I23/I22)^2+(simPp!I23/simPp!I22)^2)</f>
        <v>0.046888289147495245</v>
      </c>
      <c r="N23" s="42"/>
    </row>
    <row r="24" spans="2:14" ht="12.75">
      <c r="B24" s="43" t="s">
        <v>41</v>
      </c>
      <c r="C24" s="41">
        <v>4347</v>
      </c>
      <c r="D24" s="41">
        <v>271</v>
      </c>
      <c r="E24" s="41">
        <v>156</v>
      </c>
      <c r="G24" s="41">
        <v>0.128</v>
      </c>
      <c r="H24" s="42">
        <f>D24/C24/G24</f>
        <v>0.4870456636760985</v>
      </c>
      <c r="I24" s="42">
        <f>E24/D24</f>
        <v>0.5756457564575646</v>
      </c>
      <c r="K24" s="42">
        <f>(H24*I24)/('simPp.50'!H24*'simPp.50'!I24)</f>
        <v>0.8863636363636362</v>
      </c>
      <c r="L24" s="42">
        <f>(H24*I24)/('simPp.QM'!H24*'simPp.QM'!I24)</f>
        <v>1.2187500000000002</v>
      </c>
      <c r="M24" s="42">
        <f>(H24*I24)/(simPp!H24*simPp!I24)</f>
        <v>1.0646078086248492</v>
      </c>
      <c r="N24" s="42">
        <f>1/M24</f>
        <v>0.9393130426985099</v>
      </c>
    </row>
    <row r="25" spans="9:14" ht="12.75">
      <c r="I25" s="42">
        <f>SQRT(1/E24)*I24</f>
        <v>0.04608854611364131</v>
      </c>
      <c r="M25" s="42">
        <f>SQRT((I25/I24)^2+(simPp!I25/simPp!I24)^2)</f>
        <v>0.09639554341700589</v>
      </c>
      <c r="N25" s="42"/>
    </row>
    <row r="26" spans="2:14" ht="12.75">
      <c r="B26" s="43" t="s">
        <v>42</v>
      </c>
      <c r="C26" s="41">
        <v>555</v>
      </c>
      <c r="D26" s="41">
        <v>50</v>
      </c>
      <c r="E26" s="41">
        <v>26</v>
      </c>
      <c r="G26" s="41">
        <v>0.128</v>
      </c>
      <c r="H26" s="42">
        <f>D26/C26/G26</f>
        <v>0.7038288288288288</v>
      </c>
      <c r="I26" s="42">
        <f>E26/D26</f>
        <v>0.52</v>
      </c>
      <c r="K26" s="42">
        <f>(H26*I26)/('simPp.50'!H26*'simPp.50'!I26)</f>
        <v>1.0399999999999998</v>
      </c>
      <c r="L26" s="42">
        <f>(H26*I26)/('simPp.QM'!H26*'simPp.QM'!I26)</f>
        <v>1.2999999999999998</v>
      </c>
      <c r="M26" s="42">
        <f>(H26*I26)/(simPp!H26*simPp!I26)</f>
        <v>1.182882882882883</v>
      </c>
      <c r="N26" s="42">
        <f>1/M26</f>
        <v>0.8453922315308453</v>
      </c>
    </row>
    <row r="27" spans="9:14" ht="12.75">
      <c r="I27" s="42">
        <f>SQRT(1/E26)*I26</f>
        <v>0.10198039027185571</v>
      </c>
      <c r="M27" s="42">
        <f>SQRT((I27/I26)^2+(simPp!I27/simPp!I26)^2)</f>
        <v>0.2401922307076307</v>
      </c>
      <c r="N27" s="42"/>
    </row>
    <row r="28" spans="1:14" ht="12.75">
      <c r="A28" s="41" t="s">
        <v>61</v>
      </c>
      <c r="B28" s="43" t="s">
        <v>38</v>
      </c>
      <c r="C28" s="41">
        <v>36557</v>
      </c>
      <c r="D28" s="41">
        <v>3810</v>
      </c>
      <c r="E28" s="41">
        <v>3142</v>
      </c>
      <c r="G28" s="41">
        <v>0.127</v>
      </c>
      <c r="H28" s="42">
        <f>D28/C28/G28</f>
        <v>0.8206362666520777</v>
      </c>
      <c r="I28" s="42">
        <f>E28/D28</f>
        <v>0.8246719160104987</v>
      </c>
      <c r="K28" s="42">
        <f>(H28*I28)/('simPp.50'!H28*'simPp.50'!I28)</f>
        <v>0.9605625191073068</v>
      </c>
      <c r="L28" s="42">
        <f>(H28*I28)/('simPp.QM'!H28*'simPp.QM'!I28)</f>
        <v>1.1649981460882464</v>
      </c>
      <c r="M28" s="42">
        <f>(H28*I28)/(simPp!H28*simPp!I28)</f>
        <v>0.9787214515166123</v>
      </c>
      <c r="N28" s="42">
        <f>1/M28</f>
        <v>1.0217411690020841</v>
      </c>
    </row>
    <row r="29" spans="2:14" ht="12.75">
      <c r="B29" s="43"/>
      <c r="I29" s="42">
        <f>SQRT(1/E28)*I28</f>
        <v>0.01471221675300947</v>
      </c>
      <c r="M29" s="42">
        <f>SQRT((I29/I28)^2+(simPp!I29/simPp!I28)^2)</f>
        <v>0.02114555740801453</v>
      </c>
      <c r="N29" s="42"/>
    </row>
    <row r="30" spans="2:14" ht="12.75">
      <c r="B30" s="43" t="s">
        <v>39</v>
      </c>
      <c r="C30" s="41">
        <v>59235</v>
      </c>
      <c r="D30" s="41">
        <v>5649</v>
      </c>
      <c r="E30" s="41">
        <v>4685</v>
      </c>
      <c r="G30" s="41">
        <v>0.127</v>
      </c>
      <c r="H30" s="42">
        <f>D30/C30/G30</f>
        <v>0.7509127198553207</v>
      </c>
      <c r="I30" s="42">
        <f>E30/D30</f>
        <v>0.8293503274915914</v>
      </c>
      <c r="K30" s="42">
        <f>(H30*I30)/('simPp.50'!H30*'simPp.50'!I30)</f>
        <v>0.9520422678317415</v>
      </c>
      <c r="L30" s="42">
        <f>(H30*I30)/('simPp.QM'!H30*'simPp.QM'!I30)</f>
        <v>1.1028719397363465</v>
      </c>
      <c r="M30" s="42">
        <f>(H30*I30)/(simPp!H30*simPp!I30)</f>
        <v>0.988957859527004</v>
      </c>
      <c r="N30" s="42">
        <f>1/M30</f>
        <v>1.0111654307275308</v>
      </c>
    </row>
    <row r="31" spans="2:14" ht="12.75">
      <c r="B31" s="43"/>
      <c r="I31" s="42">
        <f>SQRT(1/E30)*I30</f>
        <v>0.012116668407610269</v>
      </c>
      <c r="M31" s="42">
        <f>SQRT((I31/I30)^2+(simPp!I31/simPp!I30)^2)</f>
        <v>0.017372224927956426</v>
      </c>
      <c r="N31" s="42"/>
    </row>
    <row r="32" spans="2:14" ht="12.75">
      <c r="B32" s="43" t="s">
        <v>40</v>
      </c>
      <c r="C32" s="41">
        <v>25303</v>
      </c>
      <c r="D32" s="41">
        <v>1982</v>
      </c>
      <c r="E32" s="41">
        <v>1678</v>
      </c>
      <c r="G32" s="41">
        <v>0.127</v>
      </c>
      <c r="H32" s="42">
        <f>D32/C32/G32</f>
        <v>0.6167766356795015</v>
      </c>
      <c r="I32" s="42">
        <f>E32/D32</f>
        <v>0.8466195761856711</v>
      </c>
      <c r="K32" s="42">
        <f>(H32*I32)/('simPp.50'!H32*'simPp.50'!I32)</f>
        <v>0.9301552106430157</v>
      </c>
      <c r="L32" s="42">
        <f>(H32*I32)/('simPp.QM'!H32*'simPp.QM'!I32)</f>
        <v>0.9772859638905068</v>
      </c>
      <c r="M32" s="42">
        <f>(H32*I32)/(simPp!H32*simPp!I32)</f>
        <v>0.989634971177937</v>
      </c>
      <c r="N32" s="42">
        <f>1/M32</f>
        <v>1.0104735878621243</v>
      </c>
    </row>
    <row r="33" spans="2:14" ht="12.75">
      <c r="B33" s="43"/>
      <c r="I33" s="42">
        <f>SQRT(1/E32)*I32</f>
        <v>0.02066770852498894</v>
      </c>
      <c r="M33" s="42">
        <f>SQRT((I33/I32)^2+(simPp!I33/simPp!I32)^2)</f>
        <v>0.028991483721826975</v>
      </c>
      <c r="N33" s="42"/>
    </row>
    <row r="34" spans="2:14" ht="12.75">
      <c r="B34" s="43" t="s">
        <v>41</v>
      </c>
      <c r="C34" s="41">
        <v>4622</v>
      </c>
      <c r="D34" s="41">
        <v>410</v>
      </c>
      <c r="E34" s="41">
        <v>338</v>
      </c>
      <c r="G34" s="41">
        <v>0.127</v>
      </c>
      <c r="H34" s="42">
        <f>D34/C34/G34</f>
        <v>0.6984739196652776</v>
      </c>
      <c r="I34" s="42">
        <f>E34/D34</f>
        <v>0.824390243902439</v>
      </c>
      <c r="K34" s="42">
        <f>(H34*I34)/('simPp.50'!H34*'simPp.50'!I34)</f>
        <v>0.9285714285714285</v>
      </c>
      <c r="L34" s="42">
        <f>(H34*I34)/('simPp.QM'!H34*'simPp.QM'!I34)</f>
        <v>0.9854227405247812</v>
      </c>
      <c r="M34" s="42">
        <f>(H34*I34)/(simPp!H34*simPp!I34)</f>
        <v>0.9779963073094636</v>
      </c>
      <c r="N34" s="42">
        <f>1/M34</f>
        <v>1.0224987482325676</v>
      </c>
    </row>
    <row r="35" spans="2:14" ht="12.75">
      <c r="B35" s="43"/>
      <c r="H35" s="42"/>
      <c r="I35" s="42">
        <f>SQRT(1/E34)*I34</f>
        <v>0.04484091783134204</v>
      </c>
      <c r="M35" s="42">
        <f>SQRT((I35/I34)^2+(simPp!I35/simPp!I34)^2)</f>
        <v>0.06438027261560894</v>
      </c>
      <c r="N35" s="42"/>
    </row>
    <row r="36" spans="2:14" ht="12.75">
      <c r="B36" s="43" t="s">
        <v>42</v>
      </c>
      <c r="C36" s="41">
        <v>569</v>
      </c>
      <c r="D36" s="41">
        <v>52</v>
      </c>
      <c r="E36" s="41">
        <v>41</v>
      </c>
      <c r="G36" s="41">
        <v>0.127</v>
      </c>
      <c r="H36" s="42">
        <f>D36/C36/G36</f>
        <v>0.7195937063227378</v>
      </c>
      <c r="I36" s="42">
        <f>E36/D36</f>
        <v>0.7884615384615384</v>
      </c>
      <c r="K36" s="42">
        <f>(H36*I36)/('simPp.50'!H36*'simPp.50'!I36)</f>
        <v>0.7592592592592592</v>
      </c>
      <c r="L36" s="42">
        <f>(H36*I36)/('simPp.QM'!H36*'simPp.QM'!I36)</f>
        <v>1.1714285714285713</v>
      </c>
      <c r="M36" s="42">
        <f>(H36*I36)/(simPp!H36*simPp!I36)</f>
        <v>0.8725355488097141</v>
      </c>
      <c r="N36" s="42">
        <f>1/M36</f>
        <v>1.1460851094997435</v>
      </c>
    </row>
    <row r="37" spans="2:14" ht="12.75">
      <c r="B37" s="43"/>
      <c r="H37" s="42"/>
      <c r="I37" s="42">
        <f>SQRT(1/E36)*I36</f>
        <v>0.12313700456601633</v>
      </c>
      <c r="M37" s="42">
        <f>SQRT((I37/I36)^2+(simPp!I37/simPp!I36)^2)</f>
        <v>0.18297855883503977</v>
      </c>
      <c r="N37" s="42"/>
    </row>
    <row r="38" spans="1:14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  <c r="N38" s="42"/>
    </row>
    <row r="39" ht="12.75">
      <c r="N39" s="42"/>
    </row>
    <row r="40" ht="12.75">
      <c r="N40" s="42"/>
    </row>
    <row r="41" spans="1:14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  <c r="N41" s="42"/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R59"/>
  <sheetViews>
    <sheetView workbookViewId="0" topLeftCell="A1">
      <selection activeCell="T5" sqref="T5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8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173</v>
      </c>
      <c r="P1" s="40" t="s">
        <v>176</v>
      </c>
      <c r="Q1" s="40" t="s">
        <v>263</v>
      </c>
      <c r="R1" s="40" t="s">
        <v>248</v>
      </c>
    </row>
    <row r="2" spans="1:18" ht="12.75">
      <c r="A2" s="41">
        <v>-2.2</v>
      </c>
      <c r="B2" s="41">
        <v>-1.2</v>
      </c>
      <c r="C2" s="41">
        <v>111841</v>
      </c>
      <c r="D2" s="41">
        <v>9837</v>
      </c>
      <c r="E2" s="41">
        <v>7030</v>
      </c>
      <c r="F2" s="41">
        <v>3679</v>
      </c>
      <c r="G2" s="41">
        <v>0.128</v>
      </c>
      <c r="H2" s="42">
        <f>D2/C2/G2</f>
        <v>0.6871501730134745</v>
      </c>
      <c r="I2" s="42">
        <f>E2/D2</f>
        <v>0.7146487750330385</v>
      </c>
      <c r="J2" s="42">
        <f>F2/D2</f>
        <v>0.3739961370336485</v>
      </c>
      <c r="K2" s="42">
        <f>(I2*$L$2+J2*$L$3)/($L$2+$L$3)</f>
        <v>0.5679823301634829</v>
      </c>
      <c r="L2" s="41">
        <v>1.566</v>
      </c>
      <c r="M2" s="41" t="s">
        <v>51</v>
      </c>
      <c r="O2" s="42">
        <f>(H2*K2)/('simDau.50'!H2*'simDau.50'!K2)</f>
        <v>0.9451667421040775</v>
      </c>
      <c r="P2" s="42">
        <f>(H2*K2)/('simDau.QM'!H2*'simDau.QM'!K2)</f>
        <v>1.183269183081584</v>
      </c>
      <c r="Q2" s="42">
        <f>(H2*K2)/(simDau!H2*simDau!K2)</f>
        <v>0.9660350348971513</v>
      </c>
      <c r="R2" s="42">
        <f>1/Q2</f>
        <v>1.0351591442089518</v>
      </c>
    </row>
    <row r="3" spans="8:17" ht="12.75">
      <c r="H3" s="42"/>
      <c r="I3" s="42">
        <f>SQRT(1/E2)*I2</f>
        <v>0.008523441624989156</v>
      </c>
      <c r="J3" s="42">
        <f>SQRT(1/F2)*J2</f>
        <v>0.006165981573292976</v>
      </c>
      <c r="K3" s="42">
        <f>($L$2*I3+$L$3*J3)/($L$2+$L$3)</f>
        <v>0.007508447915458873</v>
      </c>
      <c r="L3" s="41">
        <v>1.184</v>
      </c>
      <c r="M3" s="41" t="s">
        <v>52</v>
      </c>
      <c r="Q3" s="42">
        <f>SQRT((K3/K2)^2+(simDau!K3/simDau!K2)^2)</f>
        <v>0.015661923972648182</v>
      </c>
    </row>
    <row r="4" spans="1:18" ht="12.75">
      <c r="A4" s="41">
        <v>-2.2</v>
      </c>
      <c r="B4" s="41">
        <v>-1.7</v>
      </c>
      <c r="C4" s="41">
        <v>49193</v>
      </c>
      <c r="D4" s="41">
        <v>4500</v>
      </c>
      <c r="E4" s="41">
        <v>3290</v>
      </c>
      <c r="F4" s="41">
        <v>1772</v>
      </c>
      <c r="G4" s="41">
        <f>G2</f>
        <v>0.128</v>
      </c>
      <c r="H4" s="42">
        <f>D4/C4/G4</f>
        <v>0.7146596060415099</v>
      </c>
      <c r="I4" s="42">
        <f>E4/D4</f>
        <v>0.7311111111111112</v>
      </c>
      <c r="J4" s="42">
        <f>F4/D4</f>
        <v>0.3937777777777778</v>
      </c>
      <c r="K4" s="42">
        <f>(I4*$L$2+J4*$L$3)/($L$2+$L$3)</f>
        <v>0.5858737777777778</v>
      </c>
      <c r="O4" s="42">
        <f>(H4*K4)/('simDau.50'!H4*'simDau.50'!K4)</f>
        <v>0.938611724393459</v>
      </c>
      <c r="P4" s="42">
        <f>(H4*K4)/('simDau.QM'!H4*'simDau.QM'!K4)</f>
        <v>1.1725745641046876</v>
      </c>
      <c r="Q4" s="42">
        <f>(H4*K4)/(simDau!H4*simDau!K4)</f>
        <v>0.9861769567162285</v>
      </c>
      <c r="R4" s="42">
        <f>1/Q4</f>
        <v>1.014016798090476</v>
      </c>
    </row>
    <row r="5" spans="8:17" ht="12.75">
      <c r="H5" s="42"/>
      <c r="I5" s="42">
        <f>SQRT(1/E4)*I4</f>
        <v>0.012746338133066656</v>
      </c>
      <c r="J5" s="42">
        <f>SQRT(1/F4)*J4</f>
        <v>0.009354473413266305</v>
      </c>
      <c r="K5" s="42">
        <f>($L$2*I5+$L$3*J5)/($L$2+$L$3)</f>
        <v>0.011285986195523522</v>
      </c>
      <c r="Q5" s="42">
        <f>SQRT((K5/K4)^2+(simDau!K5/simDau!K4)^2)</f>
        <v>0.02290963922742924</v>
      </c>
    </row>
    <row r="6" spans="1:18" ht="12.75">
      <c r="A6" s="41">
        <v>-1.7</v>
      </c>
      <c r="B6" s="41">
        <v>-1.2</v>
      </c>
      <c r="C6" s="41">
        <v>62648</v>
      </c>
      <c r="D6" s="41">
        <v>5337</v>
      </c>
      <c r="E6" s="41">
        <v>3740</v>
      </c>
      <c r="F6" s="41">
        <v>1907</v>
      </c>
      <c r="G6" s="41">
        <f>G2</f>
        <v>0.128</v>
      </c>
      <c r="H6" s="42">
        <f>D6/C6/G6</f>
        <v>0.6655489800153237</v>
      </c>
      <c r="I6" s="42">
        <f>E6/D6</f>
        <v>0.7007682218474799</v>
      </c>
      <c r="J6" s="42">
        <f>F6/D6</f>
        <v>0.35731684466928987</v>
      </c>
      <c r="K6" s="42">
        <f>(I6*$L$2+J6*$L$3)/($L$2+$L$3)</f>
        <v>0.5528967925460337</v>
      </c>
      <c r="O6" s="42">
        <f>(H6*K6)/('simDau.50'!H6*'simDau.50'!K6)</f>
        <v>0.9511013219989667</v>
      </c>
      <c r="P6" s="42">
        <f>(H6*K6)/('simDau.QM'!H6*'simDau.QM'!K6)</f>
        <v>1.1929907715432102</v>
      </c>
      <c r="Q6" s="42">
        <f>(H6*K6)/(simDau!H6*simDau!K6)</f>
        <v>0.9483531088800342</v>
      </c>
      <c r="R6" s="42">
        <f>1/Q6</f>
        <v>1.0544595579814766</v>
      </c>
    </row>
    <row r="7" spans="8:17" ht="12.75">
      <c r="H7" s="42"/>
      <c r="I7" s="42">
        <f>SQRT(1/E6)*I6</f>
        <v>0.011458785723380667</v>
      </c>
      <c r="J7" s="42">
        <f>SQRT(1/F6)*J6</f>
        <v>0.00818235171853028</v>
      </c>
      <c r="K7" s="42">
        <f>($L$2*I7+$L$3*J7)/($L$2+$L$3)</f>
        <v>0.010048131955474172</v>
      </c>
      <c r="Q7" s="42">
        <f>SQRT((K7/K6)^2+(simDau!K7/simDau!K6)^2)</f>
        <v>0.02146142148395065</v>
      </c>
    </row>
    <row r="8" spans="1:18" ht="12.75">
      <c r="A8" s="41">
        <v>1.2</v>
      </c>
      <c r="B8" s="41">
        <v>2.4</v>
      </c>
      <c r="C8" s="41">
        <v>126387</v>
      </c>
      <c r="D8" s="41">
        <v>12942</v>
      </c>
      <c r="E8" s="41">
        <v>10082</v>
      </c>
      <c r="F8" s="41">
        <v>6829</v>
      </c>
      <c r="G8" s="41">
        <v>0.127</v>
      </c>
      <c r="H8" s="42">
        <f>D8/C8/G8</f>
        <v>0.806297418334351</v>
      </c>
      <c r="I8" s="42">
        <f>E8/D8</f>
        <v>0.7790140627414619</v>
      </c>
      <c r="J8" s="42">
        <f>F8/D8</f>
        <v>0.5276618760624324</v>
      </c>
      <c r="K8" s="42">
        <f>(I8*$L$8+J8*$L$9)/($L$8+$L$9)</f>
        <v>0.6594215548025731</v>
      </c>
      <c r="L8" s="41">
        <v>1.711</v>
      </c>
      <c r="M8" s="41" t="s">
        <v>51</v>
      </c>
      <c r="O8" s="42">
        <f>(H8*K8)/('simDau.50'!H8*'simDau.50'!K8)</f>
        <v>0.9431015248688818</v>
      </c>
      <c r="P8" s="42">
        <f>(H8*K8)/('simDau.QM'!H8*'simDau.QM'!K8)</f>
        <v>1.0560146408915703</v>
      </c>
      <c r="Q8" s="42">
        <f>(H8*K8)/(simDau!H8*simDau!K8)</f>
        <v>0.9874561028019635</v>
      </c>
      <c r="R8" s="42">
        <f>1/Q8</f>
        <v>1.0127032454024463</v>
      </c>
    </row>
    <row r="9" spans="8:17" ht="12.75">
      <c r="H9" s="42"/>
      <c r="I9" s="42">
        <f>SQRT(1/E8)*I8</f>
        <v>0.00775839614653761</v>
      </c>
      <c r="J9" s="42">
        <f>SQRT(1/F8)*J8</f>
        <v>0.006385239048409542</v>
      </c>
      <c r="K9" s="42">
        <f>($L$2*I9+$L$3*J9)/($L$2+$L$3)</f>
        <v>0.007167189599561743</v>
      </c>
      <c r="L9" s="41">
        <v>1.553</v>
      </c>
      <c r="M9" s="41" t="s">
        <v>52</v>
      </c>
      <c r="Q9" s="42">
        <f>SQRT((K9/K8)^2+(simDau!K9/simDau!K8)^2)</f>
        <v>0.012909841141925843</v>
      </c>
    </row>
    <row r="10" spans="1:18" ht="12.75">
      <c r="A10" s="41">
        <v>1.2</v>
      </c>
      <c r="B10" s="41">
        <v>1.7</v>
      </c>
      <c r="C10" s="41">
        <v>62786</v>
      </c>
      <c r="D10" s="41">
        <v>5649</v>
      </c>
      <c r="E10" s="41">
        <v>4357</v>
      </c>
      <c r="F10" s="41">
        <v>2725</v>
      </c>
      <c r="G10" s="41">
        <f>G8</f>
        <v>0.127</v>
      </c>
      <c r="H10" s="42">
        <f>D10/C10/G10</f>
        <v>0.7084432032719065</v>
      </c>
      <c r="I10" s="42">
        <f>E10/D10</f>
        <v>0.7712869534430873</v>
      </c>
      <c r="J10" s="42">
        <f>F10/D10</f>
        <v>0.48238626305540805</v>
      </c>
      <c r="K10" s="42">
        <f>(I10*$L$8+J10*$L$9)/($L$8+$L$9)</f>
        <v>0.633828996282528</v>
      </c>
      <c r="O10" s="42">
        <f>(H10*K10)/('simDau.50'!H10*'simDau.50'!K10)</f>
        <v>0.940101845589319</v>
      </c>
      <c r="P10" s="42">
        <f>(H10*K10)/('simDau.QM'!H10*'simDau.QM'!K10)</f>
        <v>0.9303173057209385</v>
      </c>
      <c r="Q10" s="42">
        <f>(H10*K10)/(simDau!H10*simDau!K10)</f>
        <v>0.971752178102735</v>
      </c>
      <c r="R10" s="42">
        <f>1/Q10</f>
        <v>1.0290689566062168</v>
      </c>
    </row>
    <row r="11" spans="8:17" ht="12.75">
      <c r="H11" s="42"/>
      <c r="I11" s="42">
        <f>SQRT(1/E10)*I10</f>
        <v>0.011684824804892371</v>
      </c>
      <c r="J11" s="42">
        <f>SQRT(1/F10)*J10</f>
        <v>0.009240844847681493</v>
      </c>
      <c r="K11" s="42">
        <f>($L$2*I11+$L$3*J11)/($L$2+$L$3)</f>
        <v>0.010632580343315034</v>
      </c>
      <c r="Q11" s="42">
        <f>SQRT((K11/K10)^2+(simDau!K11/simDau!K10)^2)</f>
        <v>0.019882632606099227</v>
      </c>
    </row>
    <row r="12" spans="1:18" ht="12.75">
      <c r="A12" s="41">
        <v>1.7</v>
      </c>
      <c r="B12" s="41">
        <v>2.4</v>
      </c>
      <c r="C12" s="41">
        <v>63601</v>
      </c>
      <c r="D12" s="41">
        <v>7293</v>
      </c>
      <c r="E12" s="41">
        <v>5725</v>
      </c>
      <c r="F12" s="41">
        <v>4104</v>
      </c>
      <c r="G12" s="41">
        <f>G8</f>
        <v>0.127</v>
      </c>
      <c r="H12" s="42">
        <f>D12/C12/G12</f>
        <v>0.9028977036586484</v>
      </c>
      <c r="I12" s="42">
        <f>E12/D12</f>
        <v>0.7849993144110791</v>
      </c>
      <c r="J12" s="42">
        <f>F12/D12</f>
        <v>0.562731386260798</v>
      </c>
      <c r="K12" s="42">
        <f>(I12*$L$8+J12*$L$9)/($L$8+$L$9)</f>
        <v>0.6792449968812424</v>
      </c>
      <c r="O12" s="42">
        <f>(H12*K12)/('simDau.50'!H12*'simDau.50'!K12)</f>
        <v>0.9452816034102891</v>
      </c>
      <c r="P12" s="42">
        <f>(H12*K12)/('simDau.QM'!H12*'simDau.QM'!K12)</f>
        <v>1.1510796446892644</v>
      </c>
      <c r="Q12" s="42">
        <f>(H12*K12)/(simDau!H12*simDau!K12)</f>
        <v>0.9994477203890043</v>
      </c>
      <c r="R12" s="42">
        <f>1/Q12</f>
        <v>1.0005525847923098</v>
      </c>
    </row>
    <row r="13" spans="8:17" ht="12.75">
      <c r="H13" s="42"/>
      <c r="I13" s="42">
        <f>SQRT(1/E12)*I12</f>
        <v>0.010374842966146684</v>
      </c>
      <c r="J13" s="42">
        <f>SQRT(1/F12)*J12</f>
        <v>0.008784103868392687</v>
      </c>
      <c r="K13" s="42">
        <f>($L$2*I13+$L$3*J13)/($L$2+$L$3)</f>
        <v>0.009689957478240963</v>
      </c>
      <c r="Q13" s="42">
        <f>SQRT((K13/K12)^2+(simDau!K13/simDau!K12)^2)</f>
        <v>0.016971376805362908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38236</v>
      </c>
    </row>
    <row r="17" ht="12.75">
      <c r="A17" s="101" t="s">
        <v>239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8" ht="12.75">
      <c r="A19" s="41" t="s">
        <v>60</v>
      </c>
      <c r="B19" s="43" t="s">
        <v>38</v>
      </c>
      <c r="C19" s="41">
        <v>32310</v>
      </c>
      <c r="D19" s="41">
        <v>3021</v>
      </c>
      <c r="E19" s="41">
        <v>2293</v>
      </c>
      <c r="F19" s="41">
        <v>1197</v>
      </c>
      <c r="G19" s="41">
        <v>0.128</v>
      </c>
      <c r="H19" s="42">
        <f>D19/C19/G19</f>
        <v>0.7304723769730733</v>
      </c>
      <c r="I19" s="42">
        <f>E19/D19</f>
        <v>0.7590201919894075</v>
      </c>
      <c r="J19" s="42">
        <f>F19/D19</f>
        <v>0.39622641509433965</v>
      </c>
      <c r="K19" s="42">
        <f>(I19*$L$2+J19*$L$3)/($L$2+$L$3)</f>
        <v>0.6028209804098583</v>
      </c>
      <c r="O19" s="42">
        <f>(H19*K19)/('simDau.50'!H19*'simDau.50'!K19)</f>
        <v>0.965587276369547</v>
      </c>
      <c r="P19" s="42">
        <f>(H19*K19)/('simDau.QM'!H19*'simDau.QM'!K19)</f>
        <v>1.2291337995191538</v>
      </c>
      <c r="Q19" s="42">
        <f>(H19*K19)/(simDau!H19*simDau!K19)</f>
        <v>0.9867935814876991</v>
      </c>
      <c r="R19" s="42">
        <f>1/Q19</f>
        <v>1.0133831621527074</v>
      </c>
    </row>
    <row r="20" spans="2:17" ht="12.75">
      <c r="B20" s="43"/>
      <c r="I20" s="42">
        <f>SQRT(1/E19)*I19</f>
        <v>0.015850804228815463</v>
      </c>
      <c r="J20" s="42">
        <f>SQRT(1/F19+1/C19)*J19</f>
        <v>0.011662607066861973</v>
      </c>
      <c r="K20" s="42">
        <f>($L$2*I20+$L$3*J20)/($L$2+$L$3)</f>
        <v>0.014047594977996214</v>
      </c>
      <c r="Q20" s="42">
        <f>SQRT((K20/K19)^2+(simDau!K20/simDau!K19)^2)</f>
        <v>0.027684474071201906</v>
      </c>
    </row>
    <row r="21" spans="2:18" ht="12.75">
      <c r="B21" s="43" t="s">
        <v>39</v>
      </c>
      <c r="C21" s="41">
        <v>52146</v>
      </c>
      <c r="D21" s="41">
        <v>4338</v>
      </c>
      <c r="E21" s="41">
        <v>3278</v>
      </c>
      <c r="F21" s="41">
        <v>1699</v>
      </c>
      <c r="G21" s="41">
        <v>0.128</v>
      </c>
      <c r="H21" s="42">
        <f>D21/C21/G21</f>
        <v>0.6499180186399723</v>
      </c>
      <c r="I21" s="42">
        <f>E21/D21</f>
        <v>0.7556477639465191</v>
      </c>
      <c r="J21" s="42">
        <f>F21/D21</f>
        <v>0.3916551406177962</v>
      </c>
      <c r="K21" s="42">
        <f>(I21*$L$2+J21*$L$3)/($L$2+$L$3)</f>
        <v>0.5989323944842617</v>
      </c>
      <c r="O21" s="42">
        <f>(H21*K21)/('simDau.50'!H21*'simDau.50'!K21)</f>
        <v>0.9469302870253598</v>
      </c>
      <c r="P21" s="42">
        <f>(H21*K21)/('simDau.QM'!H21*'simDau.QM'!K21)</f>
        <v>1.1432553355651325</v>
      </c>
      <c r="Q21" s="42">
        <f>(H21*K21)/(simDau!H21*simDau!K21)</f>
        <v>0.9620790853568784</v>
      </c>
      <c r="R21" s="42">
        <f>1/Q21</f>
        <v>1.0394155898618824</v>
      </c>
    </row>
    <row r="22" spans="2:17" ht="12.75">
      <c r="B22" s="43"/>
      <c r="I22" s="42">
        <f>SQRT(1/E21)*I21</f>
        <v>0.013198206738865502</v>
      </c>
      <c r="J22" s="42">
        <f>SQRT(1/F21+1/C21)*J21</f>
        <v>0.009655379145772759</v>
      </c>
      <c r="K22" s="42">
        <f>($L$2*I22+$L$3*J22)/($L$2+$L$3)</f>
        <v>0.011672858422421207</v>
      </c>
      <c r="Q22" s="42">
        <f>SQRT((K22/K21)^2+(simDau!K22/simDau!K21)^2)</f>
        <v>0.02308937531868344</v>
      </c>
    </row>
    <row r="23" spans="2:18" ht="12.75">
      <c r="B23" s="43" t="s">
        <v>40</v>
      </c>
      <c r="C23" s="41">
        <v>22370</v>
      </c>
      <c r="D23" s="41">
        <v>1463</v>
      </c>
      <c r="E23" s="41">
        <v>1121</v>
      </c>
      <c r="F23" s="41">
        <v>593</v>
      </c>
      <c r="G23" s="41">
        <v>0.128</v>
      </c>
      <c r="H23" s="42">
        <f>D23/C23/G23</f>
        <v>0.5109381984801072</v>
      </c>
      <c r="I23" s="42">
        <f>E23/D23</f>
        <v>0.7662337662337663</v>
      </c>
      <c r="J23" s="42">
        <f>F23/D23</f>
        <v>0.4053315105946685</v>
      </c>
      <c r="K23" s="42">
        <f>(I23*$L$2+J23*$L$3)/($L$2+$L$3)</f>
        <v>0.6108489405331511</v>
      </c>
      <c r="O23" s="42">
        <f>(H23*K23)/('simDau.50'!H23*'simDau.50'!K23)</f>
        <v>0.9094817696421724</v>
      </c>
      <c r="P23" s="42">
        <f>(H23*K23)/('simDau.QM'!H23*'simDau.QM'!K23)</f>
        <v>1.0242458392062754</v>
      </c>
      <c r="Q23" s="42">
        <f>(H23*K23)/(simDau!H23*simDau!K23)</f>
        <v>0.8903915579064801</v>
      </c>
      <c r="R23" s="42">
        <f>1/Q23</f>
        <v>1.1231013941228678</v>
      </c>
    </row>
    <row r="24" spans="2:17" ht="12.75">
      <c r="B24" s="43"/>
      <c r="I24" s="42">
        <f>SQRT(1/E23)*I23</f>
        <v>0.022885398554727557</v>
      </c>
      <c r="J24" s="42">
        <f>SQRT(1/F23+1/C23)*J23</f>
        <v>0.01686414553390015</v>
      </c>
      <c r="K24" s="42">
        <f>($L$2*I24+$L$3*J24)/($L$2+$L$3)</f>
        <v>0.02029297543594223</v>
      </c>
      <c r="Q24" s="42">
        <f>SQRT((K24/K23)^2+(simDau!K24/simDau!K23)^2)</f>
        <v>0.03899808538159658</v>
      </c>
    </row>
    <row r="25" spans="2:18" ht="12.75">
      <c r="B25" s="43" t="s">
        <v>41</v>
      </c>
      <c r="C25" s="41">
        <v>4347</v>
      </c>
      <c r="D25" s="41">
        <v>354</v>
      </c>
      <c r="E25" s="41">
        <v>289</v>
      </c>
      <c r="F25" s="41">
        <v>160</v>
      </c>
      <c r="G25" s="41">
        <v>0.128</v>
      </c>
      <c r="H25" s="42">
        <f>D25/C25/G25</f>
        <v>0.6362146307798481</v>
      </c>
      <c r="I25" s="42">
        <f>E25/D25</f>
        <v>0.8163841807909604</v>
      </c>
      <c r="J25" s="42">
        <f>F25/D25</f>
        <v>0.4519774011299435</v>
      </c>
      <c r="K25" s="42">
        <f>(I25*$L$2+J25*$L$3)/($L$2+$L$3)</f>
        <v>0.6594904982023626</v>
      </c>
      <c r="O25" s="42">
        <f>(H25*K25)/('simDau.50'!H25*'simDau.50'!K25)</f>
        <v>0.9201836887381717</v>
      </c>
      <c r="P25" s="42">
        <f>(H25*K25)/('simDau.QM'!H25*'simDau.QM'!K25)</f>
        <v>1.1071688481901112</v>
      </c>
      <c r="Q25" s="42">
        <f>(H25*K25)/(simDau!H25*simDau!K25)</f>
        <v>1.0988534322586654</v>
      </c>
      <c r="R25" s="42">
        <f>1/Q25</f>
        <v>0.9100394744588688</v>
      </c>
    </row>
    <row r="26" spans="9:17" ht="12.75">
      <c r="I26" s="42">
        <f>SQRT(1/E25)*I25</f>
        <v>0.04802259887005649</v>
      </c>
      <c r="J26" s="42">
        <f>SQRT(1/F25+1/C25)*J25</f>
        <v>0.03638360166098266</v>
      </c>
      <c r="K26" s="42">
        <f>($L$2*I26+$L$3*J26)/($L$2+$L$3)</f>
        <v>0.04301148152622252</v>
      </c>
      <c r="Q26" s="42">
        <f>SQRT((K26/K25)^2+(simDau!K26/simDau!K25)^2)</f>
        <v>0.07883759341369237</v>
      </c>
    </row>
    <row r="27" spans="2:18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(H27*K27)/('simDau.50'!H27*'simDau.50'!K27)</f>
        <v>0.948462328560208</v>
      </c>
      <c r="P27" s="42">
        <f>(H27*K27)/('simDau.QM'!H27*'simDau.QM'!K27)</f>
        <v>0.9333861857100385</v>
      </c>
      <c r="Q27" s="42">
        <f>(H27*K27)/(simDau!H27*simDau!K27)</f>
        <v>1.1470659944298096</v>
      </c>
      <c r="R27" s="42">
        <f>1/Q27</f>
        <v>0.8717894217560568</v>
      </c>
    </row>
    <row r="28" spans="9:17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  <c r="Q28" s="42">
        <f>SQRT((K28/K27)^2+(simDau!K28/simDau!K27)^2)</f>
        <v>0.20784310908936246</v>
      </c>
    </row>
    <row r="29" spans="1:18" ht="12.75">
      <c r="A29" s="41" t="s">
        <v>61</v>
      </c>
      <c r="B29" s="43" t="s">
        <v>38</v>
      </c>
      <c r="C29" s="41">
        <v>36557</v>
      </c>
      <c r="D29" s="41">
        <v>3911</v>
      </c>
      <c r="E29" s="41">
        <v>3245</v>
      </c>
      <c r="F29" s="41">
        <v>2147</v>
      </c>
      <c r="G29" s="41">
        <v>0.127</v>
      </c>
      <c r="H29" s="42">
        <f>D29/C29/G29</f>
        <v>0.8423906663717258</v>
      </c>
      <c r="I29" s="42">
        <f>E29/D29</f>
        <v>0.8297110713372539</v>
      </c>
      <c r="J29" s="42">
        <f>F29/D29</f>
        <v>0.5489644592175914</v>
      </c>
      <c r="K29" s="42">
        <f>(I29*$L$8+J29*$L$9)/($L$8+$L$9)</f>
        <v>0.6961327966369365</v>
      </c>
      <c r="O29" s="42">
        <f>(H29*K29)/('simDau.50'!H29*'simDau.50'!K29)</f>
        <v>0.9525312514135517</v>
      </c>
      <c r="P29" s="42">
        <f>(H29*K29)/('simDau.QM'!H29*'simDau.QM'!K29)</f>
        <v>1.08963572279447</v>
      </c>
      <c r="Q29" s="42">
        <f>(H29*K29)/(simDau!H29*simDau!K29)</f>
        <v>0.9911937210208968</v>
      </c>
      <c r="R29" s="42">
        <f>1/Q29</f>
        <v>1.0088845185278545</v>
      </c>
    </row>
    <row r="30" spans="2:17" ht="12.75">
      <c r="B30" s="43"/>
      <c r="I30" s="42">
        <f>SQRT(1/E29)*I29</f>
        <v>0.01456530336857695</v>
      </c>
      <c r="J30" s="42">
        <f>SQRT(1/F29+1/C29)*J29</f>
        <v>0.01219048143458307</v>
      </c>
      <c r="K30" s="42">
        <f>($L$2*I30+$L$3*J30)/($L$2+$L$3)</f>
        <v>0.01354283457954104</v>
      </c>
      <c r="Q30" s="42">
        <f>SQRT((K30/K29)^2+(simDau!K30/simDau!K29)^2)</f>
        <v>0.02310264280347989</v>
      </c>
    </row>
    <row r="31" spans="2:18" ht="12.75">
      <c r="B31" s="43" t="s">
        <v>39</v>
      </c>
      <c r="C31" s="41">
        <v>59235</v>
      </c>
      <c r="D31" s="41">
        <v>5727</v>
      </c>
      <c r="E31" s="41">
        <v>4755</v>
      </c>
      <c r="F31" s="41">
        <v>3223</v>
      </c>
      <c r="G31" s="41">
        <v>0.127</v>
      </c>
      <c r="H31" s="42">
        <f>D31/C31/G31</f>
        <v>0.7612811376547038</v>
      </c>
      <c r="I31" s="42">
        <f>E31/D31</f>
        <v>0.8302776322682033</v>
      </c>
      <c r="J31" s="42">
        <f>F31/D31</f>
        <v>0.5627728304522438</v>
      </c>
      <c r="K31" s="42">
        <f>(I31*$L$8+J31*$L$9)/($L$8+$L$9)</f>
        <v>0.7029997654728033</v>
      </c>
      <c r="O31" s="42">
        <f>(H31*K31)/('simDau.50'!H31*'simDau.50'!K31)</f>
        <v>0.9452322864306606</v>
      </c>
      <c r="P31" s="42">
        <f>(H31*K31)/('simDau.QM'!H31*'simDau.QM'!K31)</f>
        <v>1.0269150640399478</v>
      </c>
      <c r="Q31" s="42">
        <f>(H31*K31)/(simDau!H31*simDau!K31)</f>
        <v>0.9903007399416441</v>
      </c>
      <c r="R31" s="42">
        <f>1/Q31</f>
        <v>1.0097942571050966</v>
      </c>
    </row>
    <row r="32" spans="2:17" ht="12.75">
      <c r="B32" s="43"/>
      <c r="I32" s="42">
        <f>SQRT(1/E31)*I31</f>
        <v>0.01204059857381478</v>
      </c>
      <c r="J32" s="42">
        <f>SQRT(1/F31+1/C31)*J31</f>
        <v>0.010179063178673878</v>
      </c>
      <c r="K32" s="42">
        <f>($L$2*I32+$L$3*J32)/($L$2+$L$3)</f>
        <v>0.011239122970961387</v>
      </c>
      <c r="Q32" s="42">
        <f>SQRT((K32/K31)^2+(simDau!K32/simDau!K31)^2)</f>
        <v>0.01901345727374317</v>
      </c>
    </row>
    <row r="33" spans="2:18" ht="12.75">
      <c r="B33" s="43" t="s">
        <v>40</v>
      </c>
      <c r="C33" s="41">
        <v>25303</v>
      </c>
      <c r="D33" s="41">
        <v>1991</v>
      </c>
      <c r="E33" s="41">
        <v>1687</v>
      </c>
      <c r="F33" s="41">
        <v>1173</v>
      </c>
      <c r="G33" s="41">
        <v>0.127</v>
      </c>
      <c r="H33" s="42">
        <f>D33/C33/G33</f>
        <v>0.6195773368505991</v>
      </c>
      <c r="I33" s="42">
        <f>E33/D33</f>
        <v>0.8473129080863887</v>
      </c>
      <c r="J33" s="42">
        <f>F33/D33</f>
        <v>0.5891511803114013</v>
      </c>
      <c r="K33" s="42">
        <f>(I33*$L$8+J33*$L$9)/($L$8+$L$9)</f>
        <v>0.7244804438601157</v>
      </c>
      <c r="O33" s="42">
        <f>(H33*K33)/('simDau.50'!H33*'simDau.50'!K33)</f>
        <v>0.9284200953005219</v>
      </c>
      <c r="P33" s="42">
        <f>(H33*K33)/('simDau.QM'!H33*'simDau.QM'!K33)</f>
        <v>0.9269345845434055</v>
      </c>
      <c r="Q33" s="42">
        <f>(H33*K33)/(simDau!H33*simDau!K33)</f>
        <v>0.9731291735147942</v>
      </c>
      <c r="R33" s="42">
        <f>1/Q33</f>
        <v>1.0276128053875442</v>
      </c>
    </row>
    <row r="34" spans="2:17" ht="12.75">
      <c r="B34" s="43"/>
      <c r="I34" s="42">
        <f>SQRT(1/E33)*I33</f>
        <v>0.020629385010459918</v>
      </c>
      <c r="J34" s="42">
        <f>SQRT(1/F33+1/C33)*J33</f>
        <v>0.017596160898508767</v>
      </c>
      <c r="K34" s="42">
        <f>($L$2*I34+$L$3*J34)/($L$2+$L$3)</f>
        <v>0.019323444156441674</v>
      </c>
      <c r="Q34" s="42">
        <f>SQRT((K34/K33)^2+(simDau!K34/simDau!K33)^2)</f>
        <v>0.03160053820984855</v>
      </c>
    </row>
    <row r="35" spans="2:18" ht="12.75">
      <c r="B35" s="43" t="s">
        <v>41</v>
      </c>
      <c r="C35" s="41">
        <v>4622</v>
      </c>
      <c r="D35" s="41">
        <v>412</v>
      </c>
      <c r="E35" s="41">
        <v>341</v>
      </c>
      <c r="F35" s="41">
        <v>251</v>
      </c>
      <c r="G35" s="41">
        <v>0.127</v>
      </c>
      <c r="H35" s="42">
        <f>D35/C35/G35</f>
        <v>0.7018811095173033</v>
      </c>
      <c r="I35" s="42">
        <f>E35/D35</f>
        <v>0.8276699029126213</v>
      </c>
      <c r="J35" s="42">
        <f>F35/D35</f>
        <v>0.6092233009708737</v>
      </c>
      <c r="K35" s="42">
        <f>(I35*$L$8+J35*$L$9)/($L$8+$L$9)</f>
        <v>0.7237337592804111</v>
      </c>
      <c r="O35" s="42">
        <f>(H35*K35)/('simDau.50'!H35*'simDau.50'!K35)</f>
        <v>0.9237265533870463</v>
      </c>
      <c r="P35" s="42">
        <f>(H35*K35)/('simDau.QM'!H35*'simDau.QM'!K35)</f>
        <v>0.9277373501280188</v>
      </c>
      <c r="Q35" s="42">
        <f>(H35*K35)/(simDau!H35*simDau!K35)</f>
        <v>0.9960580285101467</v>
      </c>
      <c r="R35" s="42">
        <f>1/Q35</f>
        <v>1.0039575721263445</v>
      </c>
    </row>
    <row r="36" spans="2:17" ht="12.75">
      <c r="B36" s="43"/>
      <c r="H36" s="42"/>
      <c r="I36" s="42">
        <f>SQRT(1/E35)*I35</f>
        <v>0.0448208381374257</v>
      </c>
      <c r="J36" s="42">
        <f>SQRT(1/F35+1/C35)*J35</f>
        <v>0.03948415788291162</v>
      </c>
      <c r="K36" s="42">
        <f>($L$2*I36+$L$3*J36)/($L$2+$L$3)</f>
        <v>0.04252315471148218</v>
      </c>
      <c r="Q36" s="42">
        <f>SQRT((K36/K35)^2+(simDau!K36/simDau!K35)^2)</f>
        <v>0.06972062437369876</v>
      </c>
    </row>
    <row r="37" spans="2:18" ht="12.75">
      <c r="B37" s="43" t="s">
        <v>42</v>
      </c>
      <c r="C37" s="41">
        <v>569</v>
      </c>
      <c r="D37" s="41">
        <v>57</v>
      </c>
      <c r="E37" s="41">
        <v>45</v>
      </c>
      <c r="F37" s="41">
        <v>29</v>
      </c>
      <c r="G37" s="41">
        <v>0.127</v>
      </c>
      <c r="H37" s="42">
        <f>D37/C37/G37</f>
        <v>0.7887854088537702</v>
      </c>
      <c r="I37" s="42">
        <f>E37/D37</f>
        <v>0.7894736842105263</v>
      </c>
      <c r="J37" s="42">
        <f>F37/D37</f>
        <v>0.5087719298245614</v>
      </c>
      <c r="K37" s="42">
        <f>(I37*$L$8+J37*$L$9)/($L$8+$L$9)</f>
        <v>0.6559167526659786</v>
      </c>
      <c r="O37" s="42">
        <f>(H37*K37)/('simDau.50'!H37*'simDau.50'!K37)</f>
        <v>0.7795529605662413</v>
      </c>
      <c r="P37" s="42">
        <f>(H37*K37)/('simDau.QM'!H37*'simDau.QM'!K37)</f>
        <v>1.0623302458388468</v>
      </c>
      <c r="Q37" s="42">
        <f>(H37*K37)/(simDau!H37*simDau!K37)</f>
        <v>0.8567661854334272</v>
      </c>
      <c r="R37" s="42">
        <f>1/Q37</f>
        <v>1.1671795841173547</v>
      </c>
    </row>
    <row r="38" spans="2:17" ht="12.75">
      <c r="B38" s="43"/>
      <c r="H38" s="42"/>
      <c r="I38" s="42">
        <f>SQRT(1/E37)*I37</f>
        <v>0.11768778828946262</v>
      </c>
      <c r="J38" s="42">
        <f>SQRT(1/F37+1/C37)*J37</f>
        <v>0.09685423206942904</v>
      </c>
      <c r="K38" s="42">
        <f>($L$2*I38+$L$3*J38)/($L$2+$L$3)</f>
        <v>0.10871799535690997</v>
      </c>
      <c r="Q38" s="42">
        <f>SQRT((K38/K37)^2+(simDau!K38/simDau!K37)^2)</f>
        <v>0.19389115923035988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P59"/>
  <sheetViews>
    <sheetView workbookViewId="0" topLeftCell="A1">
      <selection activeCell="F13" sqref="F13"/>
    </sheetView>
  </sheetViews>
  <sheetFormatPr defaultColWidth="9.140625" defaultRowHeight="12.75"/>
  <cols>
    <col min="1" max="1" width="9.421875" style="41" bestFit="1" customWidth="1"/>
    <col min="2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258</v>
      </c>
      <c r="P1" s="40" t="s">
        <v>176</v>
      </c>
    </row>
    <row r="2" spans="1:16" ht="12.75">
      <c r="A2" s="41">
        <v>-2.2</v>
      </c>
      <c r="B2" s="41">
        <v>-1.2</v>
      </c>
      <c r="C2" s="41">
        <v>111841</v>
      </c>
      <c r="D2" s="41">
        <v>10687</v>
      </c>
      <c r="E2" s="41">
        <v>7091</v>
      </c>
      <c r="F2" s="41">
        <v>3640</v>
      </c>
      <c r="G2" s="41">
        <v>0.128</v>
      </c>
      <c r="H2" s="42">
        <f>D2/C2/G2</f>
        <v>0.7465257597839791</v>
      </c>
      <c r="I2" s="42">
        <f>E2/D2</f>
        <v>0.6635164218209039</v>
      </c>
      <c r="J2" s="42">
        <f>F2/D2</f>
        <v>0.3406007298587068</v>
      </c>
      <c r="K2" s="42">
        <f>(I2*$L$2+J2*$L$3)/($L$2+$L$3)</f>
        <v>0.5244865384451797</v>
      </c>
      <c r="L2" s="41">
        <v>1.566</v>
      </c>
      <c r="M2" s="41" t="s">
        <v>51</v>
      </c>
      <c r="O2" s="42">
        <f>(H2*K2)/(simDauDJ!H2*simDauDJ!K2)</f>
        <v>1.0032118626616637</v>
      </c>
      <c r="P2" s="42">
        <f>(H2*K2)/('simDau.QM'!H2*'simDau.QM'!K2)</f>
        <v>1.187069681189421</v>
      </c>
    </row>
    <row r="3" spans="8:13" ht="12.75">
      <c r="H3" s="42"/>
      <c r="I3" s="42">
        <f>SQRT(1/E2)*I2</f>
        <v>0.007879486817838</v>
      </c>
      <c r="J3" s="42">
        <f>SQRT(1/F2)*J2</f>
        <v>0.005645402125572511</v>
      </c>
      <c r="K3" s="42">
        <f>($L$2*I3+$L$3*J3)/($L$2+$L$3)</f>
        <v>0.006917611808513513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49193</v>
      </c>
      <c r="D4" s="41">
        <v>4962</v>
      </c>
      <c r="E4" s="41">
        <v>3341</v>
      </c>
      <c r="F4" s="41">
        <v>1770</v>
      </c>
      <c r="G4" s="41">
        <f>G2</f>
        <v>0.128</v>
      </c>
      <c r="H4" s="42">
        <f>D4/C4/G4</f>
        <v>0.788031325595105</v>
      </c>
      <c r="I4" s="42">
        <f>E4/D4</f>
        <v>0.673317210802096</v>
      </c>
      <c r="J4" s="42">
        <f>F4/D4</f>
        <v>0.3567110036275695</v>
      </c>
      <c r="K4" s="42">
        <f>(I4*$L$2+J4*$L$3)/($L$2+$L$3)</f>
        <v>0.5370038474222271</v>
      </c>
      <c r="O4" s="42">
        <f>(H4*K4)/(simDauDJ!H4*simDauDJ!K4)</f>
        <v>1.0106891021308688</v>
      </c>
      <c r="P4" s="42">
        <f>(H4*K4)/('simDau.QM'!H4*'simDau.QM'!K4)</f>
        <v>1.1851083333764614</v>
      </c>
    </row>
    <row r="5" spans="8:11" ht="12.75">
      <c r="H5" s="42"/>
      <c r="I5" s="42">
        <f>SQRT(1/E4)*I4</f>
        <v>0.011648807752211549</v>
      </c>
      <c r="J5" s="42">
        <f>SQRT(1/F4)*J4</f>
        <v>0.008478711796841043</v>
      </c>
      <c r="K5" s="42">
        <f>($L$2*I5+$L$3*J5)/($L$2+$L$3)</f>
        <v>0.010283937348153848</v>
      </c>
    </row>
    <row r="6" spans="1:16" ht="12.75">
      <c r="A6" s="41">
        <v>-1.7</v>
      </c>
      <c r="B6" s="41">
        <v>-1.2</v>
      </c>
      <c r="C6" s="41">
        <v>62648</v>
      </c>
      <c r="D6" s="41">
        <v>5725</v>
      </c>
      <c r="E6" s="41">
        <v>3750</v>
      </c>
      <c r="F6" s="41">
        <v>1870</v>
      </c>
      <c r="G6" s="41">
        <f>G2</f>
        <v>0.128</v>
      </c>
      <c r="H6" s="42">
        <f>D6/C6/G6</f>
        <v>0.7139344033329077</v>
      </c>
      <c r="I6" s="42">
        <f>E6/D6</f>
        <v>0.6550218340611353</v>
      </c>
      <c r="J6" s="42">
        <f>F6/D6</f>
        <v>0.3266375545851528</v>
      </c>
      <c r="K6" s="42">
        <f>(I6*$L$2+J6*$L$3)/($L$2+$L$3)</f>
        <v>0.5136374751885668</v>
      </c>
      <c r="O6" s="42">
        <f>(H6*K6)/(simDauDJ!H6*simDauDJ!K6)</f>
        <v>0.996531245409581</v>
      </c>
      <c r="P6" s="42">
        <f>(H6*K6)/('simDau.QM'!H6*'simDau.QM'!K6)</f>
        <v>1.1888525793280922</v>
      </c>
    </row>
    <row r="7" spans="8:11" ht="12.75">
      <c r="H7" s="42"/>
      <c r="I7" s="42">
        <f>SQRT(1/E6)*I6</f>
        <v>0.010696461758878508</v>
      </c>
      <c r="J7" s="42">
        <f>SQRT(1/F6)*J6</f>
        <v>0.007553449191419966</v>
      </c>
      <c r="K7" s="42">
        <f>($L$2*I7+$L$3*J7)/($L$2+$L$3)</f>
        <v>0.009343251984379993</v>
      </c>
    </row>
    <row r="8" spans="1:16" ht="12.75">
      <c r="A8" s="41">
        <v>1.2</v>
      </c>
      <c r="B8" s="41">
        <v>2.4</v>
      </c>
      <c r="C8" s="41">
        <v>126387</v>
      </c>
      <c r="D8" s="41">
        <v>13927</v>
      </c>
      <c r="E8" s="41">
        <v>10550</v>
      </c>
      <c r="F8" s="41">
        <v>7095</v>
      </c>
      <c r="G8" s="41">
        <v>0.127</v>
      </c>
      <c r="H8" s="42">
        <f>D8/C8/G8</f>
        <v>0.8676637417047216</v>
      </c>
      <c r="I8" s="42">
        <f>E8/D8</f>
        <v>0.7575213613843613</v>
      </c>
      <c r="J8" s="42">
        <f>F8/D8</f>
        <v>0.5094420909025633</v>
      </c>
      <c r="K8" s="42">
        <f>(I8*$L$8+J8*$L$9)/($L$8+$L$9)</f>
        <v>0.6394860957415205</v>
      </c>
      <c r="L8" s="41">
        <v>1.711</v>
      </c>
      <c r="M8" s="41" t="s">
        <v>51</v>
      </c>
      <c r="O8" s="42">
        <f>(H8*K8)/(simDauDJ!H8*simDauDJ!K8)</f>
        <v>1.0435761549891032</v>
      </c>
      <c r="P8" s="42">
        <f>(H8*K8)/('simDau.QM'!H8*'simDau.QM'!K8)</f>
        <v>1.1020316985538234</v>
      </c>
    </row>
    <row r="9" spans="8:13" ht="12.75">
      <c r="H9" s="42"/>
      <c r="I9" s="42">
        <f>SQRT(1/E8)*I8</f>
        <v>0.007375112581379384</v>
      </c>
      <c r="J9" s="42">
        <f>SQRT(1/F8)*J8</f>
        <v>0.006048095280028566</v>
      </c>
      <c r="K9" s="42">
        <f>($L$2*I9+$L$3*J9)/($L$2+$L$3)</f>
        <v>0.006803771314179614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62786</v>
      </c>
      <c r="D10" s="41">
        <v>6014</v>
      </c>
      <c r="E10" s="41">
        <v>4548</v>
      </c>
      <c r="F10" s="41">
        <v>2823</v>
      </c>
      <c r="G10" s="41">
        <f>G8</f>
        <v>0.127</v>
      </c>
      <c r="H10" s="42">
        <f>D10/C10/G10</f>
        <v>0.7542179898171792</v>
      </c>
      <c r="I10" s="42">
        <f>E10/D10</f>
        <v>0.7562354506152311</v>
      </c>
      <c r="J10" s="42">
        <f>F10/D10</f>
        <v>0.4694047223145993</v>
      </c>
      <c r="K10" s="42">
        <f>(I10*$L$8+J10*$L$9)/($L$8+$L$9)</f>
        <v>0.6197623743128777</v>
      </c>
      <c r="O10" s="42">
        <f>(H10*K10)/(simDauDJ!H10*simDauDJ!K10)</f>
        <v>1.0409861525255262</v>
      </c>
      <c r="P10" s="42">
        <f>(H10*K10)/('simDau.QM'!H10*'simDau.QM'!K10)</f>
        <v>0.9684474327103534</v>
      </c>
    </row>
    <row r="11" spans="8:11" ht="12.75">
      <c r="H11" s="42"/>
      <c r="I11" s="42">
        <f>SQRT(1/E10)*I10</f>
        <v>0.011213645028325484</v>
      </c>
      <c r="J11" s="42">
        <f>SQRT(1/F10)*J10</f>
        <v>0.00883470424262403</v>
      </c>
      <c r="K11" s="42">
        <f>($L$2*I11+$L$3*J11)/($L$2+$L$3)</f>
        <v>0.01018940288640893</v>
      </c>
    </row>
    <row r="12" spans="1:16" ht="12.75">
      <c r="A12" s="41">
        <v>1.7</v>
      </c>
      <c r="B12" s="41">
        <v>2.4</v>
      </c>
      <c r="C12" s="41">
        <v>63601</v>
      </c>
      <c r="D12" s="41">
        <v>7913</v>
      </c>
      <c r="E12" s="41">
        <v>6002</v>
      </c>
      <c r="F12" s="41">
        <v>4272</v>
      </c>
      <c r="G12" s="41">
        <f>G8</f>
        <v>0.127</v>
      </c>
      <c r="H12" s="42">
        <f>D12/C12/G12</f>
        <v>0.9796557697862177</v>
      </c>
      <c r="I12" s="42">
        <f>E12/D12</f>
        <v>0.7584986730696323</v>
      </c>
      <c r="J12" s="42">
        <f>F12/D12</f>
        <v>0.5398710981928472</v>
      </c>
      <c r="K12" s="42">
        <f>(I12*$L$8+J12*$L$9)/($L$8+$L$9)</f>
        <v>0.6544764231359167</v>
      </c>
      <c r="O12" s="42">
        <f>(H12*K12)/(simDauDJ!H12*simDauDJ!K12)</f>
        <v>1.0454481780460336</v>
      </c>
      <c r="P12" s="42">
        <f>(H12*K12)/('simDau.QM'!H12*'simDau.QM'!K12)</f>
        <v>1.2033941173262672</v>
      </c>
    </row>
    <row r="13" spans="8:11" ht="12.75">
      <c r="H13" s="42"/>
      <c r="I13" s="42">
        <f>SQRT(1/E12)*I12</f>
        <v>0.009790544141663877</v>
      </c>
      <c r="J13" s="42">
        <f>SQRT(1/F12)*J12</f>
        <v>0.008259893662766684</v>
      </c>
      <c r="K13" s="42">
        <f>($L$2*I13+$L$3*J13)/($L$2+$L$3)</f>
        <v>0.009131529535476867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38241</v>
      </c>
    </row>
    <row r="17" ht="12.75">
      <c r="A17" s="101" t="s">
        <v>254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32310</v>
      </c>
      <c r="D19" s="41">
        <v>3021</v>
      </c>
      <c r="E19" s="41">
        <v>2293</v>
      </c>
      <c r="F19" s="41">
        <v>1197</v>
      </c>
      <c r="G19" s="41">
        <v>0.128</v>
      </c>
      <c r="H19" s="42">
        <f>D19/C19/G19</f>
        <v>0.7304723769730733</v>
      </c>
      <c r="I19" s="42">
        <f>E19/D19</f>
        <v>0.7590201919894075</v>
      </c>
      <c r="J19" s="42">
        <f>F19/D19</f>
        <v>0.39622641509433965</v>
      </c>
      <c r="K19" s="42">
        <f>(I19*$L$2+J19*$L$3)/($L$2+$L$3)</f>
        <v>0.6028209804098583</v>
      </c>
      <c r="O19" s="42">
        <f>(H19*K19)/(simDauDJ!H19*simDauDJ!K19)</f>
        <v>1</v>
      </c>
      <c r="P19" s="42">
        <f>(H19*K19)/('simDau.QM'!H19*'simDau.QM'!K19)</f>
        <v>1.2291337995191538</v>
      </c>
    </row>
    <row r="20" spans="2:11" ht="12.75">
      <c r="B20" s="43"/>
      <c r="I20" s="42">
        <f>SQRT(1/E19)*I19</f>
        <v>0.015850804228815463</v>
      </c>
      <c r="J20" s="42">
        <f>SQRT(1/F19+1/C19)*J19</f>
        <v>0.011662607066861973</v>
      </c>
      <c r="K20" s="42">
        <f>($L$2*I20+$L$3*J20)/($L$2+$L$3)</f>
        <v>0.014047594977996214</v>
      </c>
    </row>
    <row r="21" spans="2:16" ht="12.75">
      <c r="B21" s="43" t="s">
        <v>39</v>
      </c>
      <c r="C21" s="41">
        <v>52146</v>
      </c>
      <c r="D21" s="41">
        <v>4338</v>
      </c>
      <c r="E21" s="41">
        <v>3278</v>
      </c>
      <c r="F21" s="41">
        <v>1699</v>
      </c>
      <c r="G21" s="41">
        <v>0.128</v>
      </c>
      <c r="H21" s="42">
        <f>D21/C21/G21</f>
        <v>0.6499180186399723</v>
      </c>
      <c r="I21" s="42">
        <f>E21/D21</f>
        <v>0.7556477639465191</v>
      </c>
      <c r="J21" s="42">
        <f>F21/D21</f>
        <v>0.3916551406177962</v>
      </c>
      <c r="K21" s="42">
        <f>(I21*$L$2+J21*$L$3)/($L$2+$L$3)</f>
        <v>0.5989323944842617</v>
      </c>
      <c r="O21" s="42">
        <f>(H21*K21)/(simDauDJ!H21*simDauDJ!K21)</f>
        <v>1</v>
      </c>
      <c r="P21" s="42">
        <f>(H21*K21)/('simDau.QM'!H21*'simDau.QM'!K21)</f>
        <v>1.1432553355651325</v>
      </c>
    </row>
    <row r="22" spans="2:11" ht="12.75">
      <c r="B22" s="43"/>
      <c r="I22" s="42">
        <f>SQRT(1/E21)*I21</f>
        <v>0.013198206738865502</v>
      </c>
      <c r="J22" s="42">
        <f>SQRT(1/F21+1/C21)*J21</f>
        <v>0.009655379145772759</v>
      </c>
      <c r="K22" s="42">
        <f>($L$2*I22+$L$3*J22)/($L$2+$L$3)</f>
        <v>0.011672858422421207</v>
      </c>
    </row>
    <row r="23" spans="2:16" ht="12.75">
      <c r="B23" s="43" t="s">
        <v>40</v>
      </c>
      <c r="C23" s="41">
        <v>22370</v>
      </c>
      <c r="D23" s="41">
        <v>1463</v>
      </c>
      <c r="E23" s="41">
        <v>1121</v>
      </c>
      <c r="F23" s="41">
        <v>593</v>
      </c>
      <c r="G23" s="41">
        <v>0.128</v>
      </c>
      <c r="H23" s="42">
        <f>D23/C23/G23</f>
        <v>0.5109381984801072</v>
      </c>
      <c r="I23" s="42">
        <f>E23/D23</f>
        <v>0.7662337662337663</v>
      </c>
      <c r="J23" s="42">
        <f>F23/D23</f>
        <v>0.4053315105946685</v>
      </c>
      <c r="K23" s="42">
        <f>(I23*$L$2+J23*$L$3)/($L$2+$L$3)</f>
        <v>0.6108489405331511</v>
      </c>
      <c r="O23" s="42">
        <f>(H23*K23)/(simDauDJ!H23*simDauDJ!K23)</f>
        <v>1</v>
      </c>
      <c r="P23" s="42">
        <f>(H23*K23)/('simDau.QM'!H23*'simDau.QM'!K23)</f>
        <v>1.0242458392062754</v>
      </c>
    </row>
    <row r="24" spans="2:11" ht="12.75">
      <c r="B24" s="43"/>
      <c r="I24" s="42">
        <f>SQRT(1/E23)*I23</f>
        <v>0.022885398554727557</v>
      </c>
      <c r="J24" s="42">
        <f>SQRT(1/F23+1/C23)*J23</f>
        <v>0.01686414553390015</v>
      </c>
      <c r="K24" s="42">
        <f>($L$2*I24+$L$3*J24)/($L$2+$L$3)</f>
        <v>0.02029297543594223</v>
      </c>
    </row>
    <row r="25" spans="2:16" ht="12.75">
      <c r="B25" s="43" t="s">
        <v>41</v>
      </c>
      <c r="C25" s="41">
        <v>4347</v>
      </c>
      <c r="D25" s="41">
        <v>354</v>
      </c>
      <c r="E25" s="41">
        <v>289</v>
      </c>
      <c r="F25" s="41">
        <v>160</v>
      </c>
      <c r="G25" s="41">
        <v>0.128</v>
      </c>
      <c r="H25" s="42">
        <f>D25/C25/G25</f>
        <v>0.6362146307798481</v>
      </c>
      <c r="I25" s="42">
        <f>E25/D25</f>
        <v>0.8163841807909604</v>
      </c>
      <c r="J25" s="42">
        <f>F25/D25</f>
        <v>0.4519774011299435</v>
      </c>
      <c r="K25" s="42">
        <f>(I25*$L$2+J25*$L$3)/($L$2+$L$3)</f>
        <v>0.6594904982023626</v>
      </c>
      <c r="O25" s="42">
        <f>(H25*K25)/(simDauDJ!H25*simDauDJ!K25)</f>
        <v>1</v>
      </c>
      <c r="P25" s="42">
        <f>(H25*K25)/('simDau.QM'!H25*'simDau.QM'!K25)</f>
        <v>1.1071688481901112</v>
      </c>
    </row>
    <row r="26" spans="9:11" ht="12.75">
      <c r="I26" s="42">
        <f>SQRT(1/E25)*I25</f>
        <v>0.04802259887005649</v>
      </c>
      <c r="J26" s="42">
        <f>SQRT(1/F25+1/C25)*J25</f>
        <v>0.03638360166098266</v>
      </c>
      <c r="K26" s="42">
        <f>($L$2*I26+$L$3*J26)/($L$2+$L$3)</f>
        <v>0.04301148152622252</v>
      </c>
    </row>
    <row r="27" spans="2:16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(H27*K27)/(simDauDJ!H27*simDauDJ!K27)</f>
        <v>1</v>
      </c>
      <c r="P27" s="42">
        <f>(H27*K27)/('simDau.QM'!H27*'simDau.QM'!K27)</f>
        <v>0.9333861857100385</v>
      </c>
    </row>
    <row r="28" spans="9:11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</row>
    <row r="29" spans="1:16" ht="12.75">
      <c r="A29" s="41" t="s">
        <v>61</v>
      </c>
      <c r="B29" s="43" t="s">
        <v>38</v>
      </c>
      <c r="C29" s="41">
        <v>36557</v>
      </c>
      <c r="D29" s="41">
        <v>3911</v>
      </c>
      <c r="E29" s="41">
        <v>3245</v>
      </c>
      <c r="F29" s="41">
        <v>2147</v>
      </c>
      <c r="G29" s="41">
        <v>0.127</v>
      </c>
      <c r="H29" s="42">
        <f>D29/C29/G29</f>
        <v>0.8423906663717258</v>
      </c>
      <c r="I29" s="42">
        <f>E29/D29</f>
        <v>0.8297110713372539</v>
      </c>
      <c r="J29" s="42">
        <f>F29/D29</f>
        <v>0.5489644592175914</v>
      </c>
      <c r="K29" s="42">
        <f>(I29*$L$8+J29*$L$9)/($L$8+$L$9)</f>
        <v>0.6961327966369365</v>
      </c>
      <c r="O29" s="42">
        <f>(H29*K29)/(simDauDJ!H29*simDauDJ!K29)</f>
        <v>1</v>
      </c>
      <c r="P29" s="42">
        <f>(H29*K29)/('simDau.QM'!H29*'simDau.QM'!K29)</f>
        <v>1.08963572279447</v>
      </c>
    </row>
    <row r="30" spans="2:11" ht="12.75">
      <c r="B30" s="43"/>
      <c r="I30" s="42">
        <f>SQRT(1/E29)*I29</f>
        <v>0.01456530336857695</v>
      </c>
      <c r="J30" s="42">
        <f>SQRT(1/F29+1/C29)*J29</f>
        <v>0.01219048143458307</v>
      </c>
      <c r="K30" s="42">
        <f>($L$2*I30+$L$3*J30)/($L$2+$L$3)</f>
        <v>0.01354283457954104</v>
      </c>
    </row>
    <row r="31" spans="2:16" ht="12.75">
      <c r="B31" s="43" t="s">
        <v>39</v>
      </c>
      <c r="C31" s="41">
        <v>59235</v>
      </c>
      <c r="D31" s="41">
        <v>5727</v>
      </c>
      <c r="E31" s="41">
        <v>4755</v>
      </c>
      <c r="F31" s="41">
        <v>3223</v>
      </c>
      <c r="G31" s="41">
        <v>0.127</v>
      </c>
      <c r="H31" s="42">
        <f>D31/C31/G31</f>
        <v>0.7612811376547038</v>
      </c>
      <c r="I31" s="42">
        <f>E31/D31</f>
        <v>0.8302776322682033</v>
      </c>
      <c r="J31" s="42">
        <f>F31/D31</f>
        <v>0.5627728304522438</v>
      </c>
      <c r="K31" s="42">
        <f>(I31*$L$8+J31*$L$9)/($L$8+$L$9)</f>
        <v>0.7029997654728033</v>
      </c>
      <c r="O31" s="42">
        <f>(H31*K31)/(simDauDJ!H31*simDauDJ!K31)</f>
        <v>1</v>
      </c>
      <c r="P31" s="42">
        <f>(H31*K31)/('simDau.QM'!H31*'simDau.QM'!K31)</f>
        <v>1.0269150640399478</v>
      </c>
    </row>
    <row r="32" spans="2:11" ht="12.75">
      <c r="B32" s="43"/>
      <c r="I32" s="42">
        <f>SQRT(1/E31)*I31</f>
        <v>0.01204059857381478</v>
      </c>
      <c r="J32" s="42">
        <f>SQRT(1/F31+1/C31)*J31</f>
        <v>0.010179063178673878</v>
      </c>
      <c r="K32" s="42">
        <f>($L$2*I32+$L$3*J32)/($L$2+$L$3)</f>
        <v>0.011239122970961387</v>
      </c>
    </row>
    <row r="33" spans="2:16" ht="12.75">
      <c r="B33" s="43" t="s">
        <v>40</v>
      </c>
      <c r="C33" s="41">
        <v>25303</v>
      </c>
      <c r="D33" s="41">
        <v>1991</v>
      </c>
      <c r="E33" s="41">
        <v>1687</v>
      </c>
      <c r="F33" s="41">
        <v>1173</v>
      </c>
      <c r="G33" s="41">
        <v>0.127</v>
      </c>
      <c r="H33" s="42">
        <f>D33/C33/G33</f>
        <v>0.6195773368505991</v>
      </c>
      <c r="I33" s="42">
        <f>E33/D33</f>
        <v>0.8473129080863887</v>
      </c>
      <c r="J33" s="42">
        <f>F33/D33</f>
        <v>0.5891511803114013</v>
      </c>
      <c r="K33" s="42">
        <f>(I33*$L$8+J33*$L$9)/($L$8+$L$9)</f>
        <v>0.7244804438601157</v>
      </c>
      <c r="O33" s="42">
        <f>(H33*K33)/(simDauDJ!H33*simDauDJ!K33)</f>
        <v>1</v>
      </c>
      <c r="P33" s="42">
        <f>(H33*K33)/('simDau.QM'!H33*'simDau.QM'!K33)</f>
        <v>0.9269345845434055</v>
      </c>
    </row>
    <row r="34" spans="2:11" ht="12.75">
      <c r="B34" s="43"/>
      <c r="I34" s="42">
        <f>SQRT(1/E33)*I33</f>
        <v>0.020629385010459918</v>
      </c>
      <c r="J34" s="42">
        <f>SQRT(1/F33+1/C33)*J33</f>
        <v>0.017596160898508767</v>
      </c>
      <c r="K34" s="42">
        <f>($L$2*I34+$L$3*J34)/($L$2+$L$3)</f>
        <v>0.019323444156441674</v>
      </c>
    </row>
    <row r="35" spans="2:16" ht="12.75">
      <c r="B35" s="43" t="s">
        <v>41</v>
      </c>
      <c r="C35" s="41">
        <v>4622</v>
      </c>
      <c r="D35" s="41">
        <v>412</v>
      </c>
      <c r="E35" s="41">
        <v>341</v>
      </c>
      <c r="F35" s="41">
        <v>251</v>
      </c>
      <c r="G35" s="41">
        <v>0.127</v>
      </c>
      <c r="H35" s="42">
        <f>D35/C35/G35</f>
        <v>0.7018811095173033</v>
      </c>
      <c r="I35" s="42">
        <f>E35/D35</f>
        <v>0.8276699029126213</v>
      </c>
      <c r="J35" s="42">
        <f>F35/D35</f>
        <v>0.6092233009708737</v>
      </c>
      <c r="K35" s="42">
        <f>(I35*$L$8+J35*$L$9)/($L$8+$L$9)</f>
        <v>0.7237337592804111</v>
      </c>
      <c r="O35" s="42">
        <f>(H35*K35)/(simDauDJ!H35*simDauDJ!K35)</f>
        <v>1</v>
      </c>
      <c r="P35" s="42">
        <f>(H35*K35)/('simDau.QM'!H35*'simDau.QM'!K35)</f>
        <v>0.9277373501280188</v>
      </c>
    </row>
    <row r="36" spans="2:11" ht="12.75">
      <c r="B36" s="43"/>
      <c r="H36" s="42"/>
      <c r="I36" s="42">
        <f>SQRT(1/E35)*I35</f>
        <v>0.0448208381374257</v>
      </c>
      <c r="J36" s="42">
        <f>SQRT(1/F35+1/C35)*J35</f>
        <v>0.03948415788291162</v>
      </c>
      <c r="K36" s="42">
        <f>($L$2*I36+$L$3*J36)/($L$2+$L$3)</f>
        <v>0.04252315471148218</v>
      </c>
    </row>
    <row r="37" spans="2:16" ht="12.75">
      <c r="B37" s="43" t="s">
        <v>42</v>
      </c>
      <c r="C37" s="41">
        <v>569</v>
      </c>
      <c r="D37" s="41">
        <v>57</v>
      </c>
      <c r="E37" s="41">
        <v>45</v>
      </c>
      <c r="F37" s="41">
        <v>29</v>
      </c>
      <c r="G37" s="41">
        <v>0.127</v>
      </c>
      <c r="H37" s="42">
        <f>D37/C37/G37</f>
        <v>0.7887854088537702</v>
      </c>
      <c r="I37" s="42">
        <f>E37/D37</f>
        <v>0.7894736842105263</v>
      </c>
      <c r="J37" s="42">
        <f>F37/D37</f>
        <v>0.5087719298245614</v>
      </c>
      <c r="K37" s="42">
        <f>(I37*$L$8+J37*$L$9)/($L$8+$L$9)</f>
        <v>0.6559167526659786</v>
      </c>
      <c r="O37" s="42">
        <f>(H37*K37)/(simDauDJ!H37*simDauDJ!K37)</f>
        <v>1</v>
      </c>
      <c r="P37" s="42">
        <f>(H37*K37)/('simDau.QM'!H37*'simDau.QM'!K37)</f>
        <v>1.0623302458388468</v>
      </c>
    </row>
    <row r="38" spans="2:11" ht="12.75">
      <c r="B38" s="43"/>
      <c r="H38" s="42"/>
      <c r="I38" s="42">
        <f>SQRT(1/E37)*I37</f>
        <v>0.11768778828946262</v>
      </c>
      <c r="J38" s="42">
        <f>SQRT(1/F37+1/C37)*J37</f>
        <v>0.09685423206942904</v>
      </c>
      <c r="K38" s="42">
        <f>($L$2*I38+$L$3*J38)/($L$2+$L$3)</f>
        <v>0.10871799535690997</v>
      </c>
    </row>
    <row r="39" spans="1:15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  <c r="O39" s="42"/>
    </row>
    <row r="41" ht="12.75">
      <c r="O41" s="42"/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B149"/>
  <sheetViews>
    <sheetView workbookViewId="0" topLeftCell="A1">
      <selection activeCell="K131" sqref="K131"/>
    </sheetView>
  </sheetViews>
  <sheetFormatPr defaultColWidth="9.140625" defaultRowHeight="12.75"/>
  <cols>
    <col min="1" max="2" width="5.421875" style="41" customWidth="1"/>
    <col min="3" max="3" width="4.7109375" style="41" customWidth="1"/>
    <col min="4" max="4" width="5.00390625" style="41" customWidth="1"/>
    <col min="5" max="5" width="7.7109375" style="145" customWidth="1"/>
    <col min="6" max="6" width="7.7109375" style="160" customWidth="1"/>
    <col min="7" max="7" width="7.57421875" style="41" customWidth="1"/>
    <col min="8" max="8" width="6.8515625" style="41" customWidth="1"/>
    <col min="9" max="10" width="8.7109375" style="41" customWidth="1"/>
    <col min="11" max="11" width="6.7109375" style="41" customWidth="1"/>
    <col min="12" max="12" width="7.57421875" style="41" customWidth="1"/>
    <col min="13" max="13" width="6.57421875" style="147" customWidth="1"/>
    <col min="14" max="14" width="6.57421875" style="172" customWidth="1"/>
    <col min="15" max="15" width="6.57421875" style="41" customWidth="1"/>
    <col min="16" max="16" width="6.00390625" style="41" customWidth="1"/>
    <col min="17" max="17" width="5.00390625" style="41" customWidth="1"/>
    <col min="18" max="20" width="7.28125" style="190" customWidth="1"/>
    <col min="21" max="21" width="8.00390625" style="41" customWidth="1"/>
    <col min="22" max="22" width="7.57421875" style="41" customWidth="1"/>
    <col min="23" max="23" width="4.28125" style="41" customWidth="1"/>
    <col min="24" max="24" width="7.8515625" style="147" customWidth="1"/>
    <col min="25" max="25" width="8.00390625" style="41" customWidth="1"/>
    <col min="26" max="16384" width="9.140625" style="41" customWidth="1"/>
  </cols>
  <sheetData>
    <row r="1" spans="7:24" ht="12.75">
      <c r="G1" s="84" t="s">
        <v>237</v>
      </c>
      <c r="H1" s="84" t="s">
        <v>237</v>
      </c>
      <c r="J1" s="84" t="s">
        <v>206</v>
      </c>
      <c r="K1" s="84" t="s">
        <v>206</v>
      </c>
      <c r="L1" s="84" t="s">
        <v>222</v>
      </c>
      <c r="P1" s="84" t="s">
        <v>207</v>
      </c>
      <c r="X1" s="149" t="s">
        <v>206</v>
      </c>
    </row>
    <row r="2" spans="5:25" ht="12.75">
      <c r="E2" s="162" t="s">
        <v>206</v>
      </c>
      <c r="F2" s="164" t="s">
        <v>206</v>
      </c>
      <c r="G2" s="84" t="s">
        <v>206</v>
      </c>
      <c r="H2" s="84" t="s">
        <v>206</v>
      </c>
      <c r="I2" s="84" t="s">
        <v>219</v>
      </c>
      <c r="J2" s="84" t="s">
        <v>220</v>
      </c>
      <c r="K2" s="177" t="s">
        <v>221</v>
      </c>
      <c r="L2" s="177" t="s">
        <v>223</v>
      </c>
      <c r="N2" s="173" t="s">
        <v>207</v>
      </c>
      <c r="O2" s="84" t="s">
        <v>207</v>
      </c>
      <c r="P2" s="84" t="s">
        <v>221</v>
      </c>
      <c r="Q2" s="84" t="s">
        <v>207</v>
      </c>
      <c r="R2" s="191" t="s">
        <v>240</v>
      </c>
      <c r="S2" s="191" t="s">
        <v>251</v>
      </c>
      <c r="T2" s="191" t="s">
        <v>251</v>
      </c>
      <c r="U2" s="84" t="s">
        <v>206</v>
      </c>
      <c r="V2" s="84" t="s">
        <v>209</v>
      </c>
      <c r="X2" s="149" t="s">
        <v>152</v>
      </c>
      <c r="Y2" s="84" t="s">
        <v>199</v>
      </c>
    </row>
    <row r="3" spans="1:25" s="40" customFormat="1" ht="12.75">
      <c r="A3" s="40" t="s">
        <v>149</v>
      </c>
      <c r="B3" s="40" t="s">
        <v>150</v>
      </c>
      <c r="C3" s="40" t="s">
        <v>197</v>
      </c>
      <c r="D3" s="40" t="s">
        <v>151</v>
      </c>
      <c r="E3" s="146" t="s">
        <v>152</v>
      </c>
      <c r="F3" s="120" t="s">
        <v>208</v>
      </c>
      <c r="G3" s="40" t="s">
        <v>172</v>
      </c>
      <c r="H3" s="40" t="s">
        <v>218</v>
      </c>
      <c r="I3" s="40" t="s">
        <v>152</v>
      </c>
      <c r="J3" s="40" t="s">
        <v>152</v>
      </c>
      <c r="K3" s="40" t="s">
        <v>152</v>
      </c>
      <c r="L3" s="40" t="s">
        <v>224</v>
      </c>
      <c r="M3" s="148" t="s">
        <v>196</v>
      </c>
      <c r="N3" s="174" t="s">
        <v>152</v>
      </c>
      <c r="O3" s="40" t="s">
        <v>208</v>
      </c>
      <c r="P3" s="40" t="s">
        <v>152</v>
      </c>
      <c r="Q3" s="40" t="s">
        <v>172</v>
      </c>
      <c r="R3" s="192" t="s">
        <v>241</v>
      </c>
      <c r="S3" s="192" t="s">
        <v>253</v>
      </c>
      <c r="T3" s="192" t="s">
        <v>252</v>
      </c>
      <c r="U3" s="40" t="s">
        <v>210</v>
      </c>
      <c r="V3" s="40" t="s">
        <v>152</v>
      </c>
      <c r="X3" s="148" t="s">
        <v>198</v>
      </c>
      <c r="Y3" s="40" t="s">
        <v>198</v>
      </c>
    </row>
    <row r="4" spans="1:26" s="115" customFormat="1" ht="12.75">
      <c r="A4" s="115" t="s">
        <v>142</v>
      </c>
      <c r="B4" s="115" t="s">
        <v>143</v>
      </c>
      <c r="C4" s="115" t="s">
        <v>144</v>
      </c>
      <c r="D4" s="115" t="s">
        <v>144</v>
      </c>
      <c r="E4" s="145">
        <v>158</v>
      </c>
      <c r="F4" s="115">
        <v>163</v>
      </c>
      <c r="G4" s="144">
        <v>187</v>
      </c>
      <c r="H4" s="144">
        <v>186</v>
      </c>
      <c r="I4" s="144">
        <v>160</v>
      </c>
      <c r="J4" s="144">
        <v>157</v>
      </c>
      <c r="K4" s="144">
        <v>151</v>
      </c>
      <c r="L4" s="144">
        <v>182</v>
      </c>
      <c r="M4" s="147">
        <f>rdaYQM!D55</f>
        <v>118</v>
      </c>
      <c r="N4" s="172">
        <v>148</v>
      </c>
      <c r="O4" s="144">
        <v>147</v>
      </c>
      <c r="P4" s="144">
        <v>143</v>
      </c>
      <c r="Q4" s="115">
        <v>167</v>
      </c>
      <c r="R4" s="193">
        <f>AVERAGE(E4,F4,I4,K4)</f>
        <v>158</v>
      </c>
      <c r="S4" s="193"/>
      <c r="T4" s="193"/>
      <c r="U4" s="179">
        <f>(G4-E4)/E4</f>
        <v>0.18354430379746836</v>
      </c>
      <c r="V4" s="143">
        <f>(N4-E4)/E4</f>
        <v>-0.06329113924050633</v>
      </c>
      <c r="X4" s="150">
        <f>E4/M4-1</f>
        <v>0.3389830508474576</v>
      </c>
      <c r="Y4" s="141">
        <f>simPp!L2-1</f>
        <v>0.3491706156643586</v>
      </c>
      <c r="Z4" s="169" t="s">
        <v>216</v>
      </c>
    </row>
    <row r="5" spans="5:25" ht="12.75">
      <c r="E5" s="145">
        <v>14</v>
      </c>
      <c r="F5" s="160">
        <v>14</v>
      </c>
      <c r="G5" s="41">
        <v>14</v>
      </c>
      <c r="H5" s="41">
        <v>14</v>
      </c>
      <c r="I5" s="41">
        <v>14</v>
      </c>
      <c r="J5" s="41">
        <v>14</v>
      </c>
      <c r="K5" s="41">
        <v>14</v>
      </c>
      <c r="L5" s="41">
        <v>14</v>
      </c>
      <c r="M5" s="147">
        <f>rdaYQM!D56</f>
        <v>12</v>
      </c>
      <c r="N5" s="172">
        <v>14</v>
      </c>
      <c r="O5" s="41">
        <v>15</v>
      </c>
      <c r="P5" s="41">
        <v>14</v>
      </c>
      <c r="Q5" s="41">
        <v>13</v>
      </c>
      <c r="R5" s="193">
        <f>SQRT(((MAX(E4:G4,I4:K4)-E4)/(2*SQRT(3)))^2+E5^2)</f>
        <v>16.312060977489427</v>
      </c>
      <c r="S5" s="202">
        <f>E5/E4</f>
        <v>0.08860759493670886</v>
      </c>
      <c r="T5" s="202">
        <f>SQRT(R5^2-E5^2)/R4</f>
        <v>0.05298467660284539</v>
      </c>
      <c r="U5" s="166"/>
      <c r="V5" s="166"/>
      <c r="Y5" s="122"/>
    </row>
    <row r="6" spans="3:25" ht="12.75">
      <c r="C6" s="41" t="s">
        <v>154</v>
      </c>
      <c r="D6" s="41" t="s">
        <v>144</v>
      </c>
      <c r="E6" s="145">
        <v>64</v>
      </c>
      <c r="F6" s="160">
        <v>61</v>
      </c>
      <c r="G6" s="41">
        <v>72</v>
      </c>
      <c r="H6" s="41">
        <v>66</v>
      </c>
      <c r="I6" s="41">
        <v>67</v>
      </c>
      <c r="J6" s="41">
        <v>64</v>
      </c>
      <c r="K6" s="41">
        <v>65</v>
      </c>
      <c r="M6" s="147">
        <f>rdaYQM!D59</f>
        <v>57</v>
      </c>
      <c r="N6" s="172">
        <v>65</v>
      </c>
      <c r="R6" s="193">
        <f>AVERAGE(E6,F6,I6,K6)</f>
        <v>64.25</v>
      </c>
      <c r="S6" s="193"/>
      <c r="T6" s="193"/>
      <c r="U6" s="166">
        <f>(G6-E6)/E6</f>
        <v>0.125</v>
      </c>
      <c r="V6" s="166">
        <f>(N6-E6)/E6</f>
        <v>0.015625</v>
      </c>
      <c r="X6" s="150">
        <f>E6/M6-1</f>
        <v>0.12280701754385959</v>
      </c>
      <c r="Y6" s="122">
        <f>simPp!L4-1</f>
        <v>0.27515264961134345</v>
      </c>
    </row>
    <row r="7" spans="5:25" ht="12.75">
      <c r="E7" s="145">
        <v>8</v>
      </c>
      <c r="F7" s="160">
        <v>8</v>
      </c>
      <c r="G7" s="41">
        <v>9</v>
      </c>
      <c r="H7" s="41">
        <v>8</v>
      </c>
      <c r="I7" s="41">
        <v>9</v>
      </c>
      <c r="J7" s="41">
        <v>8</v>
      </c>
      <c r="K7" s="41">
        <v>8</v>
      </c>
      <c r="M7" s="147">
        <f>rdaYQM!D60</f>
        <v>8</v>
      </c>
      <c r="N7" s="172">
        <v>8</v>
      </c>
      <c r="R7" s="193">
        <f>SQRT(((MAX(E6:G6,I6:K6)-E6)/(2*SQRT(3)))^2+E7^2)</f>
        <v>8.32666399786453</v>
      </c>
      <c r="S7" s="202">
        <f>E7/E6</f>
        <v>0.125</v>
      </c>
      <c r="T7" s="202">
        <f>SQRT(R7^2-E7^2)/R6</f>
        <v>0.035943985630482525</v>
      </c>
      <c r="U7" s="166"/>
      <c r="V7" s="166"/>
      <c r="Y7" s="122"/>
    </row>
    <row r="8" spans="3:25" ht="12.75">
      <c r="C8" s="41" t="s">
        <v>155</v>
      </c>
      <c r="D8" s="41" t="s">
        <v>144</v>
      </c>
      <c r="E8" s="145">
        <v>93</v>
      </c>
      <c r="F8" s="160">
        <v>101</v>
      </c>
      <c r="G8" s="41">
        <v>116</v>
      </c>
      <c r="H8" s="41">
        <v>123</v>
      </c>
      <c r="I8" s="41">
        <v>90</v>
      </c>
      <c r="J8" s="41">
        <v>92</v>
      </c>
      <c r="K8" s="41">
        <v>82</v>
      </c>
      <c r="M8" s="147">
        <f>rdaYQM!D63</f>
        <v>58</v>
      </c>
      <c r="N8" s="172">
        <v>82</v>
      </c>
      <c r="R8" s="193">
        <f>AVERAGE(E8,F8,I8,K8)</f>
        <v>91.5</v>
      </c>
      <c r="S8" s="193"/>
      <c r="T8" s="193"/>
      <c r="U8" s="166">
        <f>(G8-E8)/E8</f>
        <v>0.24731182795698925</v>
      </c>
      <c r="V8" s="166">
        <f>(N8-E8)/E8</f>
        <v>-0.11827956989247312</v>
      </c>
      <c r="X8" s="150">
        <f>E8/M8-1</f>
        <v>0.603448275862069</v>
      </c>
      <c r="Y8" s="122">
        <f>simPp!L6-1</f>
        <v>0.4259771574630806</v>
      </c>
    </row>
    <row r="9" spans="5:22" ht="12.75">
      <c r="E9" s="145">
        <v>11</v>
      </c>
      <c r="F9" s="160">
        <v>12</v>
      </c>
      <c r="G9" s="41">
        <v>11</v>
      </c>
      <c r="H9" s="41">
        <v>11</v>
      </c>
      <c r="I9" s="41">
        <v>11</v>
      </c>
      <c r="J9" s="41">
        <v>11</v>
      </c>
      <c r="K9" s="41">
        <v>10</v>
      </c>
      <c r="M9" s="147">
        <f>rdaYQM!D64</f>
        <v>9</v>
      </c>
      <c r="N9" s="172">
        <v>10</v>
      </c>
      <c r="R9" s="193">
        <f>SQRT(((MAX(E8:G8,I8:K8)-E8)/(2*SQRT(3)))^2+E9^2)</f>
        <v>12.848475914805357</v>
      </c>
      <c r="S9" s="202">
        <f>E9/E8</f>
        <v>0.11827956989247312</v>
      </c>
      <c r="T9" s="202">
        <f>SQRT(R9^2-E9^2)/R8</f>
        <v>0.07256314858667431</v>
      </c>
      <c r="U9" s="166"/>
      <c r="V9" s="166"/>
    </row>
    <row r="10" spans="18:20" ht="12.75">
      <c r="R10" s="194"/>
      <c r="S10" s="194"/>
      <c r="T10" s="194"/>
    </row>
    <row r="11" spans="1:26" s="115" customFormat="1" ht="12.75">
      <c r="A11" s="115" t="s">
        <v>142</v>
      </c>
      <c r="B11" s="115" t="s">
        <v>145</v>
      </c>
      <c r="C11" s="115" t="s">
        <v>144</v>
      </c>
      <c r="D11" s="115" t="s">
        <v>144</v>
      </c>
      <c r="E11" s="145">
        <v>294</v>
      </c>
      <c r="F11" s="115">
        <v>295</v>
      </c>
      <c r="G11" s="144">
        <v>344</v>
      </c>
      <c r="H11" s="144">
        <v>351</v>
      </c>
      <c r="I11" s="144">
        <v>293</v>
      </c>
      <c r="J11" s="144">
        <v>290</v>
      </c>
      <c r="K11" s="144">
        <v>277</v>
      </c>
      <c r="L11" s="144">
        <v>335</v>
      </c>
      <c r="M11" s="147">
        <f>rdaYQM!D67</f>
        <v>290</v>
      </c>
      <c r="N11" s="172">
        <v>317</v>
      </c>
      <c r="O11" s="115">
        <v>312</v>
      </c>
      <c r="P11" s="115">
        <v>305</v>
      </c>
      <c r="Q11" s="144">
        <v>347</v>
      </c>
      <c r="R11" s="193">
        <f>AVERAGE(E11,F11,I11,K11)</f>
        <v>289.75</v>
      </c>
      <c r="S11" s="193"/>
      <c r="T11" s="193"/>
      <c r="U11" s="168">
        <f>(G11-E11)/E11</f>
        <v>0.17006802721088435</v>
      </c>
      <c r="V11" s="143">
        <f>(N11-E11)/E11</f>
        <v>0.0782312925170068</v>
      </c>
      <c r="X11" s="150">
        <f>E11/M11-1</f>
        <v>0.01379310344827589</v>
      </c>
      <c r="Y11" s="141">
        <f>simPp!L8-1</f>
        <v>0.10978700044532608</v>
      </c>
      <c r="Z11" s="169" t="s">
        <v>216</v>
      </c>
    </row>
    <row r="12" spans="5:25" ht="12.75">
      <c r="E12" s="145">
        <v>20</v>
      </c>
      <c r="F12" s="160">
        <v>20</v>
      </c>
      <c r="G12" s="41">
        <v>19</v>
      </c>
      <c r="H12" s="41">
        <v>19</v>
      </c>
      <c r="I12" s="41">
        <v>19</v>
      </c>
      <c r="J12" s="41">
        <v>19</v>
      </c>
      <c r="K12" s="41">
        <v>19</v>
      </c>
      <c r="L12" s="41">
        <v>18</v>
      </c>
      <c r="M12" s="147">
        <f>rdaYQM!D68</f>
        <v>19</v>
      </c>
      <c r="N12" s="172">
        <v>19</v>
      </c>
      <c r="O12" s="41">
        <v>19</v>
      </c>
      <c r="P12" s="41">
        <v>20</v>
      </c>
      <c r="Q12" s="41">
        <v>19</v>
      </c>
      <c r="R12" s="193">
        <f>SQRT(((MAX(E11:G11,I11:K11)-E11)/(2*SQRT(3)))^2+E12^2)</f>
        <v>24.664414311581236</v>
      </c>
      <c r="S12" s="202">
        <f>E12/E11</f>
        <v>0.06802721088435375</v>
      </c>
      <c r="T12" s="202">
        <f>SQRT(R12^2-E12^2)/R11</f>
        <v>0.04981451848055442</v>
      </c>
      <c r="U12" s="166"/>
      <c r="V12" s="166"/>
      <c r="Y12" s="122"/>
    </row>
    <row r="13" spans="3:25" ht="12.75">
      <c r="C13" s="41" t="s">
        <v>154</v>
      </c>
      <c r="D13" s="41" t="s">
        <v>144</v>
      </c>
      <c r="E13" s="145">
        <v>156</v>
      </c>
      <c r="F13" s="160">
        <v>150</v>
      </c>
      <c r="G13" s="41">
        <v>181</v>
      </c>
      <c r="H13" s="41">
        <v>182</v>
      </c>
      <c r="I13" s="41">
        <v>158</v>
      </c>
      <c r="J13" s="41">
        <v>157</v>
      </c>
      <c r="K13" s="41">
        <v>164</v>
      </c>
      <c r="M13" s="147">
        <f>rdaYQM!D71</f>
        <v>201</v>
      </c>
      <c r="N13" s="172">
        <v>164</v>
      </c>
      <c r="R13" s="193">
        <f>AVERAGE(E13,F13,I13,K13)</f>
        <v>157</v>
      </c>
      <c r="S13" s="193"/>
      <c r="T13" s="193"/>
      <c r="U13" s="166">
        <f>(G13-E13)/E13</f>
        <v>0.16025641025641027</v>
      </c>
      <c r="V13" s="166">
        <f>(N13-E13)/E13</f>
        <v>0.05128205128205128</v>
      </c>
      <c r="X13" s="150">
        <f>E13/M13-1</f>
        <v>-0.22388059701492535</v>
      </c>
      <c r="Y13" s="122">
        <f>simPp!L10-1</f>
        <v>0.004982141168938581</v>
      </c>
    </row>
    <row r="14" spans="5:25" ht="12.75">
      <c r="E14" s="145">
        <v>14</v>
      </c>
      <c r="F14" s="160">
        <v>13</v>
      </c>
      <c r="G14" s="41">
        <v>14</v>
      </c>
      <c r="H14" s="41">
        <v>14</v>
      </c>
      <c r="I14" s="41">
        <v>14</v>
      </c>
      <c r="J14" s="41">
        <v>15</v>
      </c>
      <c r="K14" s="41">
        <v>14</v>
      </c>
      <c r="M14" s="147">
        <f>rdaYQM!D72</f>
        <v>15</v>
      </c>
      <c r="N14" s="172">
        <v>14</v>
      </c>
      <c r="R14" s="193">
        <f>SQRT(((MAX(E13:G13,I13:K13)-E13)/(2*SQRT(3)))^2+E14^2)</f>
        <v>15.75066136177568</v>
      </c>
      <c r="S14" s="202">
        <f>E14/E13</f>
        <v>0.08974358974358974</v>
      </c>
      <c r="T14" s="202">
        <f>SQRT(R14^2-E14^2)/R13</f>
        <v>0.045967378120193136</v>
      </c>
      <c r="U14" s="166"/>
      <c r="V14" s="166"/>
      <c r="Y14" s="151"/>
    </row>
    <row r="15" spans="3:25" ht="12.75">
      <c r="C15" s="41" t="s">
        <v>155</v>
      </c>
      <c r="D15" s="41" t="s">
        <v>144</v>
      </c>
      <c r="E15" s="145">
        <v>141</v>
      </c>
      <c r="F15" s="160">
        <v>135</v>
      </c>
      <c r="G15" s="41">
        <v>167</v>
      </c>
      <c r="H15" s="41">
        <v>172</v>
      </c>
      <c r="I15" s="41">
        <v>147</v>
      </c>
      <c r="J15" s="41">
        <v>141</v>
      </c>
      <c r="K15" s="41">
        <v>149</v>
      </c>
      <c r="M15" s="147">
        <f>rdaYQM!D75</f>
        <v>94</v>
      </c>
      <c r="N15" s="172">
        <v>149</v>
      </c>
      <c r="R15" s="193">
        <f>AVERAGE(E15,F15,I15,K15)</f>
        <v>143</v>
      </c>
      <c r="S15" s="193"/>
      <c r="T15" s="193"/>
      <c r="U15" s="166">
        <f>(G15-E15)/E15</f>
        <v>0.18439716312056736</v>
      </c>
      <c r="V15" s="166">
        <f>(N15-E15)/E15</f>
        <v>0.05673758865248227</v>
      </c>
      <c r="X15" s="150">
        <f>E15/M15-1</f>
        <v>0.5</v>
      </c>
      <c r="Y15" s="122">
        <f>simPp!L12-1</f>
        <v>0.20295670059204562</v>
      </c>
    </row>
    <row r="16" spans="5:22" ht="12.75">
      <c r="E16" s="145">
        <v>13</v>
      </c>
      <c r="F16" s="160">
        <v>12</v>
      </c>
      <c r="G16" s="41">
        <v>13</v>
      </c>
      <c r="H16" s="41">
        <v>13</v>
      </c>
      <c r="I16" s="41">
        <v>13</v>
      </c>
      <c r="J16" s="41">
        <v>13</v>
      </c>
      <c r="K16" s="41">
        <v>13</v>
      </c>
      <c r="M16" s="147">
        <f>rdaYQM!D76</f>
        <v>11</v>
      </c>
      <c r="N16" s="172">
        <v>14</v>
      </c>
      <c r="R16" s="193">
        <f>SQRT(((MAX(E15:G15,I15:K15)-E15)/(2*SQRT(3)))^2+E16^2)</f>
        <v>15.01110699893027</v>
      </c>
      <c r="S16" s="202">
        <f>E16/E15</f>
        <v>0.09219858156028368</v>
      </c>
      <c r="T16" s="202">
        <f>SQRT(R16^2-E16^2)/R15</f>
        <v>0.052486388108147805</v>
      </c>
      <c r="U16" s="166"/>
      <c r="V16" s="166"/>
    </row>
    <row r="17" spans="18:20" ht="12.75">
      <c r="R17" s="194"/>
      <c r="S17" s="194"/>
      <c r="T17" s="194"/>
    </row>
    <row r="18" spans="1:25" s="115" customFormat="1" ht="12.75">
      <c r="A18" s="115" t="s">
        <v>148</v>
      </c>
      <c r="B18" s="115" t="s">
        <v>143</v>
      </c>
      <c r="C18" s="115" t="s">
        <v>144</v>
      </c>
      <c r="D18" s="115" t="s">
        <v>144</v>
      </c>
      <c r="E18" s="145">
        <v>759</v>
      </c>
      <c r="F18" s="115">
        <v>781</v>
      </c>
      <c r="G18" s="115">
        <v>805</v>
      </c>
      <c r="H18" s="115">
        <v>897</v>
      </c>
      <c r="I18" s="115">
        <v>770</v>
      </c>
      <c r="J18" s="115">
        <v>752</v>
      </c>
      <c r="K18" s="115">
        <v>731</v>
      </c>
      <c r="L18" s="115">
        <v>792</v>
      </c>
      <c r="M18" s="147">
        <f>rdaYQM!D3</f>
        <v>578</v>
      </c>
      <c r="N18" s="176">
        <v>645</v>
      </c>
      <c r="O18" s="115">
        <v>685</v>
      </c>
      <c r="P18" s="115">
        <v>581</v>
      </c>
      <c r="Q18" s="115">
        <v>653</v>
      </c>
      <c r="R18" s="193">
        <f>AVERAGE(E18,F18,I18,K18)</f>
        <v>760.25</v>
      </c>
      <c r="S18" s="193"/>
      <c r="T18" s="193"/>
      <c r="U18" s="143">
        <f>(G18-E18)/E18</f>
        <v>0.06060606060606061</v>
      </c>
      <c r="V18" s="143">
        <f>(N18-E18)/E18</f>
        <v>-0.15019762845849802</v>
      </c>
      <c r="X18" s="150">
        <f>E18/M18-1</f>
        <v>0.31314878892733566</v>
      </c>
      <c r="Y18" s="141">
        <f>simDau!$P$2-1</f>
        <v>0.22487191492755798</v>
      </c>
    </row>
    <row r="19" spans="5:25" ht="12.75">
      <c r="E19" s="145">
        <v>29</v>
      </c>
      <c r="F19" s="160">
        <v>30</v>
      </c>
      <c r="G19" s="41">
        <v>30</v>
      </c>
      <c r="H19" s="41">
        <v>30</v>
      </c>
      <c r="I19" s="41">
        <v>31</v>
      </c>
      <c r="J19" s="41">
        <v>30</v>
      </c>
      <c r="K19" s="41">
        <v>30</v>
      </c>
      <c r="L19" s="41">
        <v>28</v>
      </c>
      <c r="M19" s="147">
        <f>rdaYQM!D4</f>
        <v>27</v>
      </c>
      <c r="N19" s="172">
        <v>28</v>
      </c>
      <c r="O19" s="41">
        <v>30</v>
      </c>
      <c r="P19" s="41">
        <v>28</v>
      </c>
      <c r="Q19" s="41">
        <v>26</v>
      </c>
      <c r="R19" s="193">
        <f>SQRT(((MAX(E18:G18,I18:K18)-E18)/(2*SQRT(3)))^2+E19^2)</f>
        <v>31.89566323708183</v>
      </c>
      <c r="S19" s="202">
        <f>E19/E18</f>
        <v>0.03820816864295125</v>
      </c>
      <c r="T19" s="202">
        <f>SQRT(R19^2-E19^2)/R18</f>
        <v>0.017466696733129092</v>
      </c>
      <c r="U19" s="166"/>
      <c r="V19" s="166"/>
      <c r="Y19" s="122"/>
    </row>
    <row r="20" spans="4:25" ht="12.75">
      <c r="D20" s="41" t="s">
        <v>146</v>
      </c>
      <c r="E20" s="145">
        <v>518</v>
      </c>
      <c r="F20" s="160">
        <v>547</v>
      </c>
      <c r="G20" s="41">
        <v>584</v>
      </c>
      <c r="H20" s="41">
        <v>664</v>
      </c>
      <c r="I20" s="41">
        <v>530</v>
      </c>
      <c r="J20" s="41">
        <v>506</v>
      </c>
      <c r="K20" s="41">
        <v>498</v>
      </c>
      <c r="N20" s="176">
        <v>450</v>
      </c>
      <c r="O20" s="41">
        <v>485</v>
      </c>
      <c r="Q20" s="41">
        <v>446</v>
      </c>
      <c r="R20" s="193">
        <f>AVERAGE(E20,F20,I20,K20)</f>
        <v>523.25</v>
      </c>
      <c r="S20" s="193"/>
      <c r="T20" s="193"/>
      <c r="U20" s="166">
        <f>(G20-E20)/E20</f>
        <v>0.1274131274131274</v>
      </c>
      <c r="V20" s="166">
        <f>(N20-E20)/E20</f>
        <v>-0.13127413127413126</v>
      </c>
      <c r="Y20" s="122"/>
    </row>
    <row r="21" spans="5:25" ht="12.75">
      <c r="E21" s="145">
        <v>26</v>
      </c>
      <c r="F21" s="160">
        <v>27</v>
      </c>
      <c r="G21" s="41">
        <v>25</v>
      </c>
      <c r="H21" s="41">
        <v>26</v>
      </c>
      <c r="I21" s="41">
        <v>25</v>
      </c>
      <c r="J21" s="41">
        <v>26</v>
      </c>
      <c r="K21" s="41">
        <v>26</v>
      </c>
      <c r="N21" s="172">
        <v>24</v>
      </c>
      <c r="O21" s="41">
        <v>26</v>
      </c>
      <c r="Q21" s="41">
        <v>40</v>
      </c>
      <c r="R21" s="193">
        <f>SQRT(((MAX(E20:G20,I20:K20)-E20)/(2*SQRT(3)))^2+E21^2)</f>
        <v>32.2335229225724</v>
      </c>
      <c r="S21" s="202">
        <f>E21/E20</f>
        <v>0.05019305019305019</v>
      </c>
      <c r="T21" s="202">
        <f>SQRT(R21^2-E21^2)/R20</f>
        <v>0.03641196155424301</v>
      </c>
      <c r="U21" s="166"/>
      <c r="V21" s="166"/>
      <c r="Y21" s="122"/>
    </row>
    <row r="22" spans="4:25" ht="12.75">
      <c r="D22" s="41" t="s">
        <v>147</v>
      </c>
      <c r="E22" s="145">
        <v>236</v>
      </c>
      <c r="F22" s="160">
        <v>235</v>
      </c>
      <c r="G22" s="41">
        <v>225</v>
      </c>
      <c r="H22" s="41">
        <v>237</v>
      </c>
      <c r="I22" s="41">
        <v>231</v>
      </c>
      <c r="J22" s="41">
        <v>235</v>
      </c>
      <c r="K22" s="41">
        <v>232</v>
      </c>
      <c r="N22" s="172">
        <v>203</v>
      </c>
      <c r="O22" s="41">
        <v>198</v>
      </c>
      <c r="Q22" s="41">
        <v>209</v>
      </c>
      <c r="R22" s="193">
        <f>AVERAGE(E22,F22,I22,K22)</f>
        <v>233.5</v>
      </c>
      <c r="S22" s="193"/>
      <c r="T22" s="193"/>
      <c r="U22" s="166">
        <f>(G22-E22)/E22</f>
        <v>-0.046610169491525424</v>
      </c>
      <c r="V22" s="166">
        <f>(N22-E22)/E22</f>
        <v>-0.13983050847457626</v>
      </c>
      <c r="Y22" s="122"/>
    </row>
    <row r="23" spans="5:25" ht="12.75">
      <c r="E23" s="145">
        <v>15</v>
      </c>
      <c r="F23" s="160">
        <v>15</v>
      </c>
      <c r="G23" s="41">
        <v>15</v>
      </c>
      <c r="H23" s="41">
        <v>15</v>
      </c>
      <c r="I23" s="41">
        <v>16</v>
      </c>
      <c r="J23" s="41">
        <v>16</v>
      </c>
      <c r="K23" s="41">
        <v>15</v>
      </c>
      <c r="N23" s="172">
        <v>15</v>
      </c>
      <c r="O23" s="41">
        <v>14</v>
      </c>
      <c r="Q23" s="41">
        <v>3</v>
      </c>
      <c r="R23" s="193">
        <f>SQRT(((MAX(E22:G22,I22:K22)-E22)/(2*SQRT(3)))^2+E23^2)</f>
        <v>15</v>
      </c>
      <c r="S23" s="202">
        <f>E23/E22</f>
        <v>0.0635593220338983</v>
      </c>
      <c r="T23" s="202">
        <f>SQRT(R23^2-E23^2)/R22</f>
        <v>0</v>
      </c>
      <c r="U23" s="166"/>
      <c r="V23" s="166"/>
      <c r="Y23" s="122"/>
    </row>
    <row r="24" spans="3:25" ht="12.75">
      <c r="C24" s="41" t="s">
        <v>154</v>
      </c>
      <c r="D24" s="41" t="s">
        <v>144</v>
      </c>
      <c r="E24" s="145">
        <v>274</v>
      </c>
      <c r="F24" s="160">
        <v>246</v>
      </c>
      <c r="G24" s="41">
        <v>301</v>
      </c>
      <c r="H24" s="41">
        <v>353</v>
      </c>
      <c r="I24" s="41">
        <v>274</v>
      </c>
      <c r="J24" s="41">
        <v>268</v>
      </c>
      <c r="K24" s="41">
        <v>219</v>
      </c>
      <c r="M24" s="147">
        <f>rdaYQM!D11</f>
        <v>211</v>
      </c>
      <c r="N24" s="176">
        <v>219</v>
      </c>
      <c r="P24" s="41">
        <v>207</v>
      </c>
      <c r="R24" s="193">
        <f>AVERAGE(E24,F24,I24,K24)</f>
        <v>253.25</v>
      </c>
      <c r="S24" s="193"/>
      <c r="T24" s="193"/>
      <c r="U24" s="166">
        <f>(G24-E24)/E24</f>
        <v>0.09854014598540146</v>
      </c>
      <c r="V24" s="166">
        <f>(N24-E24)/E24</f>
        <v>-0.20072992700729927</v>
      </c>
      <c r="X24" s="150">
        <f>E24/M24-1</f>
        <v>0.2985781990521328</v>
      </c>
      <c r="Y24" s="122">
        <f>simDau!P4-1</f>
        <v>0.18901030501577076</v>
      </c>
    </row>
    <row r="25" spans="5:25" ht="12.75">
      <c r="E25" s="145">
        <v>18</v>
      </c>
      <c r="F25" s="160">
        <v>16</v>
      </c>
      <c r="G25" s="41">
        <v>4</v>
      </c>
      <c r="H25" s="41">
        <v>19</v>
      </c>
      <c r="I25" s="41">
        <v>18</v>
      </c>
      <c r="J25" s="41">
        <v>18</v>
      </c>
      <c r="K25" s="41">
        <v>15</v>
      </c>
      <c r="M25" s="147">
        <f>rdaYQM!D12</f>
        <v>16</v>
      </c>
      <c r="N25" s="172">
        <v>15</v>
      </c>
      <c r="P25" s="41">
        <v>15</v>
      </c>
      <c r="R25" s="193">
        <f>SQRT(((MAX(E24:G24,I24:K24)-E24)/(2*SQRT(3)))^2+E25^2)</f>
        <v>19.615045245933032</v>
      </c>
      <c r="S25" s="202">
        <f>E25/E24</f>
        <v>0.06569343065693431</v>
      </c>
      <c r="T25" s="202">
        <f>SQRT(R25^2-E25^2)/R24</f>
        <v>0.030776815929160716</v>
      </c>
      <c r="U25" s="166"/>
      <c r="V25" s="166"/>
      <c r="Y25" s="122"/>
    </row>
    <row r="26" spans="4:25" ht="12.75">
      <c r="D26" s="41" t="s">
        <v>146</v>
      </c>
      <c r="E26" s="145">
        <v>189</v>
      </c>
      <c r="R26" s="193">
        <f>AVERAGE(E26,F26,I26,K26)</f>
        <v>189</v>
      </c>
      <c r="S26" s="193"/>
      <c r="T26" s="193"/>
      <c r="U26" s="166"/>
      <c r="V26" s="166"/>
      <c r="Y26" s="122"/>
    </row>
    <row r="27" spans="5:25" ht="12.75">
      <c r="E27" s="145">
        <v>15</v>
      </c>
      <c r="R27" s="193">
        <f>SQRT(((MAX(E26:G26,I26:K26)-E26)/(2*SQRT(3)))^2+E27^2)</f>
        <v>15</v>
      </c>
      <c r="S27" s="193"/>
      <c r="T27" s="202"/>
      <c r="U27" s="166"/>
      <c r="V27" s="166"/>
      <c r="Y27" s="122"/>
    </row>
    <row r="28" spans="4:25" ht="12.75">
      <c r="D28" s="41" t="s">
        <v>147</v>
      </c>
      <c r="E28" s="145">
        <v>79</v>
      </c>
      <c r="R28" s="193">
        <f>AVERAGE(E28,F28,I28,K28)</f>
        <v>79</v>
      </c>
      <c r="S28" s="193"/>
      <c r="T28" s="193"/>
      <c r="U28" s="166"/>
      <c r="V28" s="166"/>
      <c r="Y28" s="122"/>
    </row>
    <row r="29" spans="5:25" ht="12.75">
      <c r="E29" s="145">
        <v>9</v>
      </c>
      <c r="R29" s="193">
        <f>SQRT(((MAX(E28:G28,I28:K28)-E28)/(2*SQRT(3)))^2+E29^2)</f>
        <v>9</v>
      </c>
      <c r="S29" s="193"/>
      <c r="T29" s="202"/>
      <c r="U29" s="166"/>
      <c r="V29" s="166"/>
      <c r="Y29" s="122"/>
    </row>
    <row r="30" spans="3:25" ht="12.75">
      <c r="C30" s="41" t="s">
        <v>155</v>
      </c>
      <c r="D30" s="41" t="s">
        <v>144</v>
      </c>
      <c r="E30" s="145">
        <v>495</v>
      </c>
      <c r="F30" s="160">
        <v>471</v>
      </c>
      <c r="G30" s="41">
        <v>542</v>
      </c>
      <c r="H30" s="41">
        <v>547</v>
      </c>
      <c r="I30" s="41">
        <v>502</v>
      </c>
      <c r="J30" s="41">
        <v>492</v>
      </c>
      <c r="K30" s="41">
        <v>428</v>
      </c>
      <c r="M30" s="147">
        <f>rdaYQM!D19</f>
        <v>431</v>
      </c>
      <c r="N30" s="176">
        <v>428</v>
      </c>
      <c r="P30" s="41">
        <v>408</v>
      </c>
      <c r="R30" s="193">
        <f>AVERAGE(E30,F30,I30,K30)</f>
        <v>474</v>
      </c>
      <c r="S30" s="193"/>
      <c r="T30" s="193"/>
      <c r="U30" s="166">
        <f>(G30-E30)/E30</f>
        <v>0.09494949494949495</v>
      </c>
      <c r="V30" s="166">
        <f>(N30-E30)/E30</f>
        <v>-0.13535353535353536</v>
      </c>
      <c r="X30" s="150">
        <f>E30/M30-1</f>
        <v>0.14849187935034802</v>
      </c>
      <c r="Y30" s="122">
        <f>simDau!P6-1</f>
        <v>0.2579605216374341</v>
      </c>
    </row>
    <row r="31" spans="5:25" ht="12.75">
      <c r="E31" s="145">
        <v>24</v>
      </c>
      <c r="F31" s="160">
        <v>23</v>
      </c>
      <c r="G31" s="41">
        <v>24</v>
      </c>
      <c r="H31" s="41">
        <v>23</v>
      </c>
      <c r="I31" s="41">
        <v>24</v>
      </c>
      <c r="J31" s="41">
        <v>25</v>
      </c>
      <c r="K31" s="41">
        <v>23</v>
      </c>
      <c r="M31" s="147">
        <f>rdaYQM!D20</f>
        <v>23</v>
      </c>
      <c r="N31" s="172">
        <v>23</v>
      </c>
      <c r="P31" s="41">
        <v>21</v>
      </c>
      <c r="R31" s="193">
        <f>SQRT(((MAX(E30:G30,I30:K30)-E30)/(2*SQRT(3)))^2+E31^2)</f>
        <v>27.569608871605947</v>
      </c>
      <c r="S31" s="202">
        <f>E31/E30</f>
        <v>0.048484848484848485</v>
      </c>
      <c r="T31" s="202">
        <f>SQRT(R31^2-E31^2)/R30</f>
        <v>0.02862390575096246</v>
      </c>
      <c r="U31" s="166"/>
      <c r="V31" s="166"/>
      <c r="Y31" s="122"/>
    </row>
    <row r="32" spans="4:25" ht="12.75">
      <c r="D32" s="41" t="s">
        <v>146</v>
      </c>
      <c r="E32" s="145">
        <v>346</v>
      </c>
      <c r="R32" s="193">
        <f>AVERAGE(E32,F32,I32,K32)</f>
        <v>346</v>
      </c>
      <c r="S32" s="193"/>
      <c r="T32" s="193"/>
      <c r="U32" s="166"/>
      <c r="V32" s="166"/>
      <c r="Y32" s="122"/>
    </row>
    <row r="33" spans="5:25" ht="12.75">
      <c r="E33" s="145">
        <v>20</v>
      </c>
      <c r="R33" s="193">
        <f>SQRT(((MAX(E32:G32,I32:K32)-E32)/(2*SQRT(3)))^2+E33^2)</f>
        <v>20</v>
      </c>
      <c r="S33" s="193"/>
      <c r="T33" s="202"/>
      <c r="U33" s="166"/>
      <c r="V33" s="166"/>
      <c r="Y33" s="122"/>
    </row>
    <row r="34" spans="4:25" ht="12.75">
      <c r="D34" s="41" t="s">
        <v>147</v>
      </c>
      <c r="E34" s="145">
        <v>163</v>
      </c>
      <c r="R34" s="193">
        <f>AVERAGE(E34,F34,I34,K34)</f>
        <v>163</v>
      </c>
      <c r="S34" s="193"/>
      <c r="T34" s="193"/>
      <c r="U34" s="166"/>
      <c r="V34" s="166"/>
      <c r="Y34" s="122"/>
    </row>
    <row r="35" spans="5:25" ht="12.75">
      <c r="E35" s="145">
        <v>12</v>
      </c>
      <c r="R35" s="193">
        <f>SQRT(((MAX(E34:G34,I34:K34)-E34)/(2*SQRT(3)))^2+E35^2)</f>
        <v>12</v>
      </c>
      <c r="S35" s="193"/>
      <c r="T35" s="202"/>
      <c r="U35" s="166"/>
      <c r="V35" s="166"/>
      <c r="Y35" s="122"/>
    </row>
    <row r="36" spans="18:25" ht="12.75">
      <c r="R36" s="194"/>
      <c r="S36" s="194"/>
      <c r="T36" s="194"/>
      <c r="Y36" s="122"/>
    </row>
    <row r="37" spans="1:25" s="115" customFormat="1" ht="12.75">
      <c r="A37" s="115" t="s">
        <v>148</v>
      </c>
      <c r="B37" s="115" t="s">
        <v>145</v>
      </c>
      <c r="C37" s="115" t="s">
        <v>144</v>
      </c>
      <c r="D37" s="115" t="s">
        <v>144</v>
      </c>
      <c r="E37" s="145">
        <v>908</v>
      </c>
      <c r="F37" s="115">
        <v>873</v>
      </c>
      <c r="G37" s="115">
        <v>943</v>
      </c>
      <c r="H37" s="115">
        <v>976</v>
      </c>
      <c r="I37" s="115">
        <v>896</v>
      </c>
      <c r="J37" s="115">
        <v>913</v>
      </c>
      <c r="K37" s="115">
        <v>906</v>
      </c>
      <c r="L37" s="115">
        <v>892</v>
      </c>
      <c r="M37" s="147">
        <f>rdaYQM!D27</f>
        <v>784</v>
      </c>
      <c r="N37" s="176">
        <v>864</v>
      </c>
      <c r="O37" s="115">
        <v>841</v>
      </c>
      <c r="P37" s="115">
        <v>849</v>
      </c>
      <c r="Q37" s="144">
        <v>948</v>
      </c>
      <c r="R37" s="193">
        <f>AVERAGE(E37,F37,I37,K37)</f>
        <v>895.75</v>
      </c>
      <c r="S37" s="193"/>
      <c r="T37" s="193"/>
      <c r="U37" s="143">
        <f>(G37-E37)/E37</f>
        <v>0.03854625550660793</v>
      </c>
      <c r="V37" s="143">
        <f>(N37-E37)/E37</f>
        <v>-0.048458149779735685</v>
      </c>
      <c r="X37" s="150">
        <f>E37/M37-1</f>
        <v>0.15816326530612246</v>
      </c>
      <c r="Y37" s="141">
        <f>simDau!$P$8-1</f>
        <v>0.06942945402339196</v>
      </c>
    </row>
    <row r="38" spans="5:25" ht="12.75">
      <c r="E38" s="145">
        <v>34</v>
      </c>
      <c r="F38" s="160">
        <v>32</v>
      </c>
      <c r="G38" s="41">
        <v>31</v>
      </c>
      <c r="H38" s="41">
        <v>31</v>
      </c>
      <c r="I38" s="41">
        <v>33</v>
      </c>
      <c r="J38" s="41">
        <v>34</v>
      </c>
      <c r="K38" s="41">
        <v>33</v>
      </c>
      <c r="L38" s="41">
        <v>2</v>
      </c>
      <c r="M38" s="147">
        <f>rdaYQM!D28</f>
        <v>31</v>
      </c>
      <c r="N38" s="172">
        <v>31</v>
      </c>
      <c r="O38" s="41">
        <v>30</v>
      </c>
      <c r="P38" s="41">
        <v>30</v>
      </c>
      <c r="Q38" s="41">
        <v>31</v>
      </c>
      <c r="R38" s="193">
        <f>SQRT(((MAX(E37:G37,I37:K37)-E37)/(2*SQRT(3)))^2+E38^2)</f>
        <v>35.46947044055399</v>
      </c>
      <c r="S38" s="202">
        <f>E38/E37</f>
        <v>0.037444933920704845</v>
      </c>
      <c r="T38" s="202">
        <f>SQRT(R38^2-E38^2)/R37</f>
        <v>0.011279519632507338</v>
      </c>
      <c r="U38" s="166"/>
      <c r="V38" s="166"/>
      <c r="Y38" s="122"/>
    </row>
    <row r="39" spans="4:25" ht="12.75">
      <c r="D39" s="41" t="s">
        <v>146</v>
      </c>
      <c r="E39" s="145">
        <v>576</v>
      </c>
      <c r="F39" s="160">
        <v>549</v>
      </c>
      <c r="G39" s="41">
        <v>554</v>
      </c>
      <c r="H39" s="41">
        <v>585</v>
      </c>
      <c r="I39" s="41">
        <v>558</v>
      </c>
      <c r="J39" s="41">
        <v>560</v>
      </c>
      <c r="K39" s="41">
        <v>556</v>
      </c>
      <c r="N39" s="176">
        <v>517</v>
      </c>
      <c r="O39" s="41">
        <v>503</v>
      </c>
      <c r="Q39" s="167">
        <v>571</v>
      </c>
      <c r="R39" s="193">
        <f>AVERAGE(E39,F39,I39,K39)</f>
        <v>559.75</v>
      </c>
      <c r="S39" s="193"/>
      <c r="T39" s="193"/>
      <c r="U39" s="166">
        <f>(G39-E39)/E39</f>
        <v>-0.03819444444444445</v>
      </c>
      <c r="V39" s="166">
        <f>(N39-E39)/E39</f>
        <v>-0.10243055555555555</v>
      </c>
      <c r="Y39" s="122"/>
    </row>
    <row r="40" spans="5:25" ht="12.75">
      <c r="E40" s="145">
        <v>25</v>
      </c>
      <c r="F40" s="160">
        <v>23</v>
      </c>
      <c r="G40" s="41">
        <v>33</v>
      </c>
      <c r="H40" s="41">
        <v>24</v>
      </c>
      <c r="I40" s="41">
        <v>26</v>
      </c>
      <c r="J40" s="41">
        <v>27</v>
      </c>
      <c r="K40" s="41">
        <v>24</v>
      </c>
      <c r="N40" s="172">
        <v>25</v>
      </c>
      <c r="O40" s="41">
        <v>24</v>
      </c>
      <c r="Q40" s="41">
        <v>24</v>
      </c>
      <c r="R40" s="193">
        <f>SQRT(((MAX(E39:G39,I39:K39)-E39)/(2*SQRT(3)))^2+E40^2)</f>
        <v>25</v>
      </c>
      <c r="S40" s="202">
        <f>E40/E39</f>
        <v>0.043402777777777776</v>
      </c>
      <c r="T40" s="202">
        <f>SQRT(R40^2-E40^2)/R39</f>
        <v>0</v>
      </c>
      <c r="U40" s="166"/>
      <c r="V40" s="166"/>
      <c r="Y40" s="122"/>
    </row>
    <row r="41" spans="4:25" ht="12.75">
      <c r="D41" s="41" t="s">
        <v>147</v>
      </c>
      <c r="E41" s="145">
        <v>343</v>
      </c>
      <c r="F41" s="160">
        <v>342</v>
      </c>
      <c r="G41" s="41">
        <v>375</v>
      </c>
      <c r="H41" s="41">
        <v>391</v>
      </c>
      <c r="I41" s="41">
        <v>339</v>
      </c>
      <c r="J41" s="41">
        <v>355</v>
      </c>
      <c r="K41" s="41">
        <v>345</v>
      </c>
      <c r="N41" s="172">
        <v>341</v>
      </c>
      <c r="O41" s="41">
        <v>344</v>
      </c>
      <c r="Q41" s="41">
        <v>377</v>
      </c>
      <c r="R41" s="193">
        <f>AVERAGE(E41,F41,I41,K41)</f>
        <v>342.25</v>
      </c>
      <c r="S41" s="193"/>
      <c r="T41" s="193"/>
      <c r="U41" s="166">
        <f>(G41-E41)/E41</f>
        <v>0.09329446064139942</v>
      </c>
      <c r="V41" s="166">
        <f>(N41-E41)/E41</f>
        <v>-0.0058309037900874635</v>
      </c>
      <c r="Y41" s="122"/>
    </row>
    <row r="42" spans="5:22" ht="12.75">
      <c r="E42" s="145">
        <v>20</v>
      </c>
      <c r="F42" s="160">
        <v>20</v>
      </c>
      <c r="G42" s="41">
        <v>20</v>
      </c>
      <c r="H42" s="41">
        <v>20</v>
      </c>
      <c r="I42" s="41">
        <v>20</v>
      </c>
      <c r="J42" s="41">
        <v>21</v>
      </c>
      <c r="K42" s="41">
        <v>20</v>
      </c>
      <c r="N42" s="172">
        <v>21</v>
      </c>
      <c r="O42" s="41">
        <v>21</v>
      </c>
      <c r="Q42" s="41">
        <v>20</v>
      </c>
      <c r="R42" s="193">
        <f>SQRT(((MAX(E41:G41,I41:K41)-E41)/(2*SQRT(3)))^2+E42^2)</f>
        <v>22.03028218914441</v>
      </c>
      <c r="S42" s="202">
        <f>E42/E41</f>
        <v>0.05830903790087463</v>
      </c>
      <c r="T42" s="202">
        <f>SQRT(R42^2-E42^2)/R41</f>
        <v>0.02699080878607454</v>
      </c>
      <c r="U42" s="166"/>
      <c r="V42" s="166"/>
    </row>
    <row r="43" spans="3:25" ht="12.75">
      <c r="C43" s="41" t="s">
        <v>154</v>
      </c>
      <c r="D43" s="41" t="s">
        <v>144</v>
      </c>
      <c r="E43" s="145">
        <v>499</v>
      </c>
      <c r="F43" s="160">
        <v>506</v>
      </c>
      <c r="G43" s="41">
        <v>516</v>
      </c>
      <c r="H43" s="41">
        <v>538</v>
      </c>
      <c r="I43" s="41">
        <v>492</v>
      </c>
      <c r="J43" s="41">
        <v>503</v>
      </c>
      <c r="K43" s="41">
        <v>498</v>
      </c>
      <c r="M43" s="147">
        <f>rdaYQM!D35</f>
        <v>583</v>
      </c>
      <c r="N43" s="172">
        <v>498</v>
      </c>
      <c r="P43" s="41">
        <v>492</v>
      </c>
      <c r="R43" s="193">
        <f>AVERAGE(E43,F43,I43,K43)</f>
        <v>498.75</v>
      </c>
      <c r="S43" s="193"/>
      <c r="T43" s="193"/>
      <c r="U43" s="166">
        <f>(G43-E43)/E43</f>
        <v>0.03406813627254509</v>
      </c>
      <c r="V43" s="166">
        <f>(N43-E43)/E43</f>
        <v>-0.002004008016032064</v>
      </c>
      <c r="X43" s="150">
        <f>E43/M43-1</f>
        <v>-0.144082332761578</v>
      </c>
      <c r="Y43" s="122">
        <f>simDau!P10-1</f>
        <v>-0.042639340889047084</v>
      </c>
    </row>
    <row r="44" spans="5:22" ht="12.75">
      <c r="E44" s="145">
        <v>24</v>
      </c>
      <c r="F44" s="160">
        <v>24</v>
      </c>
      <c r="G44" s="41">
        <v>23</v>
      </c>
      <c r="H44" s="41">
        <v>23</v>
      </c>
      <c r="I44" s="41">
        <v>23</v>
      </c>
      <c r="J44" s="41">
        <v>25</v>
      </c>
      <c r="K44" s="41">
        <v>23</v>
      </c>
      <c r="M44" s="147">
        <f>rdaYQM!D36</f>
        <v>27</v>
      </c>
      <c r="N44" s="172">
        <v>23</v>
      </c>
      <c r="P44" s="41">
        <v>24</v>
      </c>
      <c r="R44" s="193">
        <f>SQRT(((MAX(E43:G43,I43:K43)-E43)/(2*SQRT(3)))^2+E44^2)</f>
        <v>24.496598403315783</v>
      </c>
      <c r="S44" s="202">
        <f>E44/E43</f>
        <v>0.04809619238476954</v>
      </c>
      <c r="T44" s="202">
        <f>SQRT(R44^2-E44^2)/R43</f>
        <v>0.009839553459873328</v>
      </c>
      <c r="U44" s="166"/>
      <c r="V44" s="166"/>
    </row>
    <row r="45" spans="4:22" ht="12.75">
      <c r="D45" s="41" t="s">
        <v>146</v>
      </c>
      <c r="E45" s="145">
        <v>309</v>
      </c>
      <c r="R45" s="193">
        <f>AVERAGE(E45,F45,I45,K45)</f>
        <v>309</v>
      </c>
      <c r="S45" s="193"/>
      <c r="T45" s="193"/>
      <c r="U45" s="166"/>
      <c r="V45" s="166"/>
    </row>
    <row r="46" spans="5:22" ht="12.75">
      <c r="E46" s="145">
        <v>17</v>
      </c>
      <c r="R46" s="193">
        <f>SQRT(((MAX(E45:G45,I45:K45)-E45)/(2*SQRT(3)))^2+E46^2)</f>
        <v>17</v>
      </c>
      <c r="S46" s="193"/>
      <c r="T46" s="193"/>
      <c r="U46" s="166"/>
      <c r="V46" s="166"/>
    </row>
    <row r="47" spans="4:22" ht="12.75">
      <c r="D47" s="41" t="s">
        <v>147</v>
      </c>
      <c r="E47" s="145">
        <v>204</v>
      </c>
      <c r="R47" s="193">
        <f>AVERAGE(E47,F47,I47,K47)</f>
        <v>204</v>
      </c>
      <c r="S47" s="193"/>
      <c r="T47" s="193"/>
      <c r="U47" s="166"/>
      <c r="V47" s="166"/>
    </row>
    <row r="48" spans="5:22" ht="12.75">
      <c r="E48" s="145">
        <v>15</v>
      </c>
      <c r="R48" s="193">
        <f>SQRT(((MAX(E47:G47,I47:K47)-E47)/(2*SQRT(3)))^2+E48^2)</f>
        <v>15</v>
      </c>
      <c r="S48" s="193"/>
      <c r="T48" s="193"/>
      <c r="U48" s="166"/>
      <c r="V48" s="166"/>
    </row>
    <row r="49" spans="3:25" ht="12.75">
      <c r="C49" s="41" t="s">
        <v>155</v>
      </c>
      <c r="D49" s="41" t="s">
        <v>144</v>
      </c>
      <c r="E49" s="145">
        <v>393</v>
      </c>
      <c r="F49" s="160">
        <v>375</v>
      </c>
      <c r="G49" s="41">
        <v>428</v>
      </c>
      <c r="H49" s="41">
        <v>439</v>
      </c>
      <c r="I49" s="41">
        <v>389</v>
      </c>
      <c r="J49" s="41">
        <v>411</v>
      </c>
      <c r="K49" s="41">
        <v>370</v>
      </c>
      <c r="M49" s="147">
        <f>rdaYQM!D43</f>
        <v>225</v>
      </c>
      <c r="N49" s="172">
        <v>370</v>
      </c>
      <c r="P49" s="41">
        <v>364</v>
      </c>
      <c r="R49" s="193">
        <f>AVERAGE(E49,F49,I49,K49)</f>
        <v>381.75</v>
      </c>
      <c r="S49" s="193"/>
      <c r="T49" s="202"/>
      <c r="U49" s="166">
        <f>(G49-E49)/E49</f>
        <v>0.089058524173028</v>
      </c>
      <c r="V49" s="166">
        <f>(N49-E49)/E49</f>
        <v>-0.058524173027989825</v>
      </c>
      <c r="X49" s="150">
        <f>E49/M49-1</f>
        <v>0.7466666666666666</v>
      </c>
      <c r="Y49" s="122">
        <f>simDau!P12-1</f>
        <v>0.15171571379565707</v>
      </c>
    </row>
    <row r="50" spans="5:22" ht="12.75">
      <c r="E50" s="145">
        <v>22</v>
      </c>
      <c r="F50" s="160">
        <v>21</v>
      </c>
      <c r="G50" s="41">
        <v>21</v>
      </c>
      <c r="H50" s="41">
        <v>21</v>
      </c>
      <c r="I50" s="41">
        <v>22</v>
      </c>
      <c r="J50" s="41">
        <v>23</v>
      </c>
      <c r="K50" s="41">
        <v>21</v>
      </c>
      <c r="M50" s="147">
        <f>rdaYQM!D44</f>
        <v>17</v>
      </c>
      <c r="N50" s="172">
        <v>21</v>
      </c>
      <c r="P50" s="41">
        <v>20</v>
      </c>
      <c r="R50" s="193">
        <f>SQRT(((MAX(E49:G49,I49:K49)-E49)/(2*SQRT(3)))^2+E50^2)</f>
        <v>24.20915804676679</v>
      </c>
      <c r="S50" s="202">
        <f>E50/E49</f>
        <v>0.05597964376590331</v>
      </c>
      <c r="T50" s="202">
        <f>SQRT(R50^2-E50^2)/R49</f>
        <v>0.026466613518843347</v>
      </c>
      <c r="U50" s="166"/>
      <c r="V50" s="166"/>
    </row>
    <row r="51" spans="4:22" ht="12.75">
      <c r="D51" s="41" t="s">
        <v>146</v>
      </c>
      <c r="E51" s="145">
        <v>248</v>
      </c>
      <c r="R51" s="193">
        <f>AVERAGE(E51,F51,I51,K51)</f>
        <v>248</v>
      </c>
      <c r="S51" s="193"/>
      <c r="T51" s="193"/>
      <c r="U51" s="166"/>
      <c r="V51" s="166"/>
    </row>
    <row r="52" spans="5:22" ht="12.75">
      <c r="E52" s="145">
        <v>17</v>
      </c>
      <c r="R52" s="193">
        <f>SQRT(((MAX(E51:G51,I51:K51)-E51)/(2*SQRT(3)))^2+E52^2)</f>
        <v>17</v>
      </c>
      <c r="S52" s="193"/>
      <c r="T52" s="193"/>
      <c r="U52" s="166"/>
      <c r="V52" s="166"/>
    </row>
    <row r="53" spans="4:22" ht="12.75">
      <c r="D53" s="41" t="s">
        <v>147</v>
      </c>
      <c r="E53" s="145">
        <v>143</v>
      </c>
      <c r="R53" s="193">
        <f>AVERAGE(E53,F53,I53,K53)</f>
        <v>143</v>
      </c>
      <c r="S53" s="193"/>
      <c r="T53" s="193"/>
      <c r="U53" s="166"/>
      <c r="V53" s="166"/>
    </row>
    <row r="54" spans="5:22" ht="12.75">
      <c r="E54" s="145">
        <v>13</v>
      </c>
      <c r="R54" s="193">
        <f>SQRT(((MAX(E53:G53,I53:K53)-E53)/(2*SQRT(3)))^2+E54^2)</f>
        <v>13</v>
      </c>
      <c r="S54" s="193"/>
      <c r="T54" s="193"/>
      <c r="U54" s="166"/>
      <c r="V54" s="166"/>
    </row>
    <row r="55" ht="12.75">
      <c r="P55" s="84" t="s">
        <v>207</v>
      </c>
    </row>
    <row r="56" spans="5:25" ht="12.75">
      <c r="E56" s="162" t="s">
        <v>206</v>
      </c>
      <c r="F56" s="164" t="s">
        <v>206</v>
      </c>
      <c r="G56" s="84" t="s">
        <v>206</v>
      </c>
      <c r="H56" s="84" t="s">
        <v>206</v>
      </c>
      <c r="I56" s="84" t="s">
        <v>219</v>
      </c>
      <c r="J56" s="84" t="s">
        <v>220</v>
      </c>
      <c r="K56" s="177" t="s">
        <v>221</v>
      </c>
      <c r="L56" s="177" t="s">
        <v>223</v>
      </c>
      <c r="N56" s="173" t="s">
        <v>207</v>
      </c>
      <c r="O56" s="84" t="s">
        <v>207</v>
      </c>
      <c r="P56" s="84" t="s">
        <v>221</v>
      </c>
      <c r="Q56" s="84" t="s">
        <v>207</v>
      </c>
      <c r="R56" s="191" t="s">
        <v>240</v>
      </c>
      <c r="S56" s="191"/>
      <c r="T56" s="191"/>
      <c r="U56" s="84" t="s">
        <v>206</v>
      </c>
      <c r="V56" s="84" t="s">
        <v>209</v>
      </c>
      <c r="X56" s="149" t="s">
        <v>152</v>
      </c>
      <c r="Y56" s="84" t="s">
        <v>199</v>
      </c>
    </row>
    <row r="57" spans="1:25" s="40" customFormat="1" ht="12.75">
      <c r="A57" s="40" t="s">
        <v>149</v>
      </c>
      <c r="B57" s="40" t="s">
        <v>150</v>
      </c>
      <c r="C57" s="40" t="s">
        <v>197</v>
      </c>
      <c r="D57" s="40" t="s">
        <v>151</v>
      </c>
      <c r="E57" s="146" t="s">
        <v>152</v>
      </c>
      <c r="F57" s="120" t="s">
        <v>208</v>
      </c>
      <c r="G57" s="40" t="s">
        <v>172</v>
      </c>
      <c r="H57" s="40" t="s">
        <v>218</v>
      </c>
      <c r="I57" s="40" t="s">
        <v>152</v>
      </c>
      <c r="J57" s="40" t="s">
        <v>152</v>
      </c>
      <c r="K57" s="40" t="s">
        <v>152</v>
      </c>
      <c r="L57" s="40" t="s">
        <v>224</v>
      </c>
      <c r="M57" s="148" t="s">
        <v>196</v>
      </c>
      <c r="N57" s="174" t="s">
        <v>152</v>
      </c>
      <c r="O57" s="40" t="s">
        <v>208</v>
      </c>
      <c r="P57" s="40" t="s">
        <v>152</v>
      </c>
      <c r="Q57" s="40" t="s">
        <v>172</v>
      </c>
      <c r="R57" s="192" t="s">
        <v>241</v>
      </c>
      <c r="S57" s="192"/>
      <c r="T57" s="192"/>
      <c r="U57" s="40" t="s">
        <v>210</v>
      </c>
      <c r="V57" s="40" t="s">
        <v>152</v>
      </c>
      <c r="X57" s="148" t="s">
        <v>198</v>
      </c>
      <c r="Y57" s="40" t="s">
        <v>198</v>
      </c>
    </row>
    <row r="58" spans="1:24" s="109" customFormat="1" ht="12.75">
      <c r="A58" s="109" t="s">
        <v>148</v>
      </c>
      <c r="B58" s="109" t="s">
        <v>143</v>
      </c>
      <c r="C58" s="109" t="s">
        <v>144</v>
      </c>
      <c r="E58" s="158">
        <f>E18</f>
        <v>759</v>
      </c>
      <c r="F58" s="109">
        <v>781</v>
      </c>
      <c r="G58" s="109">
        <v>805</v>
      </c>
      <c r="H58" s="109">
        <v>897</v>
      </c>
      <c r="I58" s="109">
        <v>770</v>
      </c>
      <c r="J58" s="109">
        <v>752</v>
      </c>
      <c r="K58" s="109">
        <v>731</v>
      </c>
      <c r="L58" s="109">
        <v>792</v>
      </c>
      <c r="M58" s="159">
        <v>578</v>
      </c>
      <c r="N58" s="175">
        <v>645</v>
      </c>
      <c r="P58" s="115">
        <v>581</v>
      </c>
      <c r="R58" s="193">
        <f>AVERAGE(E58,F58,I58,K58)</f>
        <v>760.25</v>
      </c>
      <c r="S58" s="193"/>
      <c r="T58" s="193"/>
      <c r="U58" s="143">
        <f aca="true" t="shared" si="0" ref="U58:U68">(G58-E58)/E58</f>
        <v>0.06060606060606061</v>
      </c>
      <c r="V58" s="143">
        <f>(N58-E58)/E58</f>
        <v>-0.15019762845849802</v>
      </c>
      <c r="X58" s="150">
        <f>E58/M58-1</f>
        <v>0.31314878892733566</v>
      </c>
    </row>
    <row r="59" spans="5:24" s="95" customFormat="1" ht="12.75">
      <c r="E59" s="158">
        <f>E19</f>
        <v>29</v>
      </c>
      <c r="F59" s="165">
        <v>30</v>
      </c>
      <c r="G59" s="95">
        <v>30</v>
      </c>
      <c r="H59" s="95">
        <v>30</v>
      </c>
      <c r="I59" s="95">
        <v>31</v>
      </c>
      <c r="J59" s="95">
        <v>30</v>
      </c>
      <c r="K59" s="95">
        <v>30</v>
      </c>
      <c r="L59" s="95">
        <v>28</v>
      </c>
      <c r="M59" s="159">
        <v>27</v>
      </c>
      <c r="N59" s="175">
        <v>28</v>
      </c>
      <c r="P59" s="41">
        <v>28</v>
      </c>
      <c r="R59" s="193">
        <f>SQRT(((MAX(E58:G58,I58:K58)-E58)/(2*SQRT(3)))^2+E59^2)</f>
        <v>31.89566323708183</v>
      </c>
      <c r="S59" s="202">
        <f>E59/E58</f>
        <v>0.03820816864295125</v>
      </c>
      <c r="T59" s="202">
        <f>SQRT(R59^2-E59^2)/R58</f>
        <v>0.017466696733129092</v>
      </c>
      <c r="U59" s="166"/>
      <c r="V59" s="166"/>
      <c r="X59" s="159"/>
    </row>
    <row r="60" spans="1:28" s="161" customFormat="1" ht="12.75">
      <c r="A60" s="160"/>
      <c r="B60" s="160"/>
      <c r="C60" s="160" t="s">
        <v>168</v>
      </c>
      <c r="D60" s="160"/>
      <c r="E60" s="145">
        <v>381</v>
      </c>
      <c r="F60" s="160">
        <v>396</v>
      </c>
      <c r="G60" s="160">
        <v>403</v>
      </c>
      <c r="H60" s="160">
        <v>454</v>
      </c>
      <c r="I60" s="160">
        <v>394</v>
      </c>
      <c r="J60" s="160">
        <v>364</v>
      </c>
      <c r="K60" s="160">
        <v>368</v>
      </c>
      <c r="L60" s="160">
        <v>396</v>
      </c>
      <c r="M60" s="147">
        <v>288</v>
      </c>
      <c r="N60" s="176">
        <v>290</v>
      </c>
      <c r="O60" s="160"/>
      <c r="P60" s="160">
        <v>263</v>
      </c>
      <c r="Q60" s="160"/>
      <c r="R60" s="193">
        <f>AVERAGE(E60,F60,I60,K60)</f>
        <v>384.75</v>
      </c>
      <c r="S60" s="193"/>
      <c r="T60" s="193"/>
      <c r="U60" s="166">
        <f t="shared" si="0"/>
        <v>0.05774278215223097</v>
      </c>
      <c r="V60" s="166">
        <f>(N60-E60)/E60</f>
        <v>-0.2388451443569554</v>
      </c>
      <c r="W60" s="160"/>
      <c r="X60" s="150">
        <f>E60/M60-1</f>
        <v>0.32291666666666674</v>
      </c>
      <c r="Y60" s="160"/>
      <c r="Z60" s="160"/>
      <c r="AA60" s="160"/>
      <c r="AB60" s="160"/>
    </row>
    <row r="61" spans="1:28" s="156" customFormat="1" ht="12.75">
      <c r="A61" s="41"/>
      <c r="B61" s="41"/>
      <c r="C61" s="41"/>
      <c r="D61" s="41"/>
      <c r="E61" s="145">
        <v>22</v>
      </c>
      <c r="F61" s="160">
        <v>22</v>
      </c>
      <c r="G61" s="41">
        <v>24</v>
      </c>
      <c r="H61" s="41">
        <v>21</v>
      </c>
      <c r="I61" s="41">
        <v>22</v>
      </c>
      <c r="J61" s="41">
        <v>22</v>
      </c>
      <c r="K61" s="41">
        <v>21</v>
      </c>
      <c r="L61" s="41">
        <v>20</v>
      </c>
      <c r="M61" s="147">
        <v>20</v>
      </c>
      <c r="N61" s="172">
        <v>19</v>
      </c>
      <c r="O61" s="41"/>
      <c r="P61" s="41">
        <v>18</v>
      </c>
      <c r="Q61" s="41"/>
      <c r="R61" s="193">
        <f>SQRT(((MAX(E60:G60,I60:K60)-E60)/(2*SQRT(3)))^2+E61^2)</f>
        <v>22.89832599412746</v>
      </c>
      <c r="S61" s="202">
        <f>E61/E60</f>
        <v>0.05774278215223097</v>
      </c>
      <c r="T61" s="202">
        <f>SQRT(R61^2-E61^2)/R60</f>
        <v>0.01650644044466767</v>
      </c>
      <c r="U61" s="166"/>
      <c r="V61" s="166"/>
      <c r="W61" s="41"/>
      <c r="X61" s="147"/>
      <c r="Y61" s="41"/>
      <c r="Z61" s="41"/>
      <c r="AA61" s="41"/>
      <c r="AB61" s="41"/>
    </row>
    <row r="62" spans="1:28" s="156" customFormat="1" ht="12.75">
      <c r="A62" s="41"/>
      <c r="B62" s="41"/>
      <c r="C62" s="41" t="s">
        <v>169</v>
      </c>
      <c r="D62" s="41"/>
      <c r="E62" s="145">
        <v>180</v>
      </c>
      <c r="F62" s="160">
        <v>186</v>
      </c>
      <c r="G62" s="41">
        <v>199</v>
      </c>
      <c r="H62" s="41">
        <v>209</v>
      </c>
      <c r="I62" s="41">
        <v>176</v>
      </c>
      <c r="J62" s="41">
        <v>182</v>
      </c>
      <c r="K62" s="41">
        <v>161</v>
      </c>
      <c r="L62" s="41">
        <v>193</v>
      </c>
      <c r="M62" s="147">
        <v>168</v>
      </c>
      <c r="N62" s="172">
        <v>164</v>
      </c>
      <c r="O62" s="41"/>
      <c r="P62" s="41">
        <v>146</v>
      </c>
      <c r="Q62" s="41"/>
      <c r="R62" s="193">
        <f>AVERAGE(E62,F62,I62,K62)</f>
        <v>175.75</v>
      </c>
      <c r="S62" s="193"/>
      <c r="T62" s="193"/>
      <c r="U62" s="166">
        <f t="shared" si="0"/>
        <v>0.10555555555555556</v>
      </c>
      <c r="V62" s="166">
        <f>(N62-E62)/E62</f>
        <v>-0.08888888888888889</v>
      </c>
      <c r="W62" s="41"/>
      <c r="X62" s="150">
        <f>E62/M62-1</f>
        <v>0.0714285714285714</v>
      </c>
      <c r="Y62" s="41"/>
      <c r="Z62" s="41"/>
      <c r="AA62" s="41"/>
      <c r="AB62" s="41"/>
    </row>
    <row r="63" spans="1:28" s="156" customFormat="1" ht="12.75">
      <c r="A63" s="41"/>
      <c r="B63" s="41"/>
      <c r="C63" s="41"/>
      <c r="D63" s="41"/>
      <c r="E63" s="145">
        <v>15</v>
      </c>
      <c r="F63" s="160">
        <v>15</v>
      </c>
      <c r="G63" s="41">
        <v>14</v>
      </c>
      <c r="H63" s="41">
        <v>15</v>
      </c>
      <c r="I63" s="41">
        <v>16</v>
      </c>
      <c r="J63" s="41">
        <v>15</v>
      </c>
      <c r="K63" s="41">
        <v>16</v>
      </c>
      <c r="L63" s="41">
        <v>14</v>
      </c>
      <c r="M63" s="147">
        <v>14</v>
      </c>
      <c r="N63" s="172">
        <v>13</v>
      </c>
      <c r="O63" s="41"/>
      <c r="P63" s="41">
        <v>13</v>
      </c>
      <c r="Q63" s="41"/>
      <c r="R63" s="193">
        <f>SQRT(((MAX(E62:G62,I62:K62)-E62)/(2*SQRT(3)))^2+E63^2)</f>
        <v>15.971328477410179</v>
      </c>
      <c r="S63" s="202">
        <f>E63/E62</f>
        <v>0.08333333333333333</v>
      </c>
      <c r="T63" s="202">
        <f>SQRT(R63^2-E63^2)/R62</f>
        <v>0.031208122658898697</v>
      </c>
      <c r="U63" s="166"/>
      <c r="V63" s="166"/>
      <c r="W63" s="41"/>
      <c r="X63" s="147"/>
      <c r="Y63" s="41"/>
      <c r="Z63" s="41"/>
      <c r="AA63" s="41"/>
      <c r="AB63" s="41"/>
    </row>
    <row r="64" spans="1:28" s="156" customFormat="1" ht="12.75">
      <c r="A64" s="41"/>
      <c r="B64" s="41"/>
      <c r="C64" s="41" t="s">
        <v>170</v>
      </c>
      <c r="D64" s="41"/>
      <c r="E64" s="145">
        <v>113</v>
      </c>
      <c r="F64" s="160">
        <v>111</v>
      </c>
      <c r="G64" s="41">
        <v>129</v>
      </c>
      <c r="H64" s="41">
        <v>142</v>
      </c>
      <c r="I64" s="41">
        <v>110</v>
      </c>
      <c r="J64" s="41">
        <v>120</v>
      </c>
      <c r="K64" s="41">
        <v>114</v>
      </c>
      <c r="L64" s="41">
        <v>124</v>
      </c>
      <c r="M64" s="147">
        <v>81</v>
      </c>
      <c r="N64" s="172">
        <v>115</v>
      </c>
      <c r="O64" s="41"/>
      <c r="P64" s="41">
        <v>116</v>
      </c>
      <c r="Q64" s="41"/>
      <c r="R64" s="193">
        <f>AVERAGE(E64,F64,I64,K64)</f>
        <v>112</v>
      </c>
      <c r="S64" s="193"/>
      <c r="T64" s="193"/>
      <c r="U64" s="166">
        <f t="shared" si="0"/>
        <v>0.1415929203539823</v>
      </c>
      <c r="V64" s="166">
        <f>(N64-E64)/E64</f>
        <v>0.017699115044247787</v>
      </c>
      <c r="W64" s="41"/>
      <c r="X64" s="150">
        <f>E64/M64-1</f>
        <v>0.3950617283950617</v>
      </c>
      <c r="Y64" s="41"/>
      <c r="Z64" s="41"/>
      <c r="AA64" s="41"/>
      <c r="AB64" s="41"/>
    </row>
    <row r="65" spans="1:28" s="156" customFormat="1" ht="12.75">
      <c r="A65" s="41"/>
      <c r="B65" s="41"/>
      <c r="C65" s="41"/>
      <c r="D65" s="41"/>
      <c r="E65" s="145">
        <v>12</v>
      </c>
      <c r="F65" s="160">
        <v>11</v>
      </c>
      <c r="G65" s="41">
        <v>12</v>
      </c>
      <c r="H65" s="41">
        <v>12</v>
      </c>
      <c r="I65" s="41">
        <v>12</v>
      </c>
      <c r="J65" s="41">
        <v>12</v>
      </c>
      <c r="K65" s="41">
        <v>12</v>
      </c>
      <c r="L65" s="41">
        <v>11</v>
      </c>
      <c r="M65" s="147">
        <v>11</v>
      </c>
      <c r="N65" s="172">
        <v>12</v>
      </c>
      <c r="O65" s="41"/>
      <c r="P65" s="41">
        <v>12</v>
      </c>
      <c r="Q65" s="41"/>
      <c r="R65" s="193">
        <f>SQRT(((MAX(E64:G64,I64:K64)-E64)/(2*SQRT(3)))^2+E65^2)</f>
        <v>12.858201014657274</v>
      </c>
      <c r="S65" s="202">
        <f>E65/E64</f>
        <v>0.10619469026548672</v>
      </c>
      <c r="T65" s="202">
        <f>SQRT(R65^2-E65^2)/R64</f>
        <v>0.04123930494211613</v>
      </c>
      <c r="U65" s="166"/>
      <c r="V65" s="166"/>
      <c r="W65" s="41"/>
      <c r="X65" s="147"/>
      <c r="Y65" s="41"/>
      <c r="Z65" s="41"/>
      <c r="AA65" s="41"/>
      <c r="AB65" s="41"/>
    </row>
    <row r="66" spans="1:28" s="156" customFormat="1" ht="12.75">
      <c r="A66" s="41"/>
      <c r="B66" s="41"/>
      <c r="C66" s="41" t="s">
        <v>171</v>
      </c>
      <c r="D66" s="41"/>
      <c r="E66" s="145">
        <v>89</v>
      </c>
      <c r="F66" s="160">
        <v>85</v>
      </c>
      <c r="G66" s="41">
        <v>91</v>
      </c>
      <c r="H66" s="41">
        <v>97</v>
      </c>
      <c r="I66" s="41">
        <v>88</v>
      </c>
      <c r="J66" s="41">
        <v>79</v>
      </c>
      <c r="K66" s="41">
        <v>89</v>
      </c>
      <c r="L66" s="41">
        <v>90</v>
      </c>
      <c r="M66" s="178">
        <v>50</v>
      </c>
      <c r="N66" s="172">
        <v>76</v>
      </c>
      <c r="O66" s="41"/>
      <c r="P66" s="41">
        <v>75</v>
      </c>
      <c r="Q66" s="41"/>
      <c r="R66" s="195">
        <f>(E66+F66+I66+K66)/4</f>
        <v>87.75</v>
      </c>
      <c r="S66" s="195"/>
      <c r="T66" s="195"/>
      <c r="U66" s="166">
        <f t="shared" si="0"/>
        <v>0.02247191011235955</v>
      </c>
      <c r="V66" s="166">
        <f>(N66-E66)/E66</f>
        <v>-0.14606741573033707</v>
      </c>
      <c r="W66" s="41"/>
      <c r="X66" s="150">
        <f>E66/M66-1</f>
        <v>0.78</v>
      </c>
      <c r="Y66" s="41"/>
      <c r="Z66" s="41"/>
      <c r="AA66" s="41"/>
      <c r="AB66" s="41"/>
    </row>
    <row r="67" spans="1:28" s="156" customFormat="1" ht="12.75">
      <c r="A67" s="41"/>
      <c r="B67" s="41"/>
      <c r="C67" s="41"/>
      <c r="D67" s="41"/>
      <c r="E67" s="145">
        <v>10</v>
      </c>
      <c r="F67" s="160">
        <v>10</v>
      </c>
      <c r="G67" s="41">
        <v>10</v>
      </c>
      <c r="H67" s="41">
        <v>10</v>
      </c>
      <c r="I67" s="41">
        <v>11</v>
      </c>
      <c r="J67" s="41">
        <v>10</v>
      </c>
      <c r="K67" s="41">
        <v>11</v>
      </c>
      <c r="L67" s="41">
        <v>10</v>
      </c>
      <c r="M67" s="147">
        <v>9</v>
      </c>
      <c r="N67" s="172">
        <v>9</v>
      </c>
      <c r="O67" s="41"/>
      <c r="P67" s="41">
        <v>10</v>
      </c>
      <c r="Q67" s="41"/>
      <c r="R67" s="193">
        <f>SQRT(((MAX(E66:G66,I66:K66)-E66)/(2*SQRT(3)))^2+E67^2)</f>
        <v>10.016652800877813</v>
      </c>
      <c r="S67" s="202">
        <f>E67/E66</f>
        <v>0.11235955056179775</v>
      </c>
      <c r="T67" s="202">
        <f>SQRT(R67^2-E67^2)/R66</f>
        <v>0.006579490247175175</v>
      </c>
      <c r="U67" s="166"/>
      <c r="V67" s="166"/>
      <c r="W67" s="41"/>
      <c r="X67" s="147"/>
      <c r="Y67" s="41"/>
      <c r="Z67" s="41"/>
      <c r="AA67" s="41"/>
      <c r="AB67" s="41"/>
    </row>
    <row r="68" spans="1:28" s="156" customFormat="1" ht="12.75">
      <c r="A68" s="41"/>
      <c r="B68" s="41"/>
      <c r="C68" s="41" t="s">
        <v>205</v>
      </c>
      <c r="D68" s="41"/>
      <c r="E68" s="145">
        <f aca="true" t="shared" si="1" ref="E68:P68">E60+E62+E64+E66</f>
        <v>763</v>
      </c>
      <c r="F68" s="160">
        <f t="shared" si="1"/>
        <v>778</v>
      </c>
      <c r="G68" s="160">
        <f t="shared" si="1"/>
        <v>822</v>
      </c>
      <c r="H68" s="160">
        <f t="shared" si="1"/>
        <v>902</v>
      </c>
      <c r="I68" s="160">
        <f t="shared" si="1"/>
        <v>768</v>
      </c>
      <c r="J68" s="160">
        <f t="shared" si="1"/>
        <v>745</v>
      </c>
      <c r="K68" s="160">
        <f t="shared" si="1"/>
        <v>732</v>
      </c>
      <c r="L68" s="160">
        <f t="shared" si="1"/>
        <v>803</v>
      </c>
      <c r="M68" s="147">
        <f t="shared" si="1"/>
        <v>587</v>
      </c>
      <c r="N68" s="172">
        <f t="shared" si="1"/>
        <v>645</v>
      </c>
      <c r="O68" s="41"/>
      <c r="P68" s="160">
        <f t="shared" si="1"/>
        <v>600</v>
      </c>
      <c r="Q68" s="41"/>
      <c r="R68" s="195"/>
      <c r="S68" s="195"/>
      <c r="T68" s="195"/>
      <c r="U68" s="166">
        <f t="shared" si="0"/>
        <v>0.07732634338138926</v>
      </c>
      <c r="V68" s="166">
        <f>(N68-E68)/E68</f>
        <v>-0.15465268676277852</v>
      </c>
      <c r="W68" s="41"/>
      <c r="X68" s="150"/>
      <c r="Y68" s="41"/>
      <c r="Z68" s="41"/>
      <c r="AA68" s="41"/>
      <c r="AB68" s="41"/>
    </row>
    <row r="69" spans="1:28" s="156" customFormat="1" ht="12.75">
      <c r="A69" s="41"/>
      <c r="B69" s="41"/>
      <c r="C69" s="41"/>
      <c r="D69" s="41"/>
      <c r="E69" s="145"/>
      <c r="F69" s="160"/>
      <c r="G69" s="41"/>
      <c r="H69" s="41"/>
      <c r="I69" s="41"/>
      <c r="J69" s="41"/>
      <c r="K69" s="41"/>
      <c r="L69" s="41"/>
      <c r="M69" s="147"/>
      <c r="N69" s="172"/>
      <c r="O69" s="41"/>
      <c r="P69" s="41"/>
      <c r="Q69" s="41"/>
      <c r="R69" s="190"/>
      <c r="S69" s="190"/>
      <c r="T69" s="190"/>
      <c r="U69" s="41"/>
      <c r="V69" s="41"/>
      <c r="W69" s="41"/>
      <c r="X69" s="147"/>
      <c r="Y69" s="41"/>
      <c r="Z69" s="41"/>
      <c r="AA69" s="41"/>
      <c r="AB69" s="41"/>
    </row>
    <row r="70" spans="1:28" s="157" customFormat="1" ht="12.75">
      <c r="A70" s="115" t="s">
        <v>148</v>
      </c>
      <c r="B70" s="115" t="s">
        <v>145</v>
      </c>
      <c r="C70" s="115" t="s">
        <v>144</v>
      </c>
      <c r="D70" s="115"/>
      <c r="E70" s="145">
        <f>E37</f>
        <v>908</v>
      </c>
      <c r="F70" s="115">
        <v>873</v>
      </c>
      <c r="G70" s="115">
        <v>942</v>
      </c>
      <c r="H70" s="115">
        <v>976</v>
      </c>
      <c r="I70" s="115">
        <v>896</v>
      </c>
      <c r="J70" s="115">
        <v>913</v>
      </c>
      <c r="K70" s="115">
        <v>906</v>
      </c>
      <c r="L70" s="115">
        <v>892</v>
      </c>
      <c r="M70" s="147">
        <v>784</v>
      </c>
      <c r="N70" s="172">
        <v>864</v>
      </c>
      <c r="O70" s="115"/>
      <c r="P70" s="115">
        <v>849</v>
      </c>
      <c r="Q70" s="115"/>
      <c r="R70" s="193">
        <f>AVERAGE(E70,F70,I70,K70)</f>
        <v>895.75</v>
      </c>
      <c r="S70" s="193"/>
      <c r="T70" s="193"/>
      <c r="U70" s="143">
        <f aca="true" t="shared" si="2" ref="U70:U80">(G70-E70)/E70</f>
        <v>0.037444933920704845</v>
      </c>
      <c r="V70" s="143">
        <f>(N70-E70)/E70</f>
        <v>-0.048458149779735685</v>
      </c>
      <c r="W70" s="115"/>
      <c r="X70" s="150">
        <f>E70/M70-1</f>
        <v>0.15816326530612246</v>
      </c>
      <c r="Y70" s="115"/>
      <c r="Z70" s="115"/>
      <c r="AA70" s="115"/>
      <c r="AB70" s="115"/>
    </row>
    <row r="71" spans="1:28" s="156" customFormat="1" ht="12.75">
      <c r="A71" s="41"/>
      <c r="B71" s="41"/>
      <c r="C71" s="41"/>
      <c r="D71" s="41"/>
      <c r="E71" s="145">
        <f>E38</f>
        <v>34</v>
      </c>
      <c r="F71" s="160">
        <v>32</v>
      </c>
      <c r="G71" s="41">
        <v>31</v>
      </c>
      <c r="H71" s="41">
        <v>31</v>
      </c>
      <c r="I71" s="41">
        <v>33</v>
      </c>
      <c r="J71" s="41">
        <v>34</v>
      </c>
      <c r="K71" s="41">
        <v>33</v>
      </c>
      <c r="L71" s="41">
        <v>2</v>
      </c>
      <c r="M71" s="147">
        <v>31</v>
      </c>
      <c r="N71" s="172">
        <v>31</v>
      </c>
      <c r="O71" s="41"/>
      <c r="P71" s="41">
        <v>30</v>
      </c>
      <c r="Q71" s="41"/>
      <c r="R71" s="193">
        <f>SQRT(((MAX(E70:G70,I70:K70)-E70)/(2*SQRT(3)))^2+E71^2)</f>
        <v>35.388321990924254</v>
      </c>
      <c r="S71" s="202">
        <f>E71/E70</f>
        <v>0.037444933920704845</v>
      </c>
      <c r="T71" s="202">
        <f>SQRT(R71^2-E71^2)/R70</f>
        <v>0.010957247643007127</v>
      </c>
      <c r="U71" s="166"/>
      <c r="V71" s="166"/>
      <c r="W71" s="41"/>
      <c r="X71" s="147"/>
      <c r="Y71" s="41"/>
      <c r="Z71" s="41"/>
      <c r="AA71" s="41"/>
      <c r="AB71" s="41"/>
    </row>
    <row r="72" spans="1:28" s="161" customFormat="1" ht="12.75">
      <c r="A72" s="160"/>
      <c r="B72" s="160"/>
      <c r="C72" s="160" t="s">
        <v>168</v>
      </c>
      <c r="D72" s="160"/>
      <c r="E72" s="145">
        <v>334</v>
      </c>
      <c r="F72" s="160">
        <v>321</v>
      </c>
      <c r="G72" s="160">
        <v>349</v>
      </c>
      <c r="H72" s="160">
        <v>361</v>
      </c>
      <c r="I72" s="160">
        <v>331</v>
      </c>
      <c r="J72" s="160">
        <v>345</v>
      </c>
      <c r="K72" s="160">
        <v>334</v>
      </c>
      <c r="L72" s="160"/>
      <c r="M72" s="147">
        <v>287</v>
      </c>
      <c r="N72" s="172">
        <v>354</v>
      </c>
      <c r="O72" s="160"/>
      <c r="P72" s="160">
        <v>347</v>
      </c>
      <c r="Q72" s="160"/>
      <c r="R72" s="193">
        <f>AVERAGE(E72,F72,I72,K72)</f>
        <v>330</v>
      </c>
      <c r="S72" s="193"/>
      <c r="T72" s="193"/>
      <c r="U72" s="166">
        <f t="shared" si="2"/>
        <v>0.04491017964071856</v>
      </c>
      <c r="V72" s="166">
        <f>(N72-E72)/E72</f>
        <v>0.059880239520958084</v>
      </c>
      <c r="W72" s="160"/>
      <c r="X72" s="150">
        <f>E72/M72-1</f>
        <v>0.16376306620209058</v>
      </c>
      <c r="Y72" s="160"/>
      <c r="Z72" s="160"/>
      <c r="AA72" s="160"/>
      <c r="AB72" s="160"/>
    </row>
    <row r="73" spans="1:28" s="156" customFormat="1" ht="12.75">
      <c r="A73" s="41"/>
      <c r="B73" s="41"/>
      <c r="C73" s="41"/>
      <c r="D73" s="41"/>
      <c r="E73" s="145">
        <v>20</v>
      </c>
      <c r="F73" s="160">
        <v>19</v>
      </c>
      <c r="G73" s="41">
        <v>19</v>
      </c>
      <c r="H73" s="41">
        <v>19</v>
      </c>
      <c r="I73" s="41">
        <v>20</v>
      </c>
      <c r="J73" s="41">
        <v>21</v>
      </c>
      <c r="K73" s="41">
        <v>20</v>
      </c>
      <c r="L73" s="41"/>
      <c r="M73" s="147">
        <v>19</v>
      </c>
      <c r="N73" s="172">
        <v>19</v>
      </c>
      <c r="O73" s="41"/>
      <c r="P73" s="41">
        <v>19</v>
      </c>
      <c r="Q73" s="41"/>
      <c r="R73" s="193">
        <f>SQRT(((MAX(E72:G72,I72:K72)-E72)/(2*SQRT(3)))^2+E73^2)</f>
        <v>20.463381929681123</v>
      </c>
      <c r="S73" s="202">
        <f>E73/E72</f>
        <v>0.059880239520958084</v>
      </c>
      <c r="T73" s="202">
        <f>SQRT(R73^2-E73^2)/R72</f>
        <v>0.013121597027036929</v>
      </c>
      <c r="U73" s="166"/>
      <c r="V73" s="166"/>
      <c r="W73" s="41"/>
      <c r="X73" s="147"/>
      <c r="Y73" s="41"/>
      <c r="Z73" s="41"/>
      <c r="AA73" s="41"/>
      <c r="AB73" s="41"/>
    </row>
    <row r="74" spans="1:28" s="156" customFormat="1" ht="12.75">
      <c r="A74" s="41"/>
      <c r="B74" s="41"/>
      <c r="C74" s="41" t="s">
        <v>169</v>
      </c>
      <c r="D74" s="41"/>
      <c r="E74" s="145">
        <v>261</v>
      </c>
      <c r="F74" s="160">
        <v>258</v>
      </c>
      <c r="G74" s="41">
        <v>249</v>
      </c>
      <c r="H74" s="41">
        <v>260</v>
      </c>
      <c r="I74" s="41">
        <v>267</v>
      </c>
      <c r="J74" s="41">
        <v>287</v>
      </c>
      <c r="K74" s="41">
        <v>271</v>
      </c>
      <c r="L74" s="41"/>
      <c r="M74" s="147">
        <v>241</v>
      </c>
      <c r="N74" s="172">
        <v>268</v>
      </c>
      <c r="O74" s="41"/>
      <c r="P74" s="41">
        <v>247</v>
      </c>
      <c r="Q74" s="41"/>
      <c r="R74" s="193">
        <f>AVERAGE(E74,F74,I74,K74)</f>
        <v>264.25</v>
      </c>
      <c r="S74" s="193"/>
      <c r="T74" s="193"/>
      <c r="U74" s="166">
        <f t="shared" si="2"/>
        <v>-0.04597701149425287</v>
      </c>
      <c r="V74" s="166">
        <f>(N74-E74)/E74</f>
        <v>0.02681992337164751</v>
      </c>
      <c r="W74" s="41"/>
      <c r="X74" s="150">
        <f>E74/M74-1</f>
        <v>0.08298755186721984</v>
      </c>
      <c r="Y74" s="41"/>
      <c r="Z74" s="41"/>
      <c r="AA74" s="41"/>
      <c r="AB74" s="41"/>
    </row>
    <row r="75" spans="1:28" s="156" customFormat="1" ht="12.75">
      <c r="A75" s="41"/>
      <c r="B75" s="41"/>
      <c r="C75" s="41"/>
      <c r="D75" s="41"/>
      <c r="E75" s="145">
        <v>16</v>
      </c>
      <c r="F75" s="160">
        <v>16</v>
      </c>
      <c r="G75" s="41">
        <v>47</v>
      </c>
      <c r="H75" s="41">
        <v>16</v>
      </c>
      <c r="I75" s="41">
        <v>17</v>
      </c>
      <c r="J75" s="41">
        <v>17</v>
      </c>
      <c r="K75" s="41">
        <v>17</v>
      </c>
      <c r="L75" s="41"/>
      <c r="M75" s="147">
        <v>17</v>
      </c>
      <c r="N75" s="172">
        <v>16</v>
      </c>
      <c r="O75" s="41"/>
      <c r="P75" s="41">
        <v>17</v>
      </c>
      <c r="Q75" s="41"/>
      <c r="R75" s="193">
        <f>SQRT(((MAX(E74:G74,I74:K74)-E74)/(2*SQRT(3)))^2+E75^2)</f>
        <v>17.67295485574875</v>
      </c>
      <c r="S75" s="202">
        <f>E75/E74</f>
        <v>0.06130268199233716</v>
      </c>
      <c r="T75" s="202">
        <f>SQRT(R75^2-E75^2)/R74</f>
        <v>0.028403229893907794</v>
      </c>
      <c r="U75" s="166"/>
      <c r="V75" s="166"/>
      <c r="W75" s="41"/>
      <c r="X75" s="147"/>
      <c r="Y75" s="41"/>
      <c r="Z75" s="41"/>
      <c r="AA75" s="41"/>
      <c r="AB75" s="41"/>
    </row>
    <row r="76" spans="1:28" s="156" customFormat="1" ht="12.75">
      <c r="A76" s="41"/>
      <c r="B76" s="41"/>
      <c r="C76" s="41" t="s">
        <v>170</v>
      </c>
      <c r="D76" s="41"/>
      <c r="E76" s="145">
        <v>181</v>
      </c>
      <c r="F76" s="160">
        <v>172</v>
      </c>
      <c r="G76" s="41">
        <v>194</v>
      </c>
      <c r="H76" s="41">
        <v>203</v>
      </c>
      <c r="I76" s="41">
        <v>176</v>
      </c>
      <c r="J76" s="41">
        <v>179</v>
      </c>
      <c r="K76" s="41">
        <v>193</v>
      </c>
      <c r="L76" s="41"/>
      <c r="M76" s="147">
        <v>146</v>
      </c>
      <c r="N76" s="172">
        <v>150</v>
      </c>
      <c r="O76" s="41"/>
      <c r="P76" s="41">
        <v>130</v>
      </c>
      <c r="Q76" s="41"/>
      <c r="R76" s="193">
        <f>AVERAGE(E76,F76,I76,K76)</f>
        <v>180.5</v>
      </c>
      <c r="S76" s="193"/>
      <c r="T76" s="193"/>
      <c r="U76" s="166">
        <f t="shared" si="2"/>
        <v>0.0718232044198895</v>
      </c>
      <c r="V76" s="166">
        <f>(N76-E76)/E76</f>
        <v>-0.1712707182320442</v>
      </c>
      <c r="W76" s="41"/>
      <c r="X76" s="150">
        <f>E76/M76-1</f>
        <v>0.23972602739726034</v>
      </c>
      <c r="Y76" s="41"/>
      <c r="Z76" s="41"/>
      <c r="AA76" s="41"/>
      <c r="AB76" s="41"/>
    </row>
    <row r="77" spans="1:28" s="156" customFormat="1" ht="12.75">
      <c r="A77" s="41"/>
      <c r="B77" s="41"/>
      <c r="C77" s="41"/>
      <c r="D77" s="41"/>
      <c r="E77" s="145">
        <v>15</v>
      </c>
      <c r="F77" s="160">
        <v>14</v>
      </c>
      <c r="G77" s="41">
        <v>14</v>
      </c>
      <c r="H77" s="41">
        <v>14</v>
      </c>
      <c r="I77" s="41">
        <v>15</v>
      </c>
      <c r="J77" s="41">
        <v>15</v>
      </c>
      <c r="K77" s="41">
        <v>14</v>
      </c>
      <c r="L77" s="41"/>
      <c r="M77" s="147">
        <v>14</v>
      </c>
      <c r="N77" s="172">
        <v>14</v>
      </c>
      <c r="O77" s="41"/>
      <c r="P77" s="41">
        <v>14</v>
      </c>
      <c r="Q77" s="41"/>
      <c r="R77" s="193">
        <f>SQRT(((MAX(E76:G76,I76:K76)-E76)/(2*SQRT(3)))^2+E77^2)</f>
        <v>15.462319791458633</v>
      </c>
      <c r="S77" s="202">
        <f>E77/E76</f>
        <v>0.08287292817679558</v>
      </c>
      <c r="T77" s="202">
        <f>SQRT(R77^2-E77^2)/R76</f>
        <v>0.02079100692372614</v>
      </c>
      <c r="U77" s="166"/>
      <c r="V77" s="166"/>
      <c r="W77" s="41"/>
      <c r="X77" s="147"/>
      <c r="Y77" s="41"/>
      <c r="Z77" s="41"/>
      <c r="AA77" s="41"/>
      <c r="AB77" s="41"/>
    </row>
    <row r="78" spans="1:28" s="156" customFormat="1" ht="12.75">
      <c r="A78" s="41"/>
      <c r="B78" s="41"/>
      <c r="C78" s="41" t="s">
        <v>171</v>
      </c>
      <c r="D78" s="41"/>
      <c r="E78" s="145">
        <v>135</v>
      </c>
      <c r="F78" s="160">
        <v>130</v>
      </c>
      <c r="G78" s="41">
        <v>158</v>
      </c>
      <c r="H78" s="41">
        <v>159</v>
      </c>
      <c r="I78" s="41">
        <v>138</v>
      </c>
      <c r="J78" s="41">
        <v>136</v>
      </c>
      <c r="K78" s="41">
        <v>140</v>
      </c>
      <c r="L78" s="41"/>
      <c r="M78" s="147">
        <v>117</v>
      </c>
      <c r="N78" s="172">
        <v>130</v>
      </c>
      <c r="O78" s="41"/>
      <c r="P78" s="41">
        <v>131</v>
      </c>
      <c r="Q78" s="41"/>
      <c r="R78" s="195">
        <f>(E78+F78+I78+K78)/4</f>
        <v>135.75</v>
      </c>
      <c r="S78" s="195"/>
      <c r="T78" s="195"/>
      <c r="U78" s="166">
        <f t="shared" si="2"/>
        <v>0.17037037037037037</v>
      </c>
      <c r="V78" s="166">
        <f>(N78-E78)/E78</f>
        <v>-0.037037037037037035</v>
      </c>
      <c r="W78" s="41"/>
      <c r="X78" s="150">
        <f>E78/M78-1</f>
        <v>0.15384615384615374</v>
      </c>
      <c r="Y78" s="41"/>
      <c r="Z78" s="41"/>
      <c r="AA78" s="41"/>
      <c r="AB78" s="41"/>
    </row>
    <row r="79" spans="1:28" s="156" customFormat="1" ht="12.75">
      <c r="A79" s="41"/>
      <c r="B79" s="41"/>
      <c r="C79" s="41"/>
      <c r="D79" s="41"/>
      <c r="E79" s="145">
        <v>13</v>
      </c>
      <c r="F79" s="160">
        <v>12</v>
      </c>
      <c r="G79" s="41">
        <v>13</v>
      </c>
      <c r="H79" s="41">
        <v>13</v>
      </c>
      <c r="I79" s="41">
        <v>14</v>
      </c>
      <c r="J79" s="41">
        <v>14</v>
      </c>
      <c r="K79" s="41">
        <v>13</v>
      </c>
      <c r="L79" s="41"/>
      <c r="M79" s="147">
        <v>12</v>
      </c>
      <c r="N79" s="172">
        <v>13</v>
      </c>
      <c r="O79" s="41"/>
      <c r="P79" s="41">
        <v>13</v>
      </c>
      <c r="Q79" s="41"/>
      <c r="R79" s="193">
        <f>SQRT(((MAX(E78:G78,I78:K78)-E78)/(2*SQRT(3)))^2+E79^2)</f>
        <v>14.597374193098338</v>
      </c>
      <c r="S79" s="202">
        <f>E79/E78</f>
        <v>0.0962962962962963</v>
      </c>
      <c r="T79" s="202">
        <f>SQRT(R79^2-E79^2)/R78</f>
        <v>0.048909967555658906</v>
      </c>
      <c r="U79" s="166"/>
      <c r="V79" s="166"/>
      <c r="W79" s="41"/>
      <c r="X79" s="147"/>
      <c r="Y79" s="41"/>
      <c r="Z79" s="41"/>
      <c r="AA79" s="41"/>
      <c r="AB79" s="41"/>
    </row>
    <row r="80" spans="3:24" ht="12.75">
      <c r="C80" s="41" t="s">
        <v>205</v>
      </c>
      <c r="E80" s="145">
        <f aca="true" t="shared" si="3" ref="E80:P80">E72+E74+E76+E78</f>
        <v>911</v>
      </c>
      <c r="F80" s="160">
        <f t="shared" si="3"/>
        <v>881</v>
      </c>
      <c r="G80" s="160">
        <f t="shared" si="3"/>
        <v>950</v>
      </c>
      <c r="H80" s="160">
        <f t="shared" si="3"/>
        <v>983</v>
      </c>
      <c r="I80" s="160">
        <f t="shared" si="3"/>
        <v>912</v>
      </c>
      <c r="J80" s="160">
        <f t="shared" si="3"/>
        <v>947</v>
      </c>
      <c r="K80" s="160">
        <f t="shared" si="3"/>
        <v>938</v>
      </c>
      <c r="L80" s="160"/>
      <c r="M80" s="147">
        <f t="shared" si="3"/>
        <v>791</v>
      </c>
      <c r="N80" s="172">
        <f t="shared" si="3"/>
        <v>902</v>
      </c>
      <c r="P80" s="160">
        <f t="shared" si="3"/>
        <v>855</v>
      </c>
      <c r="R80" s="195"/>
      <c r="S80" s="195"/>
      <c r="T80" s="195"/>
      <c r="U80" s="166">
        <f t="shared" si="2"/>
        <v>0.042810098792535674</v>
      </c>
      <c r="V80" s="166">
        <f>(N80-E80)/E80</f>
        <v>-0.009879253567508232</v>
      </c>
      <c r="X80" s="150"/>
    </row>
    <row r="81" spans="7:24" ht="12.75">
      <c r="G81" s="160"/>
      <c r="H81" s="160"/>
      <c r="I81" s="160"/>
      <c r="J81" s="160"/>
      <c r="K81" s="160"/>
      <c r="L81" s="160"/>
      <c r="P81" s="164" t="s">
        <v>207</v>
      </c>
      <c r="R81" s="194"/>
      <c r="S81" s="194"/>
      <c r="T81" s="194"/>
      <c r="U81" s="166"/>
      <c r="V81" s="166"/>
      <c r="X81" s="150"/>
    </row>
    <row r="82" spans="5:24" ht="12.75">
      <c r="E82" s="162" t="s">
        <v>206</v>
      </c>
      <c r="F82" s="164" t="s">
        <v>206</v>
      </c>
      <c r="G82" s="84" t="s">
        <v>206</v>
      </c>
      <c r="H82" s="84" t="s">
        <v>206</v>
      </c>
      <c r="I82" s="84" t="s">
        <v>219</v>
      </c>
      <c r="J82" s="84" t="s">
        <v>220</v>
      </c>
      <c r="K82" s="177" t="s">
        <v>221</v>
      </c>
      <c r="L82" s="177" t="s">
        <v>223</v>
      </c>
      <c r="N82" s="173" t="s">
        <v>207</v>
      </c>
      <c r="O82" s="84" t="s">
        <v>207</v>
      </c>
      <c r="P82" s="84" t="s">
        <v>221</v>
      </c>
      <c r="Q82" s="84" t="s">
        <v>207</v>
      </c>
      <c r="R82" s="191" t="s">
        <v>240</v>
      </c>
      <c r="S82" s="191"/>
      <c r="T82" s="191"/>
      <c r="U82" s="84" t="s">
        <v>206</v>
      </c>
      <c r="V82" s="84" t="s">
        <v>209</v>
      </c>
      <c r="X82" s="150"/>
    </row>
    <row r="83" spans="1:22" ht="12.75">
      <c r="A83" s="40" t="s">
        <v>149</v>
      </c>
      <c r="B83" s="40" t="s">
        <v>150</v>
      </c>
      <c r="C83" s="40" t="s">
        <v>197</v>
      </c>
      <c r="D83" s="40" t="s">
        <v>151</v>
      </c>
      <c r="E83" s="146" t="s">
        <v>152</v>
      </c>
      <c r="F83" s="120" t="s">
        <v>208</v>
      </c>
      <c r="G83" s="40" t="s">
        <v>172</v>
      </c>
      <c r="H83" s="40" t="s">
        <v>218</v>
      </c>
      <c r="I83" s="40" t="s">
        <v>152</v>
      </c>
      <c r="J83" s="40" t="s">
        <v>152</v>
      </c>
      <c r="K83" s="40" t="s">
        <v>152</v>
      </c>
      <c r="L83" s="40" t="s">
        <v>224</v>
      </c>
      <c r="M83" s="148" t="s">
        <v>196</v>
      </c>
      <c r="N83" s="174" t="s">
        <v>152</v>
      </c>
      <c r="O83" s="40" t="s">
        <v>208</v>
      </c>
      <c r="P83" s="40" t="s">
        <v>152</v>
      </c>
      <c r="Q83" s="40" t="s">
        <v>172</v>
      </c>
      <c r="R83" s="192" t="s">
        <v>241</v>
      </c>
      <c r="S83" s="192"/>
      <c r="T83" s="192"/>
      <c r="U83" s="40" t="s">
        <v>210</v>
      </c>
      <c r="V83" s="40" t="s">
        <v>152</v>
      </c>
    </row>
    <row r="84" spans="1:24" ht="12.75">
      <c r="A84" s="109" t="s">
        <v>142</v>
      </c>
      <c r="B84" s="109" t="s">
        <v>143</v>
      </c>
      <c r="C84" s="109" t="s">
        <v>157</v>
      </c>
      <c r="D84" s="109"/>
      <c r="E84" s="145">
        <v>71</v>
      </c>
      <c r="F84" s="160">
        <v>65</v>
      </c>
      <c r="G84" s="41">
        <v>70</v>
      </c>
      <c r="I84" s="41">
        <v>77</v>
      </c>
      <c r="J84" s="41">
        <v>67</v>
      </c>
      <c r="K84" s="41">
        <v>71</v>
      </c>
      <c r="M84" s="147">
        <v>48</v>
      </c>
      <c r="R84" s="193">
        <f>AVERAGE(E84,F84,I84,K84)</f>
        <v>71</v>
      </c>
      <c r="S84" s="193"/>
      <c r="T84" s="193"/>
      <c r="X84" s="150">
        <f>E84/M84-1</f>
        <v>0.47916666666666674</v>
      </c>
    </row>
    <row r="85" spans="1:20" ht="12.75">
      <c r="A85" s="95"/>
      <c r="B85" s="95"/>
      <c r="C85" s="95"/>
      <c r="D85" s="95"/>
      <c r="E85" s="145">
        <v>8</v>
      </c>
      <c r="F85" s="160">
        <v>8</v>
      </c>
      <c r="G85" s="41">
        <v>2</v>
      </c>
      <c r="I85" s="41">
        <v>9</v>
      </c>
      <c r="J85" s="41">
        <v>8</v>
      </c>
      <c r="K85" s="41">
        <v>8</v>
      </c>
      <c r="M85" s="147">
        <v>7</v>
      </c>
      <c r="R85" s="193">
        <f>SQRT(((MAX(E84:G84,I84:K84)-E84)/(2*SQRT(3)))^2+E85^2)</f>
        <v>8.18535277187245</v>
      </c>
      <c r="S85" s="202">
        <f>E85/E84</f>
        <v>0.11267605633802817</v>
      </c>
      <c r="T85" s="202">
        <f>SQRT(R85^2-E85^2)/R84</f>
        <v>0.02439508179674475</v>
      </c>
    </row>
    <row r="86" spans="1:24" ht="12.75">
      <c r="A86" s="160"/>
      <c r="B86" s="160"/>
      <c r="C86" s="160" t="s">
        <v>158</v>
      </c>
      <c r="D86" s="160"/>
      <c r="E86" s="145">
        <v>61</v>
      </c>
      <c r="F86" s="160">
        <v>56</v>
      </c>
      <c r="G86" s="41">
        <v>74</v>
      </c>
      <c r="I86" s="41">
        <v>62</v>
      </c>
      <c r="J86" s="41">
        <v>51</v>
      </c>
      <c r="K86" s="41">
        <v>60</v>
      </c>
      <c r="M86" s="147">
        <v>43</v>
      </c>
      <c r="R86" s="193">
        <f>AVERAGE(E86,F86,I86,K86)</f>
        <v>59.75</v>
      </c>
      <c r="S86" s="193"/>
      <c r="T86" s="193"/>
      <c r="X86" s="150">
        <f>E86/M86-1</f>
        <v>0.4186046511627908</v>
      </c>
    </row>
    <row r="87" spans="5:20" ht="12.75">
      <c r="E87" s="145">
        <v>8</v>
      </c>
      <c r="F87" s="160">
        <v>8</v>
      </c>
      <c r="G87" s="41">
        <v>9</v>
      </c>
      <c r="I87" s="41">
        <v>9</v>
      </c>
      <c r="J87" s="41">
        <v>8</v>
      </c>
      <c r="K87" s="41">
        <v>8</v>
      </c>
      <c r="M87" s="147">
        <v>7</v>
      </c>
      <c r="R87" s="193">
        <f>SQRT(((MAX(E86:G86,I86:K86)-E86)/(2*SQRT(3)))^2+E87^2)</f>
        <v>8.836477427874375</v>
      </c>
      <c r="S87" s="202">
        <f>E87/E86</f>
        <v>0.13114754098360656</v>
      </c>
      <c r="T87" s="202">
        <f>SQRT(R87^2-E87^2)/R86</f>
        <v>0.06280797907502204</v>
      </c>
    </row>
    <row r="88" spans="3:24" ht="12.75">
      <c r="C88" s="41" t="s">
        <v>159</v>
      </c>
      <c r="E88" s="145">
        <v>14</v>
      </c>
      <c r="F88" s="160">
        <v>12</v>
      </c>
      <c r="G88" s="41">
        <v>23</v>
      </c>
      <c r="I88" s="41">
        <v>14</v>
      </c>
      <c r="J88" s="41">
        <v>25</v>
      </c>
      <c r="K88" s="41">
        <v>13</v>
      </c>
      <c r="M88" s="147">
        <v>15</v>
      </c>
      <c r="R88" s="193">
        <f>AVERAGE(E88,F88,I88,K88)</f>
        <v>13.25</v>
      </c>
      <c r="S88" s="193"/>
      <c r="T88" s="193"/>
      <c r="X88" s="150">
        <f>E88/M88-1</f>
        <v>-0.06666666666666665</v>
      </c>
    </row>
    <row r="89" spans="5:20" ht="12.75">
      <c r="E89" s="145">
        <v>4</v>
      </c>
      <c r="F89" s="160">
        <v>4</v>
      </c>
      <c r="G89" s="41">
        <v>5</v>
      </c>
      <c r="I89" s="41">
        <v>5</v>
      </c>
      <c r="J89" s="41">
        <v>6</v>
      </c>
      <c r="K89" s="41">
        <v>5</v>
      </c>
      <c r="M89" s="147">
        <v>5</v>
      </c>
      <c r="R89" s="193">
        <f>SQRT(((MAX(E88:G88,I88:K88)-E88)/(2*SQRT(3)))^2+E89^2)</f>
        <v>5.107184482014854</v>
      </c>
      <c r="S89" s="202">
        <f>E89/E88</f>
        <v>0.2857142857142857</v>
      </c>
      <c r="T89" s="202">
        <f>SQRT(R89^2-E89^2)/R88</f>
        <v>0.23965482872022198</v>
      </c>
    </row>
    <row r="90" spans="3:24" ht="12.75">
      <c r="C90" s="41" t="s">
        <v>160</v>
      </c>
      <c r="E90" s="145">
        <v>10</v>
      </c>
      <c r="F90" s="160">
        <v>9</v>
      </c>
      <c r="G90" s="41">
        <v>13</v>
      </c>
      <c r="I90" s="41">
        <v>7</v>
      </c>
      <c r="J90" s="41">
        <v>11</v>
      </c>
      <c r="K90" s="41">
        <v>13</v>
      </c>
      <c r="M90" s="147">
        <v>7</v>
      </c>
      <c r="R90" s="193">
        <f>AVERAGE(E90,F90,I90,K90)</f>
        <v>9.75</v>
      </c>
      <c r="S90" s="193"/>
      <c r="T90" s="193"/>
      <c r="X90" s="150">
        <f>E90/M90-1</f>
        <v>0.4285714285714286</v>
      </c>
    </row>
    <row r="91" spans="5:20" ht="12.75">
      <c r="E91" s="145">
        <v>4</v>
      </c>
      <c r="F91" s="160">
        <v>3</v>
      </c>
      <c r="G91" s="41">
        <v>4</v>
      </c>
      <c r="I91" s="41">
        <v>4</v>
      </c>
      <c r="J91" s="41">
        <v>4</v>
      </c>
      <c r="K91" s="41">
        <v>4</v>
      </c>
      <c r="M91" s="147">
        <v>3</v>
      </c>
      <c r="R91" s="193">
        <f>SQRT(((MAX(E90:G90,I90:K90)-E90)/(2*SQRT(3)))^2+E91^2)</f>
        <v>4.092676385936225</v>
      </c>
      <c r="S91" s="202">
        <f>E91/E90</f>
        <v>0.4</v>
      </c>
      <c r="T91" s="202">
        <f>SQRT(R91^2-E91^2)/R90</f>
        <v>0.0888231183368655</v>
      </c>
    </row>
    <row r="92" spans="3:24" ht="12.75">
      <c r="C92" s="41" t="s">
        <v>161</v>
      </c>
      <c r="E92" s="145">
        <v>2</v>
      </c>
      <c r="F92" s="160">
        <v>4</v>
      </c>
      <c r="G92" s="41">
        <v>5</v>
      </c>
      <c r="I92" s="41">
        <v>2</v>
      </c>
      <c r="J92" s="41">
        <v>5</v>
      </c>
      <c r="K92" s="41">
        <v>1</v>
      </c>
      <c r="M92" s="147">
        <v>2</v>
      </c>
      <c r="R92" s="195">
        <f>(E92+F92+I92+K92)/4</f>
        <v>2.25</v>
      </c>
      <c r="S92" s="195"/>
      <c r="T92" s="195"/>
      <c r="X92" s="150">
        <f>E92/M92-1</f>
        <v>0</v>
      </c>
    </row>
    <row r="93" spans="5:20" ht="12.75">
      <c r="E93" s="145">
        <v>2</v>
      </c>
      <c r="F93" s="160">
        <v>5</v>
      </c>
      <c r="G93" s="41">
        <v>2</v>
      </c>
      <c r="I93" s="41">
        <v>2</v>
      </c>
      <c r="J93" s="41">
        <v>3</v>
      </c>
      <c r="K93" s="41">
        <v>2</v>
      </c>
      <c r="M93" s="147">
        <v>2</v>
      </c>
      <c r="R93" s="193">
        <f>SQRT(((MAX(E92:G92,I92:K92)-E92)/(2*SQRT(3)))^2+E93^2)</f>
        <v>2.179449471770337</v>
      </c>
      <c r="S93" s="202">
        <f>E93/E92</f>
        <v>1</v>
      </c>
      <c r="T93" s="202">
        <f>SQRT(R93^2-E93^2)/R92</f>
        <v>0.38490017945975075</v>
      </c>
    </row>
    <row r="94" spans="1:24" ht="12.75">
      <c r="A94" s="109" t="s">
        <v>142</v>
      </c>
      <c r="B94" s="109" t="s">
        <v>145</v>
      </c>
      <c r="C94" s="109" t="s">
        <v>157</v>
      </c>
      <c r="D94" s="109"/>
      <c r="E94" s="145">
        <v>121</v>
      </c>
      <c r="F94" s="160">
        <v>122</v>
      </c>
      <c r="G94" s="41">
        <v>133</v>
      </c>
      <c r="I94" s="41">
        <v>127</v>
      </c>
      <c r="J94" s="41">
        <v>115</v>
      </c>
      <c r="K94" s="41">
        <v>105</v>
      </c>
      <c r="M94" s="147">
        <v>121</v>
      </c>
      <c r="R94" s="193">
        <f>AVERAGE(E94,F94,I94,K94)</f>
        <v>118.75</v>
      </c>
      <c r="S94" s="193"/>
      <c r="T94" s="193"/>
      <c r="X94" s="150">
        <f>E94/M94-1</f>
        <v>0</v>
      </c>
    </row>
    <row r="95" spans="1:20" ht="12.75">
      <c r="A95" s="95"/>
      <c r="B95" s="95"/>
      <c r="C95" s="95"/>
      <c r="D95" s="95"/>
      <c r="E95" s="145">
        <v>12</v>
      </c>
      <c r="F95" s="160">
        <v>12</v>
      </c>
      <c r="G95" s="41">
        <v>12</v>
      </c>
      <c r="I95" s="41">
        <v>12</v>
      </c>
      <c r="J95" s="41">
        <v>12</v>
      </c>
      <c r="K95" s="41">
        <v>15</v>
      </c>
      <c r="M95" s="147">
        <v>12</v>
      </c>
      <c r="R95" s="193">
        <f>SQRT(((MAX(E94:G94,I94:K94)-E94)/(2*SQRT(3)))^2+E95^2)</f>
        <v>12.489995996796797</v>
      </c>
      <c r="S95" s="202">
        <f>E95/E94</f>
        <v>0.09917355371900827</v>
      </c>
      <c r="T95" s="202">
        <f>SQRT(R95^2-E95^2)/R94</f>
        <v>0.02917138202221267</v>
      </c>
    </row>
    <row r="96" spans="1:24" ht="12.75">
      <c r="A96" s="160"/>
      <c r="B96" s="160"/>
      <c r="C96" s="160" t="s">
        <v>158</v>
      </c>
      <c r="D96" s="160"/>
      <c r="E96" s="145">
        <v>126</v>
      </c>
      <c r="F96" s="160">
        <v>118</v>
      </c>
      <c r="G96" s="41">
        <v>147</v>
      </c>
      <c r="I96" s="41">
        <v>126</v>
      </c>
      <c r="J96" s="41">
        <v>130</v>
      </c>
      <c r="K96" s="41">
        <v>125</v>
      </c>
      <c r="M96" s="147">
        <v>124</v>
      </c>
      <c r="R96" s="193">
        <f>AVERAGE(E96,F96,I96,K96)</f>
        <v>123.75</v>
      </c>
      <c r="S96" s="193"/>
      <c r="T96" s="193"/>
      <c r="X96" s="150">
        <f>E96/M96-1</f>
        <v>0.016129032258064502</v>
      </c>
    </row>
    <row r="97" spans="5:20" ht="12.75">
      <c r="E97" s="145">
        <v>12</v>
      </c>
      <c r="F97" s="160">
        <v>11</v>
      </c>
      <c r="G97" s="41">
        <v>12</v>
      </c>
      <c r="I97" s="41">
        <v>12</v>
      </c>
      <c r="J97" s="41">
        <v>12</v>
      </c>
      <c r="K97" s="41">
        <v>12</v>
      </c>
      <c r="M97" s="147">
        <v>12</v>
      </c>
      <c r="R97" s="193">
        <f>SQRT(((MAX(E96:G96,I96:K96)-E96)/(2*SQRT(3)))^2+E97^2)</f>
        <v>13.444329659748751</v>
      </c>
      <c r="S97" s="202">
        <f>E97/E96</f>
        <v>0.09523809523809523</v>
      </c>
      <c r="T97" s="202">
        <f>SQRT(R97^2-E97^2)/R96</f>
        <v>0.048987295567604595</v>
      </c>
    </row>
    <row r="98" spans="3:24" ht="12.75">
      <c r="C98" s="41" t="s">
        <v>159</v>
      </c>
      <c r="E98" s="145">
        <v>34</v>
      </c>
      <c r="F98" s="160">
        <v>33</v>
      </c>
      <c r="G98" s="41">
        <v>50</v>
      </c>
      <c r="I98" s="41">
        <v>39</v>
      </c>
      <c r="J98" s="41">
        <v>40</v>
      </c>
      <c r="K98" s="41">
        <v>34</v>
      </c>
      <c r="M98" s="147">
        <v>47</v>
      </c>
      <c r="R98" s="193">
        <f>AVERAGE(E98,F98,I98,K98)</f>
        <v>35</v>
      </c>
      <c r="S98" s="193"/>
      <c r="T98" s="193"/>
      <c r="X98" s="150">
        <f>E98/M98-1</f>
        <v>-0.276595744680851</v>
      </c>
    </row>
    <row r="99" spans="5:20" ht="12.75">
      <c r="E99" s="145">
        <v>7</v>
      </c>
      <c r="F99" s="160">
        <v>6</v>
      </c>
      <c r="G99" s="41">
        <v>7</v>
      </c>
      <c r="I99" s="41">
        <v>9</v>
      </c>
      <c r="J99" s="41">
        <v>7</v>
      </c>
      <c r="K99" s="41">
        <v>7</v>
      </c>
      <c r="M99" s="147">
        <v>9</v>
      </c>
      <c r="R99" s="193">
        <f>SQRT(((MAX(E98:G98,I98:K98)-E98)/(2*SQRT(3)))^2+E99^2)</f>
        <v>8.386497083606084</v>
      </c>
      <c r="S99" s="202">
        <f>E99/E98</f>
        <v>0.20588235294117646</v>
      </c>
      <c r="T99" s="202">
        <f>SQRT(R99^2-E99^2)/R98</f>
        <v>0.13196577581477167</v>
      </c>
    </row>
    <row r="100" spans="3:24" ht="12.75">
      <c r="C100" s="41" t="s">
        <v>160</v>
      </c>
      <c r="E100" s="145">
        <v>13</v>
      </c>
      <c r="F100" s="160">
        <v>11</v>
      </c>
      <c r="G100" s="41">
        <v>19</v>
      </c>
      <c r="I100" s="41">
        <v>13</v>
      </c>
      <c r="J100" s="41">
        <v>12</v>
      </c>
      <c r="K100" s="41">
        <v>13</v>
      </c>
      <c r="M100" s="147">
        <v>17</v>
      </c>
      <c r="R100" s="193">
        <f>AVERAGE(E100,F100,I100,K100)</f>
        <v>12.5</v>
      </c>
      <c r="S100" s="193"/>
      <c r="T100" s="193"/>
      <c r="X100" s="150">
        <f>E100/M100-1</f>
        <v>-0.23529411764705888</v>
      </c>
    </row>
    <row r="101" spans="5:20" ht="12.75">
      <c r="E101" s="145">
        <v>4</v>
      </c>
      <c r="F101" s="160">
        <v>4</v>
      </c>
      <c r="G101" s="41">
        <v>4</v>
      </c>
      <c r="I101" s="41">
        <v>4</v>
      </c>
      <c r="J101" s="41">
        <v>5</v>
      </c>
      <c r="K101" s="41">
        <v>4</v>
      </c>
      <c r="M101" s="147">
        <v>5</v>
      </c>
      <c r="R101" s="193">
        <f>SQRT(((MAX(E100:G100,I100:K100)-E100)/(2*SQRT(3)))^2+E101^2)</f>
        <v>4.358898943540674</v>
      </c>
      <c r="S101" s="202">
        <f>E101/E100</f>
        <v>0.3076923076923077</v>
      </c>
      <c r="T101" s="202">
        <f>SQRT(R101^2-E101^2)/R100</f>
        <v>0.13856406460551027</v>
      </c>
    </row>
    <row r="102" spans="3:24" ht="12.75">
      <c r="C102" s="41" t="s">
        <v>161</v>
      </c>
      <c r="E102" s="145">
        <v>3</v>
      </c>
      <c r="F102" s="160">
        <v>3</v>
      </c>
      <c r="G102" s="41">
        <v>0</v>
      </c>
      <c r="I102" s="41">
        <v>3</v>
      </c>
      <c r="J102" s="41">
        <v>3</v>
      </c>
      <c r="K102" s="41">
        <v>3</v>
      </c>
      <c r="M102" s="147">
        <v>4</v>
      </c>
      <c r="R102" s="195">
        <f>(E102+F102+I102+K102)/4</f>
        <v>3</v>
      </c>
      <c r="S102" s="195"/>
      <c r="T102" s="195"/>
      <c r="X102" s="150">
        <f>E102/M102-1</f>
        <v>-0.25</v>
      </c>
    </row>
    <row r="103" spans="5:20" ht="12.75">
      <c r="E103" s="145">
        <v>2</v>
      </c>
      <c r="F103" s="160">
        <v>2</v>
      </c>
      <c r="G103" s="41">
        <v>0</v>
      </c>
      <c r="I103" s="41">
        <v>2</v>
      </c>
      <c r="J103" s="41">
        <v>2</v>
      </c>
      <c r="K103" s="41">
        <v>2</v>
      </c>
      <c r="M103" s="147">
        <v>2</v>
      </c>
      <c r="R103" s="193">
        <f>SQRT(((MAX(E102:G102,I102:K102)-E102)/(2*SQRT(3)))^2+E103^2)</f>
        <v>2</v>
      </c>
      <c r="S103" s="202">
        <f>E103/E102</f>
        <v>0.6666666666666666</v>
      </c>
      <c r="T103" s="202">
        <f>SQRT(R103^2-E103^2)/R102</f>
        <v>0</v>
      </c>
    </row>
    <row r="104" spans="1:24" ht="12.75">
      <c r="A104" s="109" t="s">
        <v>148</v>
      </c>
      <c r="B104" s="109" t="s">
        <v>143</v>
      </c>
      <c r="C104" s="109" t="s">
        <v>157</v>
      </c>
      <c r="D104" s="109"/>
      <c r="E104" s="145">
        <v>211</v>
      </c>
      <c r="F104" s="160">
        <v>231</v>
      </c>
      <c r="G104" s="41">
        <v>248</v>
      </c>
      <c r="I104" s="41">
        <v>218</v>
      </c>
      <c r="J104" s="41">
        <v>198</v>
      </c>
      <c r="K104" s="41">
        <v>199</v>
      </c>
      <c r="M104" s="147">
        <v>126</v>
      </c>
      <c r="R104" s="193">
        <f>AVERAGE(E104,F104,I104,K104)</f>
        <v>214.75</v>
      </c>
      <c r="S104" s="193"/>
      <c r="T104" s="193"/>
      <c r="X104" s="150">
        <f>E104/M104-1</f>
        <v>0.6746031746031746</v>
      </c>
    </row>
    <row r="105" spans="1:20" ht="12.75">
      <c r="A105" s="95"/>
      <c r="B105" s="95"/>
      <c r="C105" s="95"/>
      <c r="D105" s="95"/>
      <c r="E105" s="145">
        <v>17</v>
      </c>
      <c r="F105" s="160">
        <v>18</v>
      </c>
      <c r="G105" s="41">
        <v>15</v>
      </c>
      <c r="I105" s="41">
        <v>17</v>
      </c>
      <c r="J105" s="41">
        <v>17</v>
      </c>
      <c r="K105" s="41">
        <v>17</v>
      </c>
      <c r="M105" s="147">
        <v>14</v>
      </c>
      <c r="R105" s="193">
        <f>SQRT(((MAX(E104:G104,I104:K104)-E104)/(2*SQRT(3)))^2+E105^2)</f>
        <v>20.076935357104016</v>
      </c>
      <c r="S105" s="202">
        <f>E105/E104</f>
        <v>0.08056872037914692</v>
      </c>
      <c r="T105" s="202">
        <f>SQRT(R105^2-E105^2)/R104</f>
        <v>0.04973681015137638</v>
      </c>
    </row>
    <row r="106" spans="1:24" ht="12.75">
      <c r="A106" s="160"/>
      <c r="B106" s="160"/>
      <c r="C106" s="160" t="s">
        <v>158</v>
      </c>
      <c r="D106" s="160"/>
      <c r="E106" s="145">
        <v>314</v>
      </c>
      <c r="F106" s="160">
        <v>319</v>
      </c>
      <c r="G106" s="41">
        <v>286</v>
      </c>
      <c r="I106" s="41">
        <v>299</v>
      </c>
      <c r="J106" s="41">
        <v>284</v>
      </c>
      <c r="K106" s="41">
        <v>291</v>
      </c>
      <c r="M106" s="147">
        <v>214</v>
      </c>
      <c r="R106" s="193">
        <f>AVERAGE(E106,F106,I106,K106)</f>
        <v>305.75</v>
      </c>
      <c r="S106" s="193"/>
      <c r="T106" s="193"/>
      <c r="X106" s="150">
        <f>E106/M106-1</f>
        <v>0.4672897196261683</v>
      </c>
    </row>
    <row r="107" spans="5:20" ht="12.75">
      <c r="E107" s="145">
        <v>18</v>
      </c>
      <c r="F107" s="160">
        <v>18</v>
      </c>
      <c r="G107" s="41">
        <v>6</v>
      </c>
      <c r="I107" s="41">
        <v>18</v>
      </c>
      <c r="J107" s="41">
        <v>19</v>
      </c>
      <c r="K107" s="41">
        <v>18</v>
      </c>
      <c r="M107" s="147">
        <v>16</v>
      </c>
      <c r="R107" s="193">
        <f>SQRT(((MAX(E106:G106,I106:K106)-E106)/(2*SQRT(3)))^2+E107^2)</f>
        <v>18.05777764104247</v>
      </c>
      <c r="S107" s="202">
        <f>E107/E106</f>
        <v>0.05732484076433121</v>
      </c>
      <c r="T107" s="202">
        <f>SQRT(R107^2-E107^2)/R106</f>
        <v>0.004720770802858798</v>
      </c>
    </row>
    <row r="108" spans="3:24" ht="12.75">
      <c r="C108" s="41" t="s">
        <v>159</v>
      </c>
      <c r="E108" s="145">
        <v>186</v>
      </c>
      <c r="F108" s="160">
        <v>178</v>
      </c>
      <c r="G108" s="41">
        <v>206</v>
      </c>
      <c r="I108" s="41">
        <v>193</v>
      </c>
      <c r="J108" s="41">
        <v>222</v>
      </c>
      <c r="K108" s="41">
        <v>184</v>
      </c>
      <c r="M108" s="147">
        <v>193</v>
      </c>
      <c r="R108" s="193">
        <f>AVERAGE(E108,F108,I108,K108)</f>
        <v>185.25</v>
      </c>
      <c r="S108" s="193"/>
      <c r="T108" s="193"/>
      <c r="X108" s="150">
        <f>E108/M108-1</f>
        <v>-0.03626943005181349</v>
      </c>
    </row>
    <row r="109" spans="5:20" ht="12.75">
      <c r="E109" s="145">
        <v>15</v>
      </c>
      <c r="F109" s="160">
        <v>14</v>
      </c>
      <c r="G109" s="41">
        <v>14</v>
      </c>
      <c r="I109" s="41">
        <v>15</v>
      </c>
      <c r="J109" s="41">
        <v>15</v>
      </c>
      <c r="K109" s="41">
        <v>14</v>
      </c>
      <c r="M109" s="147">
        <v>14</v>
      </c>
      <c r="R109" s="193">
        <f>SQRT(((MAX(E108:G108,I108:K108)-E108)/(2*SQRT(3)))^2+E109^2)</f>
        <v>18.24828759089466</v>
      </c>
      <c r="S109" s="202">
        <f>E109/E108</f>
        <v>0.08064516129032258</v>
      </c>
      <c r="T109" s="202">
        <f>SQRT(R109^2-E109^2)/R108</f>
        <v>0.056098811581178215</v>
      </c>
    </row>
    <row r="110" spans="3:24" ht="12.75">
      <c r="C110" s="41" t="s">
        <v>160</v>
      </c>
      <c r="E110" s="145">
        <v>52</v>
      </c>
      <c r="F110" s="160">
        <v>46</v>
      </c>
      <c r="G110" s="41">
        <v>74</v>
      </c>
      <c r="I110" s="41">
        <v>56</v>
      </c>
      <c r="J110" s="41">
        <v>60</v>
      </c>
      <c r="K110" s="41">
        <v>51</v>
      </c>
      <c r="M110" s="147">
        <v>46</v>
      </c>
      <c r="R110" s="193">
        <f>AVERAGE(E110,F110,I110,K110)</f>
        <v>51.25</v>
      </c>
      <c r="S110" s="193"/>
      <c r="T110" s="193"/>
      <c r="X110" s="150">
        <f>E110/M110-1</f>
        <v>0.13043478260869557</v>
      </c>
    </row>
    <row r="111" spans="5:20" ht="12.75">
      <c r="E111" s="145">
        <v>8</v>
      </c>
      <c r="F111" s="160">
        <v>7</v>
      </c>
      <c r="G111" s="41">
        <v>9</v>
      </c>
      <c r="I111" s="41">
        <v>9</v>
      </c>
      <c r="J111" s="41">
        <v>9</v>
      </c>
      <c r="K111" s="41">
        <v>8</v>
      </c>
      <c r="M111" s="147">
        <v>8</v>
      </c>
      <c r="R111" s="193">
        <f>SQRT(((MAX(E110:G110,I110:K110)-E110)/(2*SQRT(3)))^2+E111^2)</f>
        <v>10.214368964029708</v>
      </c>
      <c r="S111" s="202">
        <f>E111/E110</f>
        <v>0.15384615384615385</v>
      </c>
      <c r="T111" s="202">
        <f>SQRT(R111^2-E111^2)/R110</f>
        <v>0.12391908216752942</v>
      </c>
    </row>
    <row r="112" spans="3:24" ht="12.75">
      <c r="C112" s="41" t="s">
        <v>161</v>
      </c>
      <c r="E112" s="145">
        <v>26</v>
      </c>
      <c r="F112" s="160">
        <v>24</v>
      </c>
      <c r="G112" s="41">
        <v>24</v>
      </c>
      <c r="I112" s="41">
        <v>19</v>
      </c>
      <c r="J112" s="41">
        <v>31</v>
      </c>
      <c r="K112" s="41">
        <v>25</v>
      </c>
      <c r="M112" s="147">
        <v>19</v>
      </c>
      <c r="R112" s="195">
        <f>(E112+F112+I112+K112)/4</f>
        <v>23.5</v>
      </c>
      <c r="S112" s="195"/>
      <c r="T112" s="195"/>
      <c r="X112" s="150">
        <f>E112/M112-1</f>
        <v>0.368421052631579</v>
      </c>
    </row>
    <row r="113" spans="5:20" ht="12.75">
      <c r="E113" s="145">
        <v>5</v>
      </c>
      <c r="F113" s="160">
        <v>5</v>
      </c>
      <c r="G113" s="41">
        <v>0</v>
      </c>
      <c r="I113" s="41">
        <v>5</v>
      </c>
      <c r="J113" s="41">
        <v>60</v>
      </c>
      <c r="K113" s="41">
        <v>4</v>
      </c>
      <c r="M113" s="147">
        <v>6</v>
      </c>
      <c r="R113" s="193">
        <f>SQRT(((MAX(E112:G112,I112:K112)-E112)/(2*SQRT(3)))^2+E113^2)</f>
        <v>5.204164998665332</v>
      </c>
      <c r="S113" s="202">
        <f>E113/E112</f>
        <v>0.19230769230769232</v>
      </c>
      <c r="T113" s="202">
        <f>SQRT(R113^2-E113^2)/R112</f>
        <v>0.061420241403151714</v>
      </c>
    </row>
    <row r="114" spans="1:24" ht="12.75">
      <c r="A114" s="109" t="s">
        <v>148</v>
      </c>
      <c r="B114" s="109" t="s">
        <v>145</v>
      </c>
      <c r="C114" s="109" t="s">
        <v>157</v>
      </c>
      <c r="D114" s="109"/>
      <c r="E114" s="145">
        <v>310</v>
      </c>
      <c r="F114" s="160">
        <v>321</v>
      </c>
      <c r="G114" s="41">
        <v>324</v>
      </c>
      <c r="I114" s="41">
        <v>309</v>
      </c>
      <c r="J114" s="41">
        <v>268</v>
      </c>
      <c r="K114" s="41">
        <v>296</v>
      </c>
      <c r="M114" s="147">
        <v>253</v>
      </c>
      <c r="R114" s="193">
        <f>AVERAGE(E114,F114,I114,K114)</f>
        <v>309</v>
      </c>
      <c r="S114" s="193"/>
      <c r="T114" s="193"/>
      <c r="X114" s="150">
        <f>E114/M114-1</f>
        <v>0.22529644268774707</v>
      </c>
    </row>
    <row r="115" spans="1:20" ht="12.75">
      <c r="A115" s="95"/>
      <c r="B115" s="95"/>
      <c r="C115" s="95"/>
      <c r="D115" s="95"/>
      <c r="E115" s="145">
        <v>19</v>
      </c>
      <c r="F115" s="160">
        <v>20</v>
      </c>
      <c r="G115" s="41">
        <v>19</v>
      </c>
      <c r="I115" s="41">
        <v>19</v>
      </c>
      <c r="J115" s="41">
        <v>21</v>
      </c>
      <c r="K115" s="41">
        <v>19</v>
      </c>
      <c r="M115" s="147">
        <v>21</v>
      </c>
      <c r="R115" s="193">
        <f>SQRT(((MAX(E114:G114,I114:K114)-E114)/(2*SQRT(3)))^2+E115^2)</f>
        <v>19.42506971244462</v>
      </c>
      <c r="S115" s="202">
        <f>E115/E114</f>
        <v>0.06129032258064516</v>
      </c>
      <c r="T115" s="202">
        <f>SQRT(R115^2-E115^2)/R114</f>
        <v>0.01307913231173911</v>
      </c>
    </row>
    <row r="116" spans="1:24" ht="12.75">
      <c r="A116" s="160"/>
      <c r="B116" s="160"/>
      <c r="C116" s="160" t="s">
        <v>158</v>
      </c>
      <c r="D116" s="160"/>
      <c r="E116" s="145">
        <v>349</v>
      </c>
      <c r="F116" s="160">
        <v>317</v>
      </c>
      <c r="G116" s="41">
        <v>343</v>
      </c>
      <c r="I116" s="41">
        <v>338</v>
      </c>
      <c r="J116" s="41">
        <v>381</v>
      </c>
      <c r="K116" s="41">
        <v>350</v>
      </c>
      <c r="M116" s="147">
        <v>297</v>
      </c>
      <c r="R116" s="193">
        <f>AVERAGE(E116,F116,I116,K116)</f>
        <v>338.5</v>
      </c>
      <c r="S116" s="193"/>
      <c r="T116" s="193"/>
      <c r="X116" s="150">
        <f>E116/M116-1</f>
        <v>0.17508417508417518</v>
      </c>
    </row>
    <row r="117" spans="5:20" ht="12.75">
      <c r="E117" s="145">
        <v>19</v>
      </c>
      <c r="F117" s="160">
        <v>17</v>
      </c>
      <c r="G117" s="41">
        <v>19</v>
      </c>
      <c r="I117" s="41">
        <v>19</v>
      </c>
      <c r="J117" s="41">
        <v>21</v>
      </c>
      <c r="K117" s="41">
        <v>19</v>
      </c>
      <c r="M117" s="147">
        <v>18</v>
      </c>
      <c r="R117" s="193">
        <f>SQRT(((MAX(E116:G116,I116:K116)-E116)/(2*SQRT(3)))^2+E117^2)</f>
        <v>21.1266025033211</v>
      </c>
      <c r="S117" s="202">
        <f>E117/E116</f>
        <v>0.054441260744985676</v>
      </c>
      <c r="T117" s="202">
        <f>SQRT(R117^2-E117^2)/R116</f>
        <v>0.02728982070024819</v>
      </c>
    </row>
    <row r="118" spans="3:24" ht="12.75">
      <c r="C118" s="41" t="s">
        <v>159</v>
      </c>
      <c r="E118" s="145">
        <v>183</v>
      </c>
      <c r="F118" s="160">
        <v>170</v>
      </c>
      <c r="G118" s="41">
        <v>186</v>
      </c>
      <c r="I118" s="41">
        <v>173</v>
      </c>
      <c r="J118" s="41">
        <v>221</v>
      </c>
      <c r="K118" s="41">
        <v>183</v>
      </c>
      <c r="M118" s="147">
        <v>175</v>
      </c>
      <c r="R118" s="193">
        <f>AVERAGE(E118,F118,I118,K118)</f>
        <v>177.25</v>
      </c>
      <c r="S118" s="193"/>
      <c r="T118" s="193"/>
      <c r="X118" s="150">
        <f>E118/M118-1</f>
        <v>0.04571428571428582</v>
      </c>
    </row>
    <row r="119" spans="5:20" ht="12.75">
      <c r="E119" s="145">
        <v>14</v>
      </c>
      <c r="F119" s="160">
        <v>13</v>
      </c>
      <c r="G119" s="41">
        <v>14</v>
      </c>
      <c r="I119" s="41">
        <v>15</v>
      </c>
      <c r="J119" s="41">
        <v>15</v>
      </c>
      <c r="K119" s="41">
        <v>14</v>
      </c>
      <c r="M119" s="147">
        <v>14</v>
      </c>
      <c r="R119" s="193">
        <f>SQRT(((MAX(E118:G118,I118:K118)-E118)/(2*SQRT(3)))^2+E119^2)</f>
        <v>17.7857620959388</v>
      </c>
      <c r="S119" s="202">
        <f>E119/E118</f>
        <v>0.07650273224043716</v>
      </c>
      <c r="T119" s="202">
        <f>SQRT(R119^2-E119^2)/R118</f>
        <v>0.06188804013880332</v>
      </c>
    </row>
    <row r="120" spans="3:24" ht="12.75">
      <c r="C120" s="41" t="s">
        <v>160</v>
      </c>
      <c r="E120" s="145">
        <v>62</v>
      </c>
      <c r="F120" s="160">
        <v>59</v>
      </c>
      <c r="G120" s="41">
        <v>72</v>
      </c>
      <c r="I120" s="41">
        <v>68</v>
      </c>
      <c r="J120" s="41">
        <v>83</v>
      </c>
      <c r="K120" s="41">
        <v>59</v>
      </c>
      <c r="M120" s="147">
        <v>77</v>
      </c>
      <c r="R120" s="193">
        <f>AVERAGE(E120,F120,I120,K120)</f>
        <v>62</v>
      </c>
      <c r="S120" s="193"/>
      <c r="T120" s="193"/>
      <c r="X120" s="150">
        <f>E120/M120-1</f>
        <v>-0.19480519480519476</v>
      </c>
    </row>
    <row r="121" spans="5:20" ht="12.75">
      <c r="E121" s="145">
        <v>9</v>
      </c>
      <c r="F121" s="160">
        <v>8</v>
      </c>
      <c r="G121" s="41">
        <v>9</v>
      </c>
      <c r="I121" s="41">
        <v>9</v>
      </c>
      <c r="J121" s="41">
        <v>9</v>
      </c>
      <c r="K121" s="41">
        <v>9</v>
      </c>
      <c r="M121" s="147">
        <v>10</v>
      </c>
      <c r="R121" s="193">
        <f>SQRT(((MAX(E120:G120,I120:K120)-E120)/(2*SQRT(3)))^2+E121^2)</f>
        <v>10.851267207105353</v>
      </c>
      <c r="S121" s="202">
        <f>E121/E120</f>
        <v>0.14516129032258066</v>
      </c>
      <c r="T121" s="202">
        <f>SQRT(R121^2-E121^2)/R120</f>
        <v>0.09777706171759792</v>
      </c>
    </row>
    <row r="122" spans="3:24" ht="12.75">
      <c r="C122" s="41" t="s">
        <v>161</v>
      </c>
      <c r="E122" s="145">
        <v>17</v>
      </c>
      <c r="F122" s="160">
        <v>11</v>
      </c>
      <c r="G122" s="41">
        <v>29</v>
      </c>
      <c r="I122" s="41">
        <v>15</v>
      </c>
      <c r="J122" s="41">
        <v>19</v>
      </c>
      <c r="K122" s="41">
        <v>17</v>
      </c>
      <c r="M122" s="147">
        <v>18</v>
      </c>
      <c r="R122" s="195">
        <f>(E122+F122+I122+K122)/4</f>
        <v>15</v>
      </c>
      <c r="S122" s="195"/>
      <c r="T122" s="195"/>
      <c r="X122" s="150">
        <f>E122/M122-1</f>
        <v>-0.05555555555555558</v>
      </c>
    </row>
    <row r="123" spans="5:20" ht="12.75">
      <c r="E123" s="145">
        <v>5</v>
      </c>
      <c r="F123" s="160">
        <v>3</v>
      </c>
      <c r="G123" s="41">
        <v>5</v>
      </c>
      <c r="I123" s="41">
        <v>5</v>
      </c>
      <c r="J123" s="41">
        <v>5</v>
      </c>
      <c r="K123" s="41">
        <v>5</v>
      </c>
      <c r="M123" s="147">
        <v>5</v>
      </c>
      <c r="R123" s="193">
        <f>SQRT(((MAX(E122:G122,I122:K122)-E122)/(2*SQRT(3)))^2+E123^2)</f>
        <v>6.082762530298219</v>
      </c>
      <c r="S123" s="202">
        <f>E123/E122</f>
        <v>0.29411764705882354</v>
      </c>
      <c r="T123" s="202">
        <f>SQRT(R123^2-E123^2)/R122</f>
        <v>0.23094010767585024</v>
      </c>
    </row>
    <row r="125" spans="4:6" ht="12.75">
      <c r="D125" s="84" t="s">
        <v>206</v>
      </c>
      <c r="E125" s="162"/>
      <c r="F125" s="164"/>
    </row>
    <row r="126" spans="1:8" ht="12.75">
      <c r="A126" s="40" t="s">
        <v>149</v>
      </c>
      <c r="B126" s="40" t="s">
        <v>150</v>
      </c>
      <c r="C126" s="40" t="s">
        <v>197</v>
      </c>
      <c r="D126" s="40" t="s">
        <v>152</v>
      </c>
      <c r="E126" s="146" t="s">
        <v>146</v>
      </c>
      <c r="F126" s="120" t="s">
        <v>147</v>
      </c>
      <c r="G126" s="40" t="s">
        <v>205</v>
      </c>
      <c r="H126" s="40" t="s">
        <v>144</v>
      </c>
    </row>
    <row r="127" spans="1:8" ht="12.75">
      <c r="A127" s="109" t="s">
        <v>148</v>
      </c>
      <c r="B127" s="109" t="s">
        <v>143</v>
      </c>
      <c r="C127" s="109" t="s">
        <v>144</v>
      </c>
      <c r="D127" s="109"/>
      <c r="E127" s="158">
        <f>E20</f>
        <v>518</v>
      </c>
      <c r="F127" s="109">
        <f>E22</f>
        <v>236</v>
      </c>
      <c r="G127" s="41">
        <f>E127+F127</f>
        <v>754</v>
      </c>
      <c r="H127" s="41">
        <f aca="true" t="shared" si="4" ref="H127:H136">E58</f>
        <v>759</v>
      </c>
    </row>
    <row r="128" spans="1:8" ht="12.75">
      <c r="A128" s="95"/>
      <c r="B128" s="95"/>
      <c r="C128" s="95"/>
      <c r="D128" s="95"/>
      <c r="E128" s="158">
        <f>E21</f>
        <v>26</v>
      </c>
      <c r="F128" s="165">
        <f>E23</f>
        <v>15</v>
      </c>
      <c r="H128" s="41">
        <f t="shared" si="4"/>
        <v>29</v>
      </c>
    </row>
    <row r="129" spans="1:8" ht="12.75">
      <c r="A129" s="160"/>
      <c r="B129" s="160"/>
      <c r="C129" s="160" t="s">
        <v>168</v>
      </c>
      <c r="D129" s="160"/>
      <c r="E129" s="145">
        <v>270</v>
      </c>
      <c r="F129" s="160">
        <v>109</v>
      </c>
      <c r="G129" s="41">
        <f>E129+F129</f>
        <v>379</v>
      </c>
      <c r="H129" s="41">
        <f t="shared" si="4"/>
        <v>381</v>
      </c>
    </row>
    <row r="130" spans="5:8" ht="12.75">
      <c r="E130" s="145">
        <v>19</v>
      </c>
      <c r="F130" s="160">
        <v>10</v>
      </c>
      <c r="H130" s="41">
        <f t="shared" si="4"/>
        <v>22</v>
      </c>
    </row>
    <row r="131" spans="3:8" ht="12.75">
      <c r="C131" s="41" t="s">
        <v>169</v>
      </c>
      <c r="E131" s="145">
        <v>106</v>
      </c>
      <c r="F131" s="160">
        <v>68</v>
      </c>
      <c r="G131" s="41">
        <f>E131+F131</f>
        <v>174</v>
      </c>
      <c r="H131" s="41">
        <f t="shared" si="4"/>
        <v>180</v>
      </c>
    </row>
    <row r="132" spans="5:8" ht="12.75">
      <c r="E132" s="145">
        <v>12</v>
      </c>
      <c r="F132" s="160">
        <v>8</v>
      </c>
      <c r="H132" s="41">
        <f t="shared" si="4"/>
        <v>15</v>
      </c>
    </row>
    <row r="133" spans="3:8" ht="12.75">
      <c r="C133" s="41" t="s">
        <v>170</v>
      </c>
      <c r="E133" s="145">
        <v>81</v>
      </c>
      <c r="F133" s="160">
        <v>31</v>
      </c>
      <c r="G133" s="41">
        <f>E133+F133</f>
        <v>112</v>
      </c>
      <c r="H133" s="41">
        <f t="shared" si="4"/>
        <v>113</v>
      </c>
    </row>
    <row r="134" spans="5:8" ht="12.75">
      <c r="E134" s="145">
        <v>12</v>
      </c>
      <c r="F134" s="160">
        <v>6</v>
      </c>
      <c r="H134" s="41">
        <f t="shared" si="4"/>
        <v>12</v>
      </c>
    </row>
    <row r="135" spans="3:8" ht="12.75">
      <c r="C135" s="41" t="s">
        <v>171</v>
      </c>
      <c r="E135" s="145">
        <v>70</v>
      </c>
      <c r="F135" s="160">
        <v>33</v>
      </c>
      <c r="G135" s="41">
        <f>E135+F135</f>
        <v>103</v>
      </c>
      <c r="H135" s="41">
        <f t="shared" si="4"/>
        <v>89</v>
      </c>
    </row>
    <row r="136" spans="5:8" ht="12.75">
      <c r="E136" s="145">
        <v>8</v>
      </c>
      <c r="F136" s="160">
        <v>6</v>
      </c>
      <c r="H136" s="41">
        <f t="shared" si="4"/>
        <v>10</v>
      </c>
    </row>
    <row r="137" spans="3:8" ht="12.75">
      <c r="C137" s="41" t="s">
        <v>205</v>
      </c>
      <c r="E137" s="145">
        <f>E129+E131+E133+E135</f>
        <v>527</v>
      </c>
      <c r="F137" s="160">
        <f>F129+F131+F133+F135</f>
        <v>241</v>
      </c>
      <c r="G137" s="41">
        <f>E137+F137</f>
        <v>768</v>
      </c>
      <c r="H137" s="160">
        <f>H129+H131+H133+H135</f>
        <v>763</v>
      </c>
    </row>
    <row r="139" spans="1:8" ht="12.75">
      <c r="A139" s="115" t="s">
        <v>148</v>
      </c>
      <c r="B139" s="115" t="s">
        <v>145</v>
      </c>
      <c r="C139" s="115" t="s">
        <v>144</v>
      </c>
      <c r="D139" s="115"/>
      <c r="E139" s="145">
        <f>E39</f>
        <v>576</v>
      </c>
      <c r="F139" s="115">
        <f>E41</f>
        <v>343</v>
      </c>
      <c r="G139" s="41">
        <f>E139+F139</f>
        <v>919</v>
      </c>
      <c r="H139" s="41">
        <f aca="true" t="shared" si="5" ref="H139:H148">E70</f>
        <v>908</v>
      </c>
    </row>
    <row r="140" spans="5:8" ht="12.75">
      <c r="E140" s="145">
        <f>E40</f>
        <v>25</v>
      </c>
      <c r="F140" s="160">
        <f>E42</f>
        <v>20</v>
      </c>
      <c r="H140" s="41">
        <f t="shared" si="5"/>
        <v>34</v>
      </c>
    </row>
    <row r="141" spans="1:8" ht="12.75">
      <c r="A141" s="160"/>
      <c r="B141" s="160"/>
      <c r="C141" s="160" t="s">
        <v>168</v>
      </c>
      <c r="D141" s="160"/>
      <c r="E141" s="145">
        <v>221</v>
      </c>
      <c r="F141" s="160">
        <v>118</v>
      </c>
      <c r="G141" s="41">
        <f>E141+F141</f>
        <v>339</v>
      </c>
      <c r="H141" s="41">
        <f t="shared" si="5"/>
        <v>334</v>
      </c>
    </row>
    <row r="142" spans="5:8" ht="12.75">
      <c r="E142" s="145">
        <v>16</v>
      </c>
      <c r="F142" s="160">
        <v>12</v>
      </c>
      <c r="H142" s="41">
        <f t="shared" si="5"/>
        <v>20</v>
      </c>
    </row>
    <row r="143" spans="3:8" ht="12.75">
      <c r="C143" s="41" t="s">
        <v>169</v>
      </c>
      <c r="E143" s="145">
        <v>149</v>
      </c>
      <c r="F143" s="160">
        <v>105</v>
      </c>
      <c r="G143" s="41">
        <f>E143+F143</f>
        <v>254</v>
      </c>
      <c r="H143" s="41">
        <f t="shared" si="5"/>
        <v>261</v>
      </c>
    </row>
    <row r="144" spans="5:8" ht="12.75">
      <c r="E144" s="145">
        <v>12</v>
      </c>
      <c r="F144" s="160">
        <v>11</v>
      </c>
      <c r="H144" s="41">
        <f t="shared" si="5"/>
        <v>16</v>
      </c>
    </row>
    <row r="145" spans="3:8" ht="12.75">
      <c r="C145" s="41" t="s">
        <v>170</v>
      </c>
      <c r="E145" s="145">
        <v>98</v>
      </c>
      <c r="F145" s="160">
        <v>76</v>
      </c>
      <c r="G145" s="41">
        <f>E145+F145</f>
        <v>174</v>
      </c>
      <c r="H145" s="41">
        <f t="shared" si="5"/>
        <v>181</v>
      </c>
    </row>
    <row r="146" spans="5:8" ht="12.75">
      <c r="E146" s="145">
        <v>11</v>
      </c>
      <c r="F146" s="160">
        <v>9</v>
      </c>
      <c r="H146" s="41">
        <f t="shared" si="5"/>
        <v>15</v>
      </c>
    </row>
    <row r="147" spans="3:8" ht="12.75">
      <c r="C147" s="41" t="s">
        <v>171</v>
      </c>
      <c r="E147" s="145">
        <v>84</v>
      </c>
      <c r="F147" s="160">
        <v>52</v>
      </c>
      <c r="G147" s="41">
        <f>E147+F147</f>
        <v>136</v>
      </c>
      <c r="H147" s="41">
        <f t="shared" si="5"/>
        <v>135</v>
      </c>
    </row>
    <row r="148" spans="5:8" ht="12.75">
      <c r="E148" s="145">
        <v>10</v>
      </c>
      <c r="F148" s="160">
        <v>8</v>
      </c>
      <c r="H148" s="41">
        <f t="shared" si="5"/>
        <v>13</v>
      </c>
    </row>
    <row r="149" spans="3:8" ht="12.75">
      <c r="C149" s="41" t="s">
        <v>205</v>
      </c>
      <c r="E149" s="145">
        <f>E141+E143+E145+E147</f>
        <v>552</v>
      </c>
      <c r="F149" s="160">
        <f>F141+F143+F145+F147</f>
        <v>351</v>
      </c>
      <c r="G149" s="41">
        <f>E149+F149</f>
        <v>903</v>
      </c>
      <c r="H149" s="160">
        <f>H141+H143+H145+H147</f>
        <v>911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&amp;L&amp;F: &amp;A&amp;CPage &amp;P&amp;R&amp;D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P59"/>
  <sheetViews>
    <sheetView workbookViewId="0" topLeftCell="A1">
      <selection activeCell="C13" sqref="C13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258</v>
      </c>
      <c r="P1" s="40" t="s">
        <v>176</v>
      </c>
    </row>
    <row r="2" spans="1:16" ht="12.75">
      <c r="A2" s="41">
        <v>-2.2</v>
      </c>
      <c r="B2" s="41">
        <v>-1.2</v>
      </c>
      <c r="C2" s="41">
        <v>110727</v>
      </c>
      <c r="D2" s="41">
        <v>10537</v>
      </c>
      <c r="E2" s="41">
        <v>7195</v>
      </c>
      <c r="F2" s="41">
        <v>3740</v>
      </c>
      <c r="G2" s="41">
        <v>0.128</v>
      </c>
      <c r="H2" s="42">
        <f>D2/C2/G2</f>
        <v>0.7434529292765089</v>
      </c>
      <c r="I2" s="42">
        <f>E2/D2</f>
        <v>0.6828319255955205</v>
      </c>
      <c r="J2" s="42">
        <f>F2/D2</f>
        <v>0.3549397361677897</v>
      </c>
      <c r="K2" s="42">
        <f>(I2*$L$2+J2*$L$3)/($L$2+$L$3)</f>
        <v>0.5416594338564539</v>
      </c>
      <c r="L2" s="41">
        <v>1.566</v>
      </c>
      <c r="M2" s="41" t="s">
        <v>51</v>
      </c>
      <c r="O2" s="42">
        <f>(H2*K2)/(simDauDJ!H2*simDauDJ!K2)</f>
        <v>1.0317947248229435</v>
      </c>
      <c r="P2" s="42">
        <f>(H2*K2)/('simDau.QM'!H2*'simDau.QM'!K2)</f>
        <v>1.220890901149132</v>
      </c>
    </row>
    <row r="3" spans="8:13" ht="12.75">
      <c r="H3" s="42"/>
      <c r="I3" s="42">
        <f>SQRT(1/E2)*I2</f>
        <v>0.008050047057321156</v>
      </c>
      <c r="J3" s="42">
        <f>SQRT(1/F2)*J2</f>
        <v>0.005803885299960389</v>
      </c>
      <c r="K3" s="42">
        <f>($L$2*I3+$L$3*J3)/($L$2+$L$3)</f>
        <v>0.007082972322515647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48717</v>
      </c>
      <c r="D4" s="41">
        <v>4835</v>
      </c>
      <c r="E4" s="41">
        <v>3375</v>
      </c>
      <c r="F4" s="41">
        <v>1812</v>
      </c>
      <c r="G4" s="41">
        <f>G2</f>
        <v>0.128</v>
      </c>
      <c r="H4" s="42">
        <f>D4/C4/G4</f>
        <v>0.7753646057844285</v>
      </c>
      <c r="I4" s="42">
        <f>E4/D4</f>
        <v>0.6980351602895554</v>
      </c>
      <c r="J4" s="42">
        <f>F4/D4</f>
        <v>0.37476732161323684</v>
      </c>
      <c r="K4" s="42">
        <f>(I4*$L$2+J4*$L$3)/($L$2+$L$3)</f>
        <v>0.5588536617467331</v>
      </c>
      <c r="O4" s="42">
        <f>(H4*K4)/(simDauDJ!H4*simDauDJ!K4)</f>
        <v>1.0349056953250966</v>
      </c>
      <c r="P4" s="42">
        <f>(H4*K4)/('simDau.QM'!H4*'simDau.QM'!K4)</f>
        <v>1.2135040945852835</v>
      </c>
    </row>
    <row r="5" spans="8:11" ht="12.75">
      <c r="H5" s="42"/>
      <c r="I5" s="42">
        <f>SQRT(1/E4)*I4</f>
        <v>0.01201546022608299</v>
      </c>
      <c r="J5" s="42">
        <f>SQRT(1/F4)*J4</f>
        <v>0.008804052390400316</v>
      </c>
      <c r="K5" s="42">
        <f>($L$2*I5+$L$3*J5)/($L$2+$L$3)</f>
        <v>0.010632803179738158</v>
      </c>
    </row>
    <row r="6" spans="1:16" ht="12.75">
      <c r="A6" s="41">
        <v>-1.7</v>
      </c>
      <c r="B6" s="41">
        <v>-1.2</v>
      </c>
      <c r="C6" s="41">
        <v>62010</v>
      </c>
      <c r="D6" s="41">
        <v>5702</v>
      </c>
      <c r="E6" s="41">
        <v>3820</v>
      </c>
      <c r="F6" s="41">
        <v>1928</v>
      </c>
      <c r="G6" s="41">
        <f>G2</f>
        <v>0.128</v>
      </c>
      <c r="H6" s="42">
        <f>D6/C6/G6</f>
        <v>0.7183821157877761</v>
      </c>
      <c r="I6" s="42">
        <f>E6/D6</f>
        <v>0.6699403717993686</v>
      </c>
      <c r="J6" s="42">
        <f>F6/D6</f>
        <v>0.3381269729919327</v>
      </c>
      <c r="K6" s="42">
        <f>(I6*$L$2+J6*$L$3)/($L$2+$L$3)</f>
        <v>0.527079621185549</v>
      </c>
      <c r="O6" s="42">
        <f>(H6*K6)/(simDauDJ!H6*simDauDJ!K6)</f>
        <v>1.0289816841338897</v>
      </c>
      <c r="P6" s="42">
        <f>(H6*K6)/('simDau.QM'!H6*'simDau.QM'!K6)</f>
        <v>1.2275656532587207</v>
      </c>
    </row>
    <row r="7" spans="8:11" ht="12.75">
      <c r="H7" s="42"/>
      <c r="I7" s="42">
        <f>SQRT(1/E6)*I6</f>
        <v>0.010839380666687088</v>
      </c>
      <c r="J7" s="42">
        <f>SQRT(1/F6)*J6</f>
        <v>0.007700630796246984</v>
      </c>
      <c r="K7" s="42">
        <f>($L$2*I7+$L$3*J7)/($L$2+$L$3)</f>
        <v>0.009488006177013968</v>
      </c>
    </row>
    <row r="8" spans="1:16" ht="12.75">
      <c r="A8" s="41">
        <v>1.2</v>
      </c>
      <c r="B8" s="41">
        <v>2.4</v>
      </c>
      <c r="C8" s="41">
        <v>125100</v>
      </c>
      <c r="D8" s="41">
        <v>13828</v>
      </c>
      <c r="E8" s="41">
        <v>10482</v>
      </c>
      <c r="F8" s="41">
        <v>7063</v>
      </c>
      <c r="G8" s="41">
        <v>0.127</v>
      </c>
      <c r="H8" s="42">
        <f>D8/C8/G8</f>
        <v>0.8703588310453999</v>
      </c>
      <c r="I8" s="42">
        <f>E8/D8</f>
        <v>0.7580271912062482</v>
      </c>
      <c r="J8" s="42">
        <f>F8/D8</f>
        <v>0.5107752386462251</v>
      </c>
      <c r="K8" s="42">
        <f>(I8*$L$8+J8*$L$9)/($L$8+$L$9)</f>
        <v>0.6403855605917519</v>
      </c>
      <c r="L8" s="41">
        <v>1.711</v>
      </c>
      <c r="M8" s="41" t="s">
        <v>51</v>
      </c>
      <c r="O8" s="42">
        <f>(H8*K8)/(simDauDJ!H8*simDauDJ!K8)</f>
        <v>1.0482900480850788</v>
      </c>
      <c r="P8" s="42">
        <f>(H8*K8)/('simDau.QM'!H8*'simDau.QM'!K8)</f>
        <v>1.1070096386787716</v>
      </c>
    </row>
    <row r="9" spans="8:13" ht="12.75">
      <c r="H9" s="42"/>
      <c r="I9" s="42">
        <f>SQRT(1/E8)*I8</f>
        <v>0.007403936865697974</v>
      </c>
      <c r="J9" s="42">
        <f>SQRT(1/F8)*J8</f>
        <v>0.006077643646065575</v>
      </c>
      <c r="K9" s="42">
        <f>($L$2*I9+$L$3*J9)/($L$2+$L$3)</f>
        <v>0.006832907348590789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62154</v>
      </c>
      <c r="D10" s="41">
        <v>5981</v>
      </c>
      <c r="E10" s="41">
        <v>4518</v>
      </c>
      <c r="F10" s="41">
        <v>2803</v>
      </c>
      <c r="G10" s="41">
        <f>G8</f>
        <v>0.127</v>
      </c>
      <c r="H10" s="42">
        <f>D10/C10/G10</f>
        <v>0.7577064740640406</v>
      </c>
      <c r="I10" s="42">
        <f>E10/D10</f>
        <v>0.7553920749038622</v>
      </c>
      <c r="J10" s="42">
        <f>F10/D10</f>
        <v>0.46865072730312657</v>
      </c>
      <c r="K10" s="42">
        <f>(I10*$L$8+J10*$L$9)/($L$8+$L$9)</f>
        <v>0.6189615256318209</v>
      </c>
      <c r="O10" s="42">
        <f>(H10*K10)/(simDauDJ!H10*simDauDJ!K10)</f>
        <v>1.044449655322527</v>
      </c>
      <c r="P10" s="42">
        <f>(H10*K10)/('simDau.QM'!H10*'simDau.QM'!K10)</f>
        <v>0.9716695893008161</v>
      </c>
    </row>
    <row r="11" spans="8:11" ht="12.75">
      <c r="H11" s="42"/>
      <c r="I11" s="42">
        <f>SQRT(1/E10)*I10</f>
        <v>0.011238266093834515</v>
      </c>
      <c r="J11" s="42">
        <f>SQRT(1/F10)*J10</f>
        <v>0.008851925425145658</v>
      </c>
      <c r="K11" s="42">
        <f>($L$2*I11+$L$3*J11)/($L$2+$L$3)</f>
        <v>0.010210837965933568</v>
      </c>
    </row>
    <row r="12" spans="1:16" ht="12.75">
      <c r="A12" s="41">
        <v>1.7</v>
      </c>
      <c r="B12" s="41">
        <v>2.4</v>
      </c>
      <c r="C12" s="41">
        <v>62946</v>
      </c>
      <c r="D12" s="41">
        <v>7847</v>
      </c>
      <c r="E12" s="41">
        <v>5964</v>
      </c>
      <c r="F12" s="41">
        <v>4260</v>
      </c>
      <c r="G12" s="41">
        <f>G8</f>
        <v>0.127</v>
      </c>
      <c r="H12" s="42">
        <f>D12/C12/G12</f>
        <v>0.981593772039576</v>
      </c>
      <c r="I12" s="42">
        <f>E12/D12</f>
        <v>0.760035682426405</v>
      </c>
      <c r="J12" s="42">
        <f>F12/D12</f>
        <v>0.542882630304575</v>
      </c>
      <c r="K12" s="42">
        <f>(I12*$L$8+J12*$L$9)/($L$8+$L$9)</f>
        <v>0.6567150053598603</v>
      </c>
      <c r="O12" s="42">
        <f>(H12*K12)/(simDauDJ!H12*simDauDJ!K12)</f>
        <v>1.051099276592785</v>
      </c>
      <c r="P12" s="42">
        <f>(H12*K12)/('simDau.QM'!H12*'simDau.QM'!K12)</f>
        <v>1.2098989818335657</v>
      </c>
    </row>
    <row r="13" spans="8:11" ht="12.75">
      <c r="H13" s="42"/>
      <c r="I13" s="42">
        <f>SQRT(1/E12)*I12</f>
        <v>0.00984158765199838</v>
      </c>
      <c r="J13" s="42">
        <f>SQRT(1/F12)*J12</f>
        <v>0.008317659677370061</v>
      </c>
      <c r="K13" s="42">
        <f>($L$2*I13+$L$3*J13)/($L$2+$L$3)</f>
        <v>0.009185467389467496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38241</v>
      </c>
    </row>
    <row r="17" ht="12.75">
      <c r="A17" s="101" t="s">
        <v>257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32310</v>
      </c>
      <c r="D19" s="41">
        <v>3021</v>
      </c>
      <c r="E19" s="41">
        <v>2293</v>
      </c>
      <c r="F19" s="41">
        <v>1197</v>
      </c>
      <c r="G19" s="41">
        <v>0.128</v>
      </c>
      <c r="H19" s="42">
        <f>D19/C19/G19</f>
        <v>0.7304723769730733</v>
      </c>
      <c r="I19" s="42">
        <f>E19/D19</f>
        <v>0.7590201919894075</v>
      </c>
      <c r="J19" s="42">
        <f>F19/D19</f>
        <v>0.39622641509433965</v>
      </c>
      <c r="K19" s="42">
        <f>(I19*$L$2+J19*$L$3)/($L$2+$L$3)</f>
        <v>0.6028209804098583</v>
      </c>
      <c r="O19" s="42">
        <f>(H19*K19)/(simDauDJ!H19*simDauDJ!K19)</f>
        <v>1</v>
      </c>
      <c r="P19" s="42">
        <f>(H19*K19)/('simDau.QM'!H19*'simDau.QM'!K19)</f>
        <v>1.2291337995191538</v>
      </c>
    </row>
    <row r="20" spans="2:11" ht="12.75">
      <c r="B20" s="43"/>
      <c r="I20" s="42">
        <f>SQRT(1/E19)*I19</f>
        <v>0.015850804228815463</v>
      </c>
      <c r="J20" s="42">
        <f>SQRT(1/F19+1/C19)*J19</f>
        <v>0.011662607066861973</v>
      </c>
      <c r="K20" s="42">
        <f>($L$2*I20+$L$3*J20)/($L$2+$L$3)</f>
        <v>0.014047594977996214</v>
      </c>
    </row>
    <row r="21" spans="2:16" ht="12.75">
      <c r="B21" s="43" t="s">
        <v>39</v>
      </c>
      <c r="C21" s="41">
        <v>52146</v>
      </c>
      <c r="D21" s="41">
        <v>4338</v>
      </c>
      <c r="E21" s="41">
        <v>3278</v>
      </c>
      <c r="F21" s="41">
        <v>1699</v>
      </c>
      <c r="G21" s="41">
        <v>0.128</v>
      </c>
      <c r="H21" s="42">
        <f>D21/C21/G21</f>
        <v>0.6499180186399723</v>
      </c>
      <c r="I21" s="42">
        <f>E21/D21</f>
        <v>0.7556477639465191</v>
      </c>
      <c r="J21" s="42">
        <f>F21/D21</f>
        <v>0.3916551406177962</v>
      </c>
      <c r="K21" s="42">
        <f>(I21*$L$2+J21*$L$3)/($L$2+$L$3)</f>
        <v>0.5989323944842617</v>
      </c>
      <c r="O21" s="42">
        <f>(H21*K21)/(simDauDJ!H21*simDauDJ!K21)</f>
        <v>1</v>
      </c>
      <c r="P21" s="42">
        <f>(H21*K21)/('simDau.QM'!H21*'simDau.QM'!K21)</f>
        <v>1.1432553355651325</v>
      </c>
    </row>
    <row r="22" spans="2:11" ht="12.75">
      <c r="B22" s="43"/>
      <c r="I22" s="42">
        <f>SQRT(1/E21)*I21</f>
        <v>0.013198206738865502</v>
      </c>
      <c r="J22" s="42">
        <f>SQRT(1/F21+1/C21)*J21</f>
        <v>0.009655379145772759</v>
      </c>
      <c r="K22" s="42">
        <f>($L$2*I22+$L$3*J22)/($L$2+$L$3)</f>
        <v>0.011672858422421207</v>
      </c>
    </row>
    <row r="23" spans="2:16" ht="12.75">
      <c r="B23" s="43" t="s">
        <v>40</v>
      </c>
      <c r="C23" s="41">
        <v>22370</v>
      </c>
      <c r="D23" s="41">
        <v>1463</v>
      </c>
      <c r="E23" s="41">
        <v>1121</v>
      </c>
      <c r="F23" s="41">
        <v>593</v>
      </c>
      <c r="G23" s="41">
        <v>0.128</v>
      </c>
      <c r="H23" s="42">
        <f>D23/C23/G23</f>
        <v>0.5109381984801072</v>
      </c>
      <c r="I23" s="42">
        <f>E23/D23</f>
        <v>0.7662337662337663</v>
      </c>
      <c r="J23" s="42">
        <f>F23/D23</f>
        <v>0.4053315105946685</v>
      </c>
      <c r="K23" s="42">
        <f>(I23*$L$2+J23*$L$3)/($L$2+$L$3)</f>
        <v>0.6108489405331511</v>
      </c>
      <c r="O23" s="42">
        <f>(H23*K23)/(simDauDJ!H23*simDauDJ!K23)</f>
        <v>1</v>
      </c>
      <c r="P23" s="42">
        <f>(H23*K23)/('simDau.QM'!H23*'simDau.QM'!K23)</f>
        <v>1.0242458392062754</v>
      </c>
    </row>
    <row r="24" spans="2:11" ht="12.75">
      <c r="B24" s="43"/>
      <c r="I24" s="42">
        <f>SQRT(1/E23)*I23</f>
        <v>0.022885398554727557</v>
      </c>
      <c r="J24" s="42">
        <f>SQRT(1/F23+1/C23)*J23</f>
        <v>0.01686414553390015</v>
      </c>
      <c r="K24" s="42">
        <f>($L$2*I24+$L$3*J24)/($L$2+$L$3)</f>
        <v>0.02029297543594223</v>
      </c>
    </row>
    <row r="25" spans="2:16" ht="12.75">
      <c r="B25" s="43" t="s">
        <v>41</v>
      </c>
      <c r="C25" s="41">
        <v>4347</v>
      </c>
      <c r="D25" s="41">
        <v>354</v>
      </c>
      <c r="E25" s="41">
        <v>289</v>
      </c>
      <c r="F25" s="41">
        <v>160</v>
      </c>
      <c r="G25" s="41">
        <v>0.128</v>
      </c>
      <c r="H25" s="42">
        <f>D25/C25/G25</f>
        <v>0.6362146307798481</v>
      </c>
      <c r="I25" s="42">
        <f>E25/D25</f>
        <v>0.8163841807909604</v>
      </c>
      <c r="J25" s="42">
        <f>F25/D25</f>
        <v>0.4519774011299435</v>
      </c>
      <c r="K25" s="42">
        <f>(I25*$L$2+J25*$L$3)/($L$2+$L$3)</f>
        <v>0.6594904982023626</v>
      </c>
      <c r="O25" s="42">
        <f>(H25*K25)/(simDauDJ!H25*simDauDJ!K25)</f>
        <v>1</v>
      </c>
      <c r="P25" s="42">
        <f>(H25*K25)/('simDau.QM'!H25*'simDau.QM'!K25)</f>
        <v>1.1071688481901112</v>
      </c>
    </row>
    <row r="26" spans="9:11" ht="12.75">
      <c r="I26" s="42">
        <f>SQRT(1/E25)*I25</f>
        <v>0.04802259887005649</v>
      </c>
      <c r="J26" s="42">
        <f>SQRT(1/F25+1/C25)*J25</f>
        <v>0.03638360166098266</v>
      </c>
      <c r="K26" s="42">
        <f>($L$2*I26+$L$3*J26)/($L$2+$L$3)</f>
        <v>0.04301148152622252</v>
      </c>
    </row>
    <row r="27" spans="2:16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(H27*K27)/(simDauDJ!H27*simDauDJ!K27)</f>
        <v>1</v>
      </c>
      <c r="P27" s="42">
        <f>(H27*K27)/('simDau.QM'!H27*'simDau.QM'!K27)</f>
        <v>0.9333861857100385</v>
      </c>
    </row>
    <row r="28" spans="9:11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</row>
    <row r="29" spans="1:16" ht="12.75">
      <c r="A29" s="41" t="s">
        <v>61</v>
      </c>
      <c r="B29" s="43" t="s">
        <v>38</v>
      </c>
      <c r="C29" s="41">
        <v>36557</v>
      </c>
      <c r="D29" s="41">
        <v>3911</v>
      </c>
      <c r="E29" s="41">
        <v>3245</v>
      </c>
      <c r="F29" s="41">
        <v>2147</v>
      </c>
      <c r="G29" s="41">
        <v>0.127</v>
      </c>
      <c r="H29" s="42">
        <f>D29/C29/G29</f>
        <v>0.8423906663717258</v>
      </c>
      <c r="I29" s="42">
        <f>E29/D29</f>
        <v>0.8297110713372539</v>
      </c>
      <c r="J29" s="42">
        <f>F29/D29</f>
        <v>0.5489644592175914</v>
      </c>
      <c r="K29" s="42">
        <f>(I29*$L$8+J29*$L$9)/($L$8+$L$9)</f>
        <v>0.6961327966369365</v>
      </c>
      <c r="O29" s="42">
        <f>(H29*K29)/(simDauDJ!H29*simDauDJ!K29)</f>
        <v>1</v>
      </c>
      <c r="P29" s="42">
        <f>(H29*K29)/('simDau.QM'!H29*'simDau.QM'!K29)</f>
        <v>1.08963572279447</v>
      </c>
    </row>
    <row r="30" spans="2:11" ht="12.75">
      <c r="B30" s="43"/>
      <c r="I30" s="42">
        <f>SQRT(1/E29)*I29</f>
        <v>0.01456530336857695</v>
      </c>
      <c r="J30" s="42">
        <f>SQRT(1/F29+1/C29)*J29</f>
        <v>0.01219048143458307</v>
      </c>
      <c r="K30" s="42">
        <f>($L$2*I30+$L$3*J30)/($L$2+$L$3)</f>
        <v>0.01354283457954104</v>
      </c>
    </row>
    <row r="31" spans="2:16" ht="12.75">
      <c r="B31" s="43" t="s">
        <v>39</v>
      </c>
      <c r="C31" s="41">
        <v>59235</v>
      </c>
      <c r="D31" s="41">
        <v>5727</v>
      </c>
      <c r="E31" s="41">
        <v>4755</v>
      </c>
      <c r="F31" s="41">
        <v>3223</v>
      </c>
      <c r="G31" s="41">
        <v>0.127</v>
      </c>
      <c r="H31" s="42">
        <f>D31/C31/G31</f>
        <v>0.7612811376547038</v>
      </c>
      <c r="I31" s="42">
        <f>E31/D31</f>
        <v>0.8302776322682033</v>
      </c>
      <c r="J31" s="42">
        <f>F31/D31</f>
        <v>0.5627728304522438</v>
      </c>
      <c r="K31" s="42">
        <f>(I31*$L$8+J31*$L$9)/($L$8+$L$9)</f>
        <v>0.7029997654728033</v>
      </c>
      <c r="O31" s="42">
        <f>(H31*K31)/(simDauDJ!H31*simDauDJ!K31)</f>
        <v>1</v>
      </c>
      <c r="P31" s="42">
        <f>(H31*K31)/('simDau.QM'!H31*'simDau.QM'!K31)</f>
        <v>1.0269150640399478</v>
      </c>
    </row>
    <row r="32" spans="2:11" ht="12.75">
      <c r="B32" s="43"/>
      <c r="I32" s="42">
        <f>SQRT(1/E31)*I31</f>
        <v>0.01204059857381478</v>
      </c>
      <c r="J32" s="42">
        <f>SQRT(1/F31+1/C31)*J31</f>
        <v>0.010179063178673878</v>
      </c>
      <c r="K32" s="42">
        <f>($L$2*I32+$L$3*J32)/($L$2+$L$3)</f>
        <v>0.011239122970961387</v>
      </c>
    </row>
    <row r="33" spans="2:16" ht="12.75">
      <c r="B33" s="43" t="s">
        <v>40</v>
      </c>
      <c r="C33" s="41">
        <v>25303</v>
      </c>
      <c r="D33" s="41">
        <v>1991</v>
      </c>
      <c r="E33" s="41">
        <v>1687</v>
      </c>
      <c r="F33" s="41">
        <v>1173</v>
      </c>
      <c r="G33" s="41">
        <v>0.127</v>
      </c>
      <c r="H33" s="42">
        <f>D33/C33/G33</f>
        <v>0.6195773368505991</v>
      </c>
      <c r="I33" s="42">
        <f>E33/D33</f>
        <v>0.8473129080863887</v>
      </c>
      <c r="J33" s="42">
        <f>F33/D33</f>
        <v>0.5891511803114013</v>
      </c>
      <c r="K33" s="42">
        <f>(I33*$L$8+J33*$L$9)/($L$8+$L$9)</f>
        <v>0.7244804438601157</v>
      </c>
      <c r="O33" s="42">
        <f>(H33*K33)/(simDauDJ!H33*simDauDJ!K33)</f>
        <v>1</v>
      </c>
      <c r="P33" s="42">
        <f>(H33*K33)/('simDau.QM'!H33*'simDau.QM'!K33)</f>
        <v>0.9269345845434055</v>
      </c>
    </row>
    <row r="34" spans="2:11" ht="12.75">
      <c r="B34" s="43"/>
      <c r="I34" s="42">
        <f>SQRT(1/E33)*I33</f>
        <v>0.020629385010459918</v>
      </c>
      <c r="J34" s="42">
        <f>SQRT(1/F33+1/C33)*J33</f>
        <v>0.017596160898508767</v>
      </c>
      <c r="K34" s="42">
        <f>($L$2*I34+$L$3*J34)/($L$2+$L$3)</f>
        <v>0.019323444156441674</v>
      </c>
    </row>
    <row r="35" spans="2:16" ht="12.75">
      <c r="B35" s="43" t="s">
        <v>41</v>
      </c>
      <c r="C35" s="41">
        <v>4622</v>
      </c>
      <c r="D35" s="41">
        <v>412</v>
      </c>
      <c r="E35" s="41">
        <v>341</v>
      </c>
      <c r="F35" s="41">
        <v>251</v>
      </c>
      <c r="G35" s="41">
        <v>0.127</v>
      </c>
      <c r="H35" s="42">
        <f>D35/C35/G35</f>
        <v>0.7018811095173033</v>
      </c>
      <c r="I35" s="42">
        <f>E35/D35</f>
        <v>0.8276699029126213</v>
      </c>
      <c r="J35" s="42">
        <f>F35/D35</f>
        <v>0.6092233009708737</v>
      </c>
      <c r="K35" s="42">
        <f>(I35*$L$8+J35*$L$9)/($L$8+$L$9)</f>
        <v>0.7237337592804111</v>
      </c>
      <c r="O35" s="42">
        <f>(H35*K35)/(simDauDJ!H35*simDauDJ!K35)</f>
        <v>1</v>
      </c>
      <c r="P35" s="42">
        <f>(H35*K35)/('simDau.QM'!H35*'simDau.QM'!K35)</f>
        <v>0.9277373501280188</v>
      </c>
    </row>
    <row r="36" spans="2:11" ht="12.75">
      <c r="B36" s="43"/>
      <c r="H36" s="42"/>
      <c r="I36" s="42">
        <f>SQRT(1/E35)*I35</f>
        <v>0.0448208381374257</v>
      </c>
      <c r="J36" s="42">
        <f>SQRT(1/F35+1/C35)*J35</f>
        <v>0.03948415788291162</v>
      </c>
      <c r="K36" s="42">
        <f>($L$2*I36+$L$3*J36)/($L$2+$L$3)</f>
        <v>0.04252315471148218</v>
      </c>
    </row>
    <row r="37" spans="2:16" ht="12.75">
      <c r="B37" s="43" t="s">
        <v>42</v>
      </c>
      <c r="C37" s="41">
        <v>569</v>
      </c>
      <c r="D37" s="41">
        <v>57</v>
      </c>
      <c r="E37" s="41">
        <v>45</v>
      </c>
      <c r="F37" s="41">
        <v>29</v>
      </c>
      <c r="G37" s="41">
        <v>0.127</v>
      </c>
      <c r="H37" s="42">
        <f>D37/C37/G37</f>
        <v>0.7887854088537702</v>
      </c>
      <c r="I37" s="42">
        <f>E37/D37</f>
        <v>0.7894736842105263</v>
      </c>
      <c r="J37" s="42">
        <f>F37/D37</f>
        <v>0.5087719298245614</v>
      </c>
      <c r="K37" s="42">
        <f>(I37*$L$8+J37*$L$9)/($L$8+$L$9)</f>
        <v>0.6559167526659786</v>
      </c>
      <c r="O37" s="42">
        <f>(H37*K37)/(simDauDJ!H37*simDauDJ!K37)</f>
        <v>1</v>
      </c>
      <c r="P37" s="42">
        <f>(H37*K37)/('simDau.QM'!H37*'simDau.QM'!K37)</f>
        <v>1.0623302458388468</v>
      </c>
    </row>
    <row r="38" spans="2:11" ht="12.75">
      <c r="B38" s="43"/>
      <c r="H38" s="42"/>
      <c r="I38" s="42">
        <f>SQRT(1/E37)*I37</f>
        <v>0.11768778828946262</v>
      </c>
      <c r="J38" s="42">
        <f>SQRT(1/F37+1/C37)*J37</f>
        <v>0.09685423206942904</v>
      </c>
      <c r="K38" s="42">
        <f>($L$2*I38+$L$3*J38)/($L$2+$L$3)</f>
        <v>0.10871799535690997</v>
      </c>
    </row>
    <row r="39" spans="1:15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  <c r="O39" s="42"/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P59"/>
  <sheetViews>
    <sheetView workbookViewId="0" topLeftCell="A1">
      <selection activeCell="F13" sqref="F13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258</v>
      </c>
      <c r="P1" s="40" t="s">
        <v>176</v>
      </c>
    </row>
    <row r="2" spans="1:16" ht="12.75">
      <c r="A2" s="41">
        <v>-2.2</v>
      </c>
      <c r="B2" s="41">
        <v>-1.2</v>
      </c>
      <c r="C2" s="41">
        <v>111841</v>
      </c>
      <c r="D2" s="41">
        <v>10517</v>
      </c>
      <c r="E2" s="41">
        <v>7293</v>
      </c>
      <c r="F2" s="41">
        <v>3805</v>
      </c>
      <c r="G2" s="41">
        <v>0.128</v>
      </c>
      <c r="H2" s="42">
        <f>D2/C2/G2</f>
        <v>0.7346506424298782</v>
      </c>
      <c r="I2" s="42">
        <f>E2/D2</f>
        <v>0.6934487021013597</v>
      </c>
      <c r="J2" s="42">
        <f>F2/D2</f>
        <v>0.3617951887420367</v>
      </c>
      <c r="K2" s="42">
        <f>(I2*$L$2+J2*$L$3)/($L$2+$L$3)</f>
        <v>0.5506567894404729</v>
      </c>
      <c r="L2" s="41">
        <v>1.566</v>
      </c>
      <c r="M2" s="41" t="s">
        <v>51</v>
      </c>
      <c r="O2" s="42">
        <f>(H2*K2)/(simDauDJ!H2*simDauDJ!K2)</f>
        <v>1.0365144853378958</v>
      </c>
      <c r="P2" s="42">
        <f>(H2*K2)/('simDau.QM'!H2*'simDau.QM'!K2)</f>
        <v>1.2264756483180004</v>
      </c>
    </row>
    <row r="3" spans="8:13" ht="12.75">
      <c r="H3" s="42"/>
      <c r="I3" s="42">
        <f>SQRT(1/E2)*I2</f>
        <v>0.008120097292641654</v>
      </c>
      <c r="J3" s="42">
        <f>SQRT(1/F2)*J2</f>
        <v>0.005865235528493348</v>
      </c>
      <c r="K3" s="42">
        <f>($L$2*I3+$L$3*J3)/($L$2+$L$3)</f>
        <v>0.007149276809459256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49193</v>
      </c>
      <c r="D4" s="41">
        <v>4876</v>
      </c>
      <c r="E4" s="41">
        <v>3437</v>
      </c>
      <c r="F4" s="41">
        <v>1859</v>
      </c>
      <c r="G4" s="41">
        <f>G2</f>
        <v>0.128</v>
      </c>
      <c r="H4" s="42">
        <f>D4/C4/G4</f>
        <v>0.7743733864574227</v>
      </c>
      <c r="I4" s="42">
        <f>E4/D4</f>
        <v>0.7048810500410172</v>
      </c>
      <c r="J4" s="42">
        <f>F4/D4</f>
        <v>0.3812551271534044</v>
      </c>
      <c r="K4" s="42">
        <f>(I4*$L$2+J4*$L$3)/($L$2+$L$3)</f>
        <v>0.5655453799686777</v>
      </c>
      <c r="O4" s="42">
        <f>(H4*K4)/(simDauDJ!H4*simDauDJ!K4)</f>
        <v>1.0459588082405584</v>
      </c>
      <c r="P4" s="42">
        <f>(H4*K4)/('simDau.QM'!H4*'simDau.QM'!K4)</f>
        <v>1.2264646936441312</v>
      </c>
    </row>
    <row r="5" spans="8:11" ht="12.75">
      <c r="H5" s="42"/>
      <c r="I5" s="42">
        <f>SQRT(1/E4)*I4</f>
        <v>0.012023366043560175</v>
      </c>
      <c r="J5" s="42">
        <f>SQRT(1/F4)*J4</f>
        <v>0.008842518924245323</v>
      </c>
      <c r="K5" s="42">
        <f>($L$2*I5+$L$3*J5)/($L$2+$L$3)</f>
        <v>0.010653866774735163</v>
      </c>
    </row>
    <row r="6" spans="1:16" ht="12.75">
      <c r="A6" s="41">
        <v>-1.7</v>
      </c>
      <c r="B6" s="41">
        <v>-1.2</v>
      </c>
      <c r="C6" s="41">
        <v>62648</v>
      </c>
      <c r="D6" s="41">
        <v>5641</v>
      </c>
      <c r="E6" s="41">
        <v>3856</v>
      </c>
      <c r="F6" s="41">
        <v>1946</v>
      </c>
      <c r="G6" s="41">
        <f>G2</f>
        <v>0.128</v>
      </c>
      <c r="H6" s="42">
        <f>D6/C6/G6</f>
        <v>0.7034592085940493</v>
      </c>
      <c r="I6" s="42">
        <f>E6/D6</f>
        <v>0.6835667434851976</v>
      </c>
      <c r="J6" s="42">
        <f>F6/D6</f>
        <v>0.34497429533770607</v>
      </c>
      <c r="K6" s="42">
        <f>(I6*$L$2+J6*$L$3)/($L$2+$L$3)</f>
        <v>0.5377873039918776</v>
      </c>
      <c r="O6" s="42">
        <f>(H6*K6)/(simDauDJ!H6*simDauDJ!K6)</f>
        <v>1.028076356964768</v>
      </c>
      <c r="P6" s="42">
        <f>(H6*K6)/('simDau.QM'!H6*'simDau.QM'!K6)</f>
        <v>1.2264856063007314</v>
      </c>
    </row>
    <row r="7" spans="8:11" ht="12.75">
      <c r="H7" s="42"/>
      <c r="I7" s="42">
        <f>SQRT(1/E6)*I6</f>
        <v>0.011008101185080676</v>
      </c>
      <c r="J7" s="42">
        <f>SQRT(1/F6)*J6</f>
        <v>0.007820154228013748</v>
      </c>
      <c r="K7" s="42">
        <f>($L$2*I7+$L$3*J7)/($L$2+$L$3)</f>
        <v>0.009635545113383498</v>
      </c>
    </row>
    <row r="8" spans="1:16" ht="12.75">
      <c r="A8" s="41">
        <v>1.2</v>
      </c>
      <c r="B8" s="41">
        <v>2.4</v>
      </c>
      <c r="C8" s="41">
        <v>126387</v>
      </c>
      <c r="D8" s="41">
        <v>13792</v>
      </c>
      <c r="E8" s="41">
        <v>10529</v>
      </c>
      <c r="F8" s="41">
        <v>7106</v>
      </c>
      <c r="G8" s="41">
        <v>0.127</v>
      </c>
      <c r="H8" s="42">
        <f>D8/C8/G8</f>
        <v>0.8592531288570058</v>
      </c>
      <c r="I8" s="42">
        <f>E8/D8</f>
        <v>0.7634135730858469</v>
      </c>
      <c r="J8" s="42">
        <f>F8/D8</f>
        <v>0.5152262180974478</v>
      </c>
      <c r="K8" s="42">
        <f>(I8*$L$8+J8*$L$9)/($L$8+$L$9)</f>
        <v>0.6453268812056435</v>
      </c>
      <c r="L8" s="41">
        <v>1.711</v>
      </c>
      <c r="M8" s="41" t="s">
        <v>51</v>
      </c>
      <c r="O8" s="42">
        <f>(H8*K8)/(simDauDJ!H8*simDauDJ!K8)</f>
        <v>1.0428995260186782</v>
      </c>
      <c r="P8" s="42">
        <f>(H8*K8)/('simDau.QM'!H8*'simDau.QM'!K8)</f>
        <v>1.1013171684546033</v>
      </c>
    </row>
    <row r="9" spans="8:13" ht="12.75">
      <c r="H9" s="42"/>
      <c r="I9" s="42">
        <f>SQRT(1/E8)*I8</f>
        <v>0.007439886571830249</v>
      </c>
      <c r="J9" s="42">
        <f>SQRT(1/F8)*J8</f>
        <v>0.0061120282528154294</v>
      </c>
      <c r="K9" s="42">
        <f>($L$2*I9+$L$3*J9)/($L$2+$L$3)</f>
        <v>0.006868183208298051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62786</v>
      </c>
      <c r="D10" s="41">
        <v>5984</v>
      </c>
      <c r="E10" s="41">
        <v>4538</v>
      </c>
      <c r="F10" s="41">
        <v>2822</v>
      </c>
      <c r="G10" s="41">
        <f>G8</f>
        <v>0.127</v>
      </c>
      <c r="H10" s="42">
        <f>D10/C10/G10</f>
        <v>0.7504556785942801</v>
      </c>
      <c r="I10" s="42">
        <f>E10/D10</f>
        <v>0.758355614973262</v>
      </c>
      <c r="J10" s="42">
        <f>F10/D10</f>
        <v>0.4715909090909091</v>
      </c>
      <c r="K10" s="42">
        <f>(I10*$L$8+J10*$L$9)/($L$8+$L$9)</f>
        <v>0.6219139519109782</v>
      </c>
      <c r="O10" s="42">
        <f>(H10*K10)/(simDauDJ!H10*simDauDJ!K10)</f>
        <v>1.0393892160969957</v>
      </c>
      <c r="P10" s="42">
        <f>(H10*K10)/('simDau.QM'!H10*'simDau.QM'!K10)</f>
        <v>0.9669617751147553</v>
      </c>
    </row>
    <row r="11" spans="8:11" ht="12.75">
      <c r="H11" s="42"/>
      <c r="I11" s="42">
        <f>SQRT(1/E10)*I10</f>
        <v>0.011257466439237493</v>
      </c>
      <c r="J11" s="42">
        <f>SQRT(1/F10)*J10</f>
        <v>0.008877423118511649</v>
      </c>
      <c r="K11" s="42">
        <f>($L$2*I11+$L$3*J11)/($L$2+$L$3)</f>
        <v>0.01023274960587771</v>
      </c>
    </row>
    <row r="12" spans="1:16" ht="12.75">
      <c r="A12" s="41">
        <v>1.7</v>
      </c>
      <c r="B12" s="41">
        <v>2.4</v>
      </c>
      <c r="C12" s="41">
        <v>63601</v>
      </c>
      <c r="D12" s="41">
        <v>7808</v>
      </c>
      <c r="E12" s="41">
        <v>5991</v>
      </c>
      <c r="F12" s="41">
        <v>4284</v>
      </c>
      <c r="G12" s="41">
        <f>G8</f>
        <v>0.127</v>
      </c>
      <c r="H12" s="42">
        <f>D12/C12/G12</f>
        <v>0.9666564198775164</v>
      </c>
      <c r="I12" s="42">
        <f>E12/D12</f>
        <v>0.7672899590163934</v>
      </c>
      <c r="J12" s="42">
        <f>F12/D12</f>
        <v>0.5486680327868853</v>
      </c>
      <c r="K12" s="42">
        <f>(I12*$L$8+J12*$L$9)/($L$8+$L$9)</f>
        <v>0.6632703966896696</v>
      </c>
      <c r="O12" s="42">
        <f>(H12*K12)/(simDauDJ!H12*simDauDJ!K12)</f>
        <v>1.0454367363892372</v>
      </c>
      <c r="P12" s="42">
        <f>(H12*K12)/('simDau.QM'!H12*'simDau.QM'!K12)</f>
        <v>1.2033809470680272</v>
      </c>
    </row>
    <row r="13" spans="8:11" ht="12.75">
      <c r="H13" s="42"/>
      <c r="I13" s="42">
        <f>SQRT(1/E12)*I12</f>
        <v>0.00991310839806217</v>
      </c>
      <c r="J13" s="42">
        <f>SQRT(1/F12)*J12</f>
        <v>0.00838271935038605</v>
      </c>
      <c r="K13" s="42">
        <f>($L$2*I13+$L$3*J13)/($L$2+$L$3)</f>
        <v>0.009254206349899069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38241</v>
      </c>
    </row>
    <row r="17" ht="12.75">
      <c r="A17" s="101" t="s">
        <v>256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32310</v>
      </c>
      <c r="D19" s="41">
        <v>3021</v>
      </c>
      <c r="E19" s="41">
        <v>2293</v>
      </c>
      <c r="F19" s="41">
        <v>1197</v>
      </c>
      <c r="G19" s="41">
        <v>0.128</v>
      </c>
      <c r="H19" s="42">
        <f>D19/C19/G19</f>
        <v>0.7304723769730733</v>
      </c>
      <c r="I19" s="42">
        <f>E19/D19</f>
        <v>0.7590201919894075</v>
      </c>
      <c r="J19" s="42">
        <f>F19/D19</f>
        <v>0.39622641509433965</v>
      </c>
      <c r="K19" s="42">
        <f>(I19*$L$2+J19*$L$3)/($L$2+$L$3)</f>
        <v>0.6028209804098583</v>
      </c>
      <c r="O19" s="42">
        <f>(H19*K19)/(simDauDJ!H19*simDauDJ!K19)</f>
        <v>1</v>
      </c>
      <c r="P19" s="42">
        <f>(H19*K19)/('simDau.QM'!H19*'simDau.QM'!K19)</f>
        <v>1.2291337995191538</v>
      </c>
    </row>
    <row r="20" spans="2:11" ht="12.75">
      <c r="B20" s="43"/>
      <c r="I20" s="42">
        <f>SQRT(1/E19)*I19</f>
        <v>0.015850804228815463</v>
      </c>
      <c r="J20" s="42">
        <f>SQRT(1/F19+1/C19)*J19</f>
        <v>0.011662607066861973</v>
      </c>
      <c r="K20" s="42">
        <f>($L$2*I20+$L$3*J20)/($L$2+$L$3)</f>
        <v>0.014047594977996214</v>
      </c>
    </row>
    <row r="21" spans="2:16" ht="12.75">
      <c r="B21" s="43" t="s">
        <v>39</v>
      </c>
      <c r="C21" s="41">
        <v>52146</v>
      </c>
      <c r="D21" s="41">
        <v>4338</v>
      </c>
      <c r="E21" s="41">
        <v>3278</v>
      </c>
      <c r="F21" s="41">
        <v>1699</v>
      </c>
      <c r="G21" s="41">
        <v>0.128</v>
      </c>
      <c r="H21" s="42">
        <f>D21/C21/G21</f>
        <v>0.6499180186399723</v>
      </c>
      <c r="I21" s="42">
        <f>E21/D21</f>
        <v>0.7556477639465191</v>
      </c>
      <c r="J21" s="42">
        <f>F21/D21</f>
        <v>0.3916551406177962</v>
      </c>
      <c r="K21" s="42">
        <f>(I21*$L$2+J21*$L$3)/($L$2+$L$3)</f>
        <v>0.5989323944842617</v>
      </c>
      <c r="O21" s="42">
        <f>(H21*K21)/(simDauDJ!H21*simDauDJ!K21)</f>
        <v>1</v>
      </c>
      <c r="P21" s="42">
        <f>(H21*K21)/('simDau.QM'!H21*'simDau.QM'!K21)</f>
        <v>1.1432553355651325</v>
      </c>
    </row>
    <row r="22" spans="2:11" ht="12.75">
      <c r="B22" s="43"/>
      <c r="I22" s="42">
        <f>SQRT(1/E21)*I21</f>
        <v>0.013198206738865502</v>
      </c>
      <c r="J22" s="42">
        <f>SQRT(1/F21+1/C21)*J21</f>
        <v>0.009655379145772759</v>
      </c>
      <c r="K22" s="42">
        <f>($L$2*I22+$L$3*J22)/($L$2+$L$3)</f>
        <v>0.011672858422421207</v>
      </c>
    </row>
    <row r="23" spans="2:16" ht="12.75">
      <c r="B23" s="43" t="s">
        <v>40</v>
      </c>
      <c r="C23" s="41">
        <v>22370</v>
      </c>
      <c r="D23" s="41">
        <v>1463</v>
      </c>
      <c r="E23" s="41">
        <v>1121</v>
      </c>
      <c r="F23" s="41">
        <v>593</v>
      </c>
      <c r="G23" s="41">
        <v>0.128</v>
      </c>
      <c r="H23" s="42">
        <f>D23/C23/G23</f>
        <v>0.5109381984801072</v>
      </c>
      <c r="I23" s="42">
        <f>E23/D23</f>
        <v>0.7662337662337663</v>
      </c>
      <c r="J23" s="42">
        <f>F23/D23</f>
        <v>0.4053315105946685</v>
      </c>
      <c r="K23" s="42">
        <f>(I23*$L$2+J23*$L$3)/($L$2+$L$3)</f>
        <v>0.6108489405331511</v>
      </c>
      <c r="O23" s="42">
        <f>(H23*K23)/(simDauDJ!H23*simDauDJ!K23)</f>
        <v>1</v>
      </c>
      <c r="P23" s="42">
        <f>(H23*K23)/('simDau.QM'!H23*'simDau.QM'!K23)</f>
        <v>1.0242458392062754</v>
      </c>
    </row>
    <row r="24" spans="2:11" ht="12.75">
      <c r="B24" s="43"/>
      <c r="I24" s="42">
        <f>SQRT(1/E23)*I23</f>
        <v>0.022885398554727557</v>
      </c>
      <c r="J24" s="42">
        <f>SQRT(1/F23+1/C23)*J23</f>
        <v>0.01686414553390015</v>
      </c>
      <c r="K24" s="42">
        <f>($L$2*I24+$L$3*J24)/($L$2+$L$3)</f>
        <v>0.02029297543594223</v>
      </c>
    </row>
    <row r="25" spans="2:16" ht="12.75">
      <c r="B25" s="43" t="s">
        <v>41</v>
      </c>
      <c r="C25" s="41">
        <v>4347</v>
      </c>
      <c r="D25" s="41">
        <v>354</v>
      </c>
      <c r="E25" s="41">
        <v>289</v>
      </c>
      <c r="F25" s="41">
        <v>160</v>
      </c>
      <c r="G25" s="41">
        <v>0.128</v>
      </c>
      <c r="H25" s="42">
        <f>D25/C25/G25</f>
        <v>0.6362146307798481</v>
      </c>
      <c r="I25" s="42">
        <f>E25/D25</f>
        <v>0.8163841807909604</v>
      </c>
      <c r="J25" s="42">
        <f>F25/D25</f>
        <v>0.4519774011299435</v>
      </c>
      <c r="K25" s="42">
        <f>(I25*$L$2+J25*$L$3)/($L$2+$L$3)</f>
        <v>0.6594904982023626</v>
      </c>
      <c r="O25" s="42">
        <f>(H25*K25)/(simDauDJ!H25*simDauDJ!K25)</f>
        <v>1</v>
      </c>
      <c r="P25" s="42">
        <f>(H25*K25)/('simDau.QM'!H25*'simDau.QM'!K25)</f>
        <v>1.1071688481901112</v>
      </c>
    </row>
    <row r="26" spans="9:11" ht="12.75">
      <c r="I26" s="42">
        <f>SQRT(1/E25)*I25</f>
        <v>0.04802259887005649</v>
      </c>
      <c r="J26" s="42">
        <f>SQRT(1/F25+1/C25)*J25</f>
        <v>0.03638360166098266</v>
      </c>
      <c r="K26" s="42">
        <f>($L$2*I26+$L$3*J26)/($L$2+$L$3)</f>
        <v>0.04301148152622252</v>
      </c>
    </row>
    <row r="27" spans="2:16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(H27*K27)/(simDauDJ!H27*simDauDJ!K27)</f>
        <v>1</v>
      </c>
      <c r="P27" s="42">
        <f>(H27*K27)/('simDau.QM'!H27*'simDau.QM'!K27)</f>
        <v>0.9333861857100385</v>
      </c>
    </row>
    <row r="28" spans="9:11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</row>
    <row r="29" spans="1:16" ht="12.75">
      <c r="A29" s="41" t="s">
        <v>61</v>
      </c>
      <c r="B29" s="43" t="s">
        <v>38</v>
      </c>
      <c r="C29" s="41">
        <v>36557</v>
      </c>
      <c r="D29" s="41">
        <v>3911</v>
      </c>
      <c r="E29" s="41">
        <v>3245</v>
      </c>
      <c r="F29" s="41">
        <v>2147</v>
      </c>
      <c r="G29" s="41">
        <v>0.127</v>
      </c>
      <c r="H29" s="42">
        <f>D29/C29/G29</f>
        <v>0.8423906663717258</v>
      </c>
      <c r="I29" s="42">
        <f>E29/D29</f>
        <v>0.8297110713372539</v>
      </c>
      <c r="J29" s="42">
        <f>F29/D29</f>
        <v>0.5489644592175914</v>
      </c>
      <c r="K29" s="42">
        <f>(I29*$L$8+J29*$L$9)/($L$8+$L$9)</f>
        <v>0.6961327966369365</v>
      </c>
      <c r="O29" s="42">
        <f>(H29*K29)/(simDauDJ!H29*simDauDJ!K29)</f>
        <v>1</v>
      </c>
      <c r="P29" s="42">
        <f>(H29*K29)/('simDau.QM'!H29*'simDau.QM'!K29)</f>
        <v>1.08963572279447</v>
      </c>
    </row>
    <row r="30" spans="2:11" ht="12.75">
      <c r="B30" s="43"/>
      <c r="I30" s="42">
        <f>SQRT(1/E29)*I29</f>
        <v>0.01456530336857695</v>
      </c>
      <c r="J30" s="42">
        <f>SQRT(1/F29+1/C29)*J29</f>
        <v>0.01219048143458307</v>
      </c>
      <c r="K30" s="42">
        <f>($L$2*I30+$L$3*J30)/($L$2+$L$3)</f>
        <v>0.01354283457954104</v>
      </c>
    </row>
    <row r="31" spans="2:16" ht="12.75">
      <c r="B31" s="43" t="s">
        <v>39</v>
      </c>
      <c r="C31" s="41">
        <v>59235</v>
      </c>
      <c r="D31" s="41">
        <v>5727</v>
      </c>
      <c r="E31" s="41">
        <v>4755</v>
      </c>
      <c r="F31" s="41">
        <v>3223</v>
      </c>
      <c r="G31" s="41">
        <v>0.127</v>
      </c>
      <c r="H31" s="42">
        <f>D31/C31/G31</f>
        <v>0.7612811376547038</v>
      </c>
      <c r="I31" s="42">
        <f>E31/D31</f>
        <v>0.8302776322682033</v>
      </c>
      <c r="J31" s="42">
        <f>F31/D31</f>
        <v>0.5627728304522438</v>
      </c>
      <c r="K31" s="42">
        <f>(I31*$L$8+J31*$L$9)/($L$8+$L$9)</f>
        <v>0.7029997654728033</v>
      </c>
      <c r="O31" s="42">
        <f>(H31*K31)/(simDauDJ!H31*simDauDJ!K31)</f>
        <v>1</v>
      </c>
      <c r="P31" s="42">
        <f>(H31*K31)/('simDau.QM'!H31*'simDau.QM'!K31)</f>
        <v>1.0269150640399478</v>
      </c>
    </row>
    <row r="32" spans="2:11" ht="12.75">
      <c r="B32" s="43"/>
      <c r="I32" s="42">
        <f>SQRT(1/E31)*I31</f>
        <v>0.01204059857381478</v>
      </c>
      <c r="J32" s="42">
        <f>SQRT(1/F31+1/C31)*J31</f>
        <v>0.010179063178673878</v>
      </c>
      <c r="K32" s="42">
        <f>($L$2*I32+$L$3*J32)/($L$2+$L$3)</f>
        <v>0.011239122970961387</v>
      </c>
    </row>
    <row r="33" spans="2:16" ht="12.75">
      <c r="B33" s="43" t="s">
        <v>40</v>
      </c>
      <c r="C33" s="41">
        <v>25303</v>
      </c>
      <c r="D33" s="41">
        <v>1991</v>
      </c>
      <c r="E33" s="41">
        <v>1687</v>
      </c>
      <c r="F33" s="41">
        <v>1173</v>
      </c>
      <c r="G33" s="41">
        <v>0.127</v>
      </c>
      <c r="H33" s="42">
        <f>D33/C33/G33</f>
        <v>0.6195773368505991</v>
      </c>
      <c r="I33" s="42">
        <f>E33/D33</f>
        <v>0.8473129080863887</v>
      </c>
      <c r="J33" s="42">
        <f>F33/D33</f>
        <v>0.5891511803114013</v>
      </c>
      <c r="K33" s="42">
        <f>(I33*$L$8+J33*$L$9)/($L$8+$L$9)</f>
        <v>0.7244804438601157</v>
      </c>
      <c r="O33" s="42">
        <f>(H33*K33)/(simDauDJ!H33*simDauDJ!K33)</f>
        <v>1</v>
      </c>
      <c r="P33" s="42">
        <f>(H33*K33)/('simDau.QM'!H33*'simDau.QM'!K33)</f>
        <v>0.9269345845434055</v>
      </c>
    </row>
    <row r="34" spans="2:11" ht="12.75">
      <c r="B34" s="43"/>
      <c r="I34" s="42">
        <f>SQRT(1/E33)*I33</f>
        <v>0.020629385010459918</v>
      </c>
      <c r="J34" s="42">
        <f>SQRT(1/F33+1/C33)*J33</f>
        <v>0.017596160898508767</v>
      </c>
      <c r="K34" s="42">
        <f>($L$2*I34+$L$3*J34)/($L$2+$L$3)</f>
        <v>0.019323444156441674</v>
      </c>
    </row>
    <row r="35" spans="2:16" ht="12.75">
      <c r="B35" s="43" t="s">
        <v>41</v>
      </c>
      <c r="C35" s="41">
        <v>4622</v>
      </c>
      <c r="D35" s="41">
        <v>412</v>
      </c>
      <c r="E35" s="41">
        <v>341</v>
      </c>
      <c r="F35" s="41">
        <v>251</v>
      </c>
      <c r="G35" s="41">
        <v>0.127</v>
      </c>
      <c r="H35" s="42">
        <f>D35/C35/G35</f>
        <v>0.7018811095173033</v>
      </c>
      <c r="I35" s="42">
        <f>E35/D35</f>
        <v>0.8276699029126213</v>
      </c>
      <c r="J35" s="42">
        <f>F35/D35</f>
        <v>0.6092233009708737</v>
      </c>
      <c r="K35" s="42">
        <f>(I35*$L$8+J35*$L$9)/($L$8+$L$9)</f>
        <v>0.7237337592804111</v>
      </c>
      <c r="O35" s="42">
        <f>(H35*K35)/(simDauDJ!H35*simDauDJ!K35)</f>
        <v>1</v>
      </c>
      <c r="P35" s="42">
        <f>(H35*K35)/('simDau.QM'!H35*'simDau.QM'!K35)</f>
        <v>0.9277373501280188</v>
      </c>
    </row>
    <row r="36" spans="2:11" ht="12.75">
      <c r="B36" s="43"/>
      <c r="H36" s="42"/>
      <c r="I36" s="42">
        <f>SQRT(1/E35)*I35</f>
        <v>0.0448208381374257</v>
      </c>
      <c r="J36" s="42">
        <f>SQRT(1/F35+1/C35)*J35</f>
        <v>0.03948415788291162</v>
      </c>
      <c r="K36" s="42">
        <f>($L$2*I36+$L$3*J36)/($L$2+$L$3)</f>
        <v>0.04252315471148218</v>
      </c>
    </row>
    <row r="37" spans="2:16" ht="12.75">
      <c r="B37" s="43" t="s">
        <v>42</v>
      </c>
      <c r="C37" s="41">
        <v>569</v>
      </c>
      <c r="D37" s="41">
        <v>57</v>
      </c>
      <c r="E37" s="41">
        <v>45</v>
      </c>
      <c r="F37" s="41">
        <v>29</v>
      </c>
      <c r="G37" s="41">
        <v>0.127</v>
      </c>
      <c r="H37" s="42">
        <f>D37/C37/G37</f>
        <v>0.7887854088537702</v>
      </c>
      <c r="I37" s="42">
        <f>E37/D37</f>
        <v>0.7894736842105263</v>
      </c>
      <c r="J37" s="42">
        <f>F37/D37</f>
        <v>0.5087719298245614</v>
      </c>
      <c r="K37" s="42">
        <f>(I37*$L$8+J37*$L$9)/($L$8+$L$9)</f>
        <v>0.6559167526659786</v>
      </c>
      <c r="O37" s="42">
        <f>(H37*K37)/(simDauDJ!H37*simDauDJ!K37)</f>
        <v>1</v>
      </c>
      <c r="P37" s="42">
        <f>(H37*K37)/('simDau.QM'!H37*'simDau.QM'!K37)</f>
        <v>1.0623302458388468</v>
      </c>
    </row>
    <row r="38" spans="2:11" ht="12.75">
      <c r="B38" s="43"/>
      <c r="H38" s="42"/>
      <c r="I38" s="42">
        <f>SQRT(1/E37)*I37</f>
        <v>0.11768778828946262</v>
      </c>
      <c r="J38" s="42">
        <f>SQRT(1/F37+1/C37)*J37</f>
        <v>0.09685423206942904</v>
      </c>
      <c r="K38" s="42">
        <f>($L$2*I38+$L$3*J38)/($L$2+$L$3)</f>
        <v>0.10871799535690997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P59"/>
  <sheetViews>
    <sheetView workbookViewId="0" topLeftCell="A1">
      <selection activeCell="F13" sqref="F13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258</v>
      </c>
      <c r="P1" s="40" t="s">
        <v>176</v>
      </c>
    </row>
    <row r="2" spans="1:16" ht="12.75">
      <c r="A2" s="41">
        <v>-2.2</v>
      </c>
      <c r="B2" s="41">
        <v>-1.2</v>
      </c>
      <c r="C2" s="41">
        <v>111841</v>
      </c>
      <c r="D2" s="41">
        <v>10378</v>
      </c>
      <c r="E2" s="41">
        <v>7309</v>
      </c>
      <c r="F2" s="41">
        <v>3818</v>
      </c>
      <c r="G2" s="41">
        <v>0.128</v>
      </c>
      <c r="H2" s="42">
        <f>D2/C2/G2</f>
        <v>0.7249409876521132</v>
      </c>
      <c r="I2" s="42">
        <f>E2/D2</f>
        <v>0.704278280978994</v>
      </c>
      <c r="J2" s="42">
        <f>F2/D2</f>
        <v>0.3678936211216034</v>
      </c>
      <c r="K2" s="42">
        <f>(I2*$L$2+J2*$L$3)/($L$2+$L$3)</f>
        <v>0.5594493946985757</v>
      </c>
      <c r="L2" s="41">
        <v>1.566</v>
      </c>
      <c r="M2" s="41" t="s">
        <v>51</v>
      </c>
      <c r="O2" s="42">
        <f>(H2*K2)/(simDauDJ!H2*simDauDJ!K2)</f>
        <v>1.0391469761370646</v>
      </c>
      <c r="P2" s="42">
        <f>(H2*K2)/('simDau.QM'!H2*'simDau.QM'!K2)</f>
        <v>1.2295905935554026</v>
      </c>
    </row>
    <row r="3" spans="8:13" ht="12.75">
      <c r="H3" s="42"/>
      <c r="I3" s="42">
        <f>SQRT(1/E2)*I2</f>
        <v>0.008237877215837927</v>
      </c>
      <c r="J3" s="42">
        <f>SQRT(1/F2)*J2</f>
        <v>0.005953937832251072</v>
      </c>
      <c r="K3" s="42">
        <f>($L$2*I3+$L$3*J3)/($L$2+$L$3)</f>
        <v>0.007254537495777259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49193</v>
      </c>
      <c r="D4" s="41">
        <v>4800</v>
      </c>
      <c r="E4" s="41">
        <v>3446</v>
      </c>
      <c r="F4" s="41">
        <v>1854</v>
      </c>
      <c r="G4" s="41">
        <f>G2</f>
        <v>0.128</v>
      </c>
      <c r="H4" s="42">
        <f>D4/C4/G4</f>
        <v>0.7623035797776107</v>
      </c>
      <c r="I4" s="42">
        <f>E4/D4</f>
        <v>0.7179166666666666</v>
      </c>
      <c r="J4" s="42">
        <f>F4/D4</f>
        <v>0.38625</v>
      </c>
      <c r="K4" s="42">
        <f>(I4*$L$2+J4*$L$3)/($L$2+$L$3)</f>
        <v>0.5751190909090909</v>
      </c>
      <c r="O4" s="42">
        <f>(H4*K4)/(simDauDJ!H4*simDauDJ!K4)</f>
        <v>1.0470862272812786</v>
      </c>
      <c r="P4" s="42">
        <f>(H4*K4)/('simDau.QM'!H4*'simDau.QM'!K4)</f>
        <v>1.227786676534367</v>
      </c>
    </row>
    <row r="5" spans="8:11" ht="12.75">
      <c r="H5" s="42"/>
      <c r="I5" s="42">
        <f>SQRT(1/E4)*I4</f>
        <v>0.012229716767865976</v>
      </c>
      <c r="J5" s="42">
        <f>SQRT(1/F4)*J4</f>
        <v>0.008970437559004577</v>
      </c>
      <c r="K5" s="42">
        <f>($L$2*I5+$L$3*J5)/($L$2+$L$3)</f>
        <v>0.010826448919396195</v>
      </c>
    </row>
    <row r="6" spans="1:16" ht="12.75">
      <c r="A6" s="41">
        <v>-1.7</v>
      </c>
      <c r="B6" s="41">
        <v>-1.2</v>
      </c>
      <c r="C6" s="41">
        <v>62648</v>
      </c>
      <c r="D6" s="41">
        <v>5578</v>
      </c>
      <c r="E6" s="41">
        <v>3863</v>
      </c>
      <c r="F6" s="41">
        <v>1964</v>
      </c>
      <c r="G6" s="41">
        <f>G2</f>
        <v>0.128</v>
      </c>
      <c r="H6" s="42">
        <f>D6/C6/G6</f>
        <v>0.6956028125399055</v>
      </c>
      <c r="I6" s="42">
        <f>E6/D6</f>
        <v>0.6925421297956257</v>
      </c>
      <c r="J6" s="42">
        <f>F6/D6</f>
        <v>0.3520975259949803</v>
      </c>
      <c r="K6" s="42">
        <f>(I6*$L$2+J6*$L$3)/($L$2+$L$3)</f>
        <v>0.5459652531047297</v>
      </c>
      <c r="O6" s="42">
        <f>(H6*K6)/(simDauDJ!H6*simDauDJ!K6)</f>
        <v>1.0320535697561273</v>
      </c>
      <c r="P6" s="42">
        <f>(H6*K6)/('simDau.QM'!H6*'simDau.QM'!K6)</f>
        <v>1.2312303844572867</v>
      </c>
    </row>
    <row r="7" spans="8:11" ht="12.75">
      <c r="H7" s="42"/>
      <c r="I7" s="42">
        <f>SQRT(1/E6)*I6</f>
        <v>0.01114253082342082</v>
      </c>
      <c r="J7" s="42">
        <f>SQRT(1/F6)*J6</f>
        <v>0.007944969453625076</v>
      </c>
      <c r="K7" s="42">
        <f>($L$2*I7+$L$3*J7)/($L$2+$L$3)</f>
        <v>0.009765835310025126</v>
      </c>
    </row>
    <row r="8" spans="1:16" ht="12.75">
      <c r="A8" s="41">
        <v>1.2</v>
      </c>
      <c r="B8" s="41">
        <v>2.4</v>
      </c>
      <c r="C8" s="41">
        <v>126387</v>
      </c>
      <c r="D8" s="41">
        <v>13678</v>
      </c>
      <c r="E8" s="41">
        <v>10526</v>
      </c>
      <c r="F8" s="41">
        <v>7094</v>
      </c>
      <c r="G8" s="41">
        <v>0.127</v>
      </c>
      <c r="H8" s="42">
        <f>D8/C8/G8</f>
        <v>0.8521508335633792</v>
      </c>
      <c r="I8" s="42">
        <f>E8/D8</f>
        <v>0.7695569527708729</v>
      </c>
      <c r="J8" s="42">
        <f>F8/D8</f>
        <v>0.5186430764731685</v>
      </c>
      <c r="K8" s="42">
        <f>(I8*$L$8+J8*$L$9)/($L$8+$L$9)</f>
        <v>0.6501729914074124</v>
      </c>
      <c r="L8" s="41">
        <v>1.711</v>
      </c>
      <c r="M8" s="41" t="s">
        <v>51</v>
      </c>
      <c r="O8" s="42">
        <f>(H8*K8)/(simDauDJ!H8*simDauDJ!K8)</f>
        <v>1.0420462368634342</v>
      </c>
      <c r="P8" s="42">
        <f>(H8*K8)/('simDau.QM'!H8*'simDau.QM'!K8)</f>
        <v>1.1004160826137517</v>
      </c>
    </row>
    <row r="9" spans="8:13" ht="12.75">
      <c r="H9" s="42"/>
      <c r="I9" s="42">
        <f>SQRT(1/E8)*I8</f>
        <v>0.007500825868507446</v>
      </c>
      <c r="J9" s="42">
        <f>SQRT(1/F8)*J8</f>
        <v>0.006157763324826894</v>
      </c>
      <c r="K9" s="42">
        <f>($L$2*I9+$L$3*J9)/($L$2+$L$3)</f>
        <v>0.006922576395155528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62786</v>
      </c>
      <c r="D10" s="41">
        <v>5950</v>
      </c>
      <c r="E10" s="41">
        <v>4542</v>
      </c>
      <c r="F10" s="41">
        <v>2825</v>
      </c>
      <c r="G10" s="41">
        <f>G8</f>
        <v>0.127</v>
      </c>
      <c r="H10" s="42">
        <f>D10/C10/G10</f>
        <v>0.7461917258749945</v>
      </c>
      <c r="I10" s="42">
        <f>E10/D10</f>
        <v>0.7633613445378151</v>
      </c>
      <c r="J10" s="42">
        <f>F10/D10</f>
        <v>0.47478991596638653</v>
      </c>
      <c r="K10" s="42">
        <f>(I10*$L$8+J10*$L$9)/($L$8+$L$9)</f>
        <v>0.6260600490196078</v>
      </c>
      <c r="O10" s="42">
        <f>(H10*K10)/(simDauDJ!H10*simDauDJ!K10)</f>
        <v>1.0403734929944606</v>
      </c>
      <c r="P10" s="42">
        <f>(H10*K10)/('simDau.QM'!H10*'simDau.QM'!K10)</f>
        <v>0.9678774649460882</v>
      </c>
    </row>
    <row r="11" spans="8:11" ht="12.75">
      <c r="H11" s="42"/>
      <c r="I11" s="42">
        <f>SQRT(1/E10)*I10</f>
        <v>0.01132678349276924</v>
      </c>
      <c r="J11" s="42">
        <f>SQRT(1/F10)*J10</f>
        <v>0.008932895640953486</v>
      </c>
      <c r="K11" s="42">
        <f>($L$2*I11+$L$3*J11)/($L$2+$L$3)</f>
        <v>0.010296105959478384</v>
      </c>
    </row>
    <row r="12" spans="1:16" ht="12.75">
      <c r="A12" s="41">
        <v>1.7</v>
      </c>
      <c r="B12" s="41">
        <v>2.4</v>
      </c>
      <c r="C12" s="41">
        <v>63601</v>
      </c>
      <c r="D12" s="41">
        <v>7728</v>
      </c>
      <c r="E12" s="41">
        <v>5984</v>
      </c>
      <c r="F12" s="41">
        <v>4269</v>
      </c>
      <c r="G12" s="41">
        <f>G8</f>
        <v>0.127</v>
      </c>
      <c r="H12" s="42">
        <f>D12/C12/G12</f>
        <v>0.9567521532804106</v>
      </c>
      <c r="I12" s="42">
        <f>E12/D12</f>
        <v>0.7743271221532091</v>
      </c>
      <c r="J12" s="42">
        <f>F12/D12</f>
        <v>0.5524068322981367</v>
      </c>
      <c r="K12" s="42">
        <f>(I12*$L$8+J12*$L$9)/($L$8+$L$9)</f>
        <v>0.6687382097313563</v>
      </c>
      <c r="O12" s="42">
        <f>(H12*K12)/(simDauDJ!H12*simDauDJ!K12)</f>
        <v>1.0432552762891085</v>
      </c>
      <c r="P12" s="42">
        <f>(H12*K12)/('simDau.QM'!H12*'simDau.QM'!K12)</f>
        <v>1.2008699127510674</v>
      </c>
    </row>
    <row r="13" spans="8:11" ht="12.75">
      <c r="H13" s="42"/>
      <c r="I13" s="42">
        <f>SQRT(1/E12)*I12</f>
        <v>0.010009875572367348</v>
      </c>
      <c r="J13" s="42">
        <f>SQRT(1/F12)*J12</f>
        <v>0.008454656430600225</v>
      </c>
      <c r="K13" s="42">
        <f>($L$2*I13+$L$3*J13)/($L$2+$L$3)</f>
        <v>0.00934028304005743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ht="12.75">
      <c r="J15" s="42"/>
    </row>
    <row r="16" ht="12.75">
      <c r="A16" s="181">
        <v>38241</v>
      </c>
    </row>
    <row r="17" ht="12.75">
      <c r="A17" s="101" t="s">
        <v>255</v>
      </c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32310</v>
      </c>
      <c r="D19" s="41">
        <v>3021</v>
      </c>
      <c r="E19" s="41">
        <v>2293</v>
      </c>
      <c r="F19" s="41">
        <v>1197</v>
      </c>
      <c r="G19" s="41">
        <v>0.128</v>
      </c>
      <c r="H19" s="42">
        <f>D19/C19/G19</f>
        <v>0.7304723769730733</v>
      </c>
      <c r="I19" s="42">
        <f>E19/D19</f>
        <v>0.7590201919894075</v>
      </c>
      <c r="J19" s="42">
        <f>F19/D19</f>
        <v>0.39622641509433965</v>
      </c>
      <c r="K19" s="42">
        <f>(I19*$L$2+J19*$L$3)/($L$2+$L$3)</f>
        <v>0.6028209804098583</v>
      </c>
      <c r="O19" s="42">
        <f>(H19*K19)/(simDauDJ!H19*simDauDJ!K19)</f>
        <v>1</v>
      </c>
      <c r="P19" s="42">
        <f>(H19*K19)/('simDau.QM'!H19*'simDau.QM'!K19)</f>
        <v>1.2291337995191538</v>
      </c>
    </row>
    <row r="20" spans="2:11" ht="12.75">
      <c r="B20" s="43"/>
      <c r="I20" s="42">
        <f>SQRT(1/E19)*I19</f>
        <v>0.015850804228815463</v>
      </c>
      <c r="J20" s="42">
        <f>SQRT(1/F19+1/C19)*J19</f>
        <v>0.011662607066861973</v>
      </c>
      <c r="K20" s="42">
        <f>($L$2*I20+$L$3*J20)/($L$2+$L$3)</f>
        <v>0.014047594977996214</v>
      </c>
    </row>
    <row r="21" spans="2:16" ht="12.75">
      <c r="B21" s="43" t="s">
        <v>39</v>
      </c>
      <c r="C21" s="41">
        <v>52146</v>
      </c>
      <c r="D21" s="41">
        <v>4338</v>
      </c>
      <c r="E21" s="41">
        <v>3278</v>
      </c>
      <c r="F21" s="41">
        <v>1699</v>
      </c>
      <c r="G21" s="41">
        <v>0.128</v>
      </c>
      <c r="H21" s="42">
        <f>D21/C21/G21</f>
        <v>0.6499180186399723</v>
      </c>
      <c r="I21" s="42">
        <f>E21/D21</f>
        <v>0.7556477639465191</v>
      </c>
      <c r="J21" s="42">
        <f>F21/D21</f>
        <v>0.3916551406177962</v>
      </c>
      <c r="K21" s="42">
        <f>(I21*$L$2+J21*$L$3)/($L$2+$L$3)</f>
        <v>0.5989323944842617</v>
      </c>
      <c r="O21" s="42">
        <f>(H21*K21)/(simDauDJ!H21*simDauDJ!K21)</f>
        <v>1</v>
      </c>
      <c r="P21" s="42">
        <f>(H21*K21)/('simDau.QM'!H21*'simDau.QM'!K21)</f>
        <v>1.1432553355651325</v>
      </c>
    </row>
    <row r="22" spans="2:11" ht="12.75">
      <c r="B22" s="43"/>
      <c r="I22" s="42">
        <f>SQRT(1/E21)*I21</f>
        <v>0.013198206738865502</v>
      </c>
      <c r="J22" s="42">
        <f>SQRT(1/F21+1/C21)*J21</f>
        <v>0.009655379145772759</v>
      </c>
      <c r="K22" s="42">
        <f>($L$2*I22+$L$3*J22)/($L$2+$L$3)</f>
        <v>0.011672858422421207</v>
      </c>
    </row>
    <row r="23" spans="2:16" ht="12.75">
      <c r="B23" s="43" t="s">
        <v>40</v>
      </c>
      <c r="C23" s="41">
        <v>22370</v>
      </c>
      <c r="D23" s="41">
        <v>1463</v>
      </c>
      <c r="E23" s="41">
        <v>1121</v>
      </c>
      <c r="F23" s="41">
        <v>593</v>
      </c>
      <c r="G23" s="41">
        <v>0.128</v>
      </c>
      <c r="H23" s="42">
        <f>D23/C23/G23</f>
        <v>0.5109381984801072</v>
      </c>
      <c r="I23" s="42">
        <f>E23/D23</f>
        <v>0.7662337662337663</v>
      </c>
      <c r="J23" s="42">
        <f>F23/D23</f>
        <v>0.4053315105946685</v>
      </c>
      <c r="K23" s="42">
        <f>(I23*$L$2+J23*$L$3)/($L$2+$L$3)</f>
        <v>0.6108489405331511</v>
      </c>
      <c r="O23" s="42">
        <f>(H23*K23)/(simDauDJ!H23*simDauDJ!K23)</f>
        <v>1</v>
      </c>
      <c r="P23" s="42">
        <f>(H23*K23)/('simDau.QM'!H23*'simDau.QM'!K23)</f>
        <v>1.0242458392062754</v>
      </c>
    </row>
    <row r="24" spans="2:11" ht="12.75">
      <c r="B24" s="43"/>
      <c r="I24" s="42">
        <f>SQRT(1/E23)*I23</f>
        <v>0.022885398554727557</v>
      </c>
      <c r="J24" s="42">
        <f>SQRT(1/F23+1/C23)*J23</f>
        <v>0.01686414553390015</v>
      </c>
      <c r="K24" s="42">
        <f>($L$2*I24+$L$3*J24)/($L$2+$L$3)</f>
        <v>0.02029297543594223</v>
      </c>
    </row>
    <row r="25" spans="2:16" ht="12.75">
      <c r="B25" s="43" t="s">
        <v>41</v>
      </c>
      <c r="C25" s="41">
        <v>4347</v>
      </c>
      <c r="D25" s="41">
        <v>354</v>
      </c>
      <c r="E25" s="41">
        <v>289</v>
      </c>
      <c r="F25" s="41">
        <v>160</v>
      </c>
      <c r="G25" s="41">
        <v>0.128</v>
      </c>
      <c r="H25" s="42">
        <f>D25/C25/G25</f>
        <v>0.6362146307798481</v>
      </c>
      <c r="I25" s="42">
        <f>E25/D25</f>
        <v>0.8163841807909604</v>
      </c>
      <c r="J25" s="42">
        <f>F25/D25</f>
        <v>0.4519774011299435</v>
      </c>
      <c r="K25" s="42">
        <f>(I25*$L$2+J25*$L$3)/($L$2+$L$3)</f>
        <v>0.6594904982023626</v>
      </c>
      <c r="O25" s="42">
        <f>(H25*K25)/(simDauDJ!H25*simDauDJ!K25)</f>
        <v>1</v>
      </c>
      <c r="P25" s="42">
        <f>(H25*K25)/('simDau.QM'!H25*'simDau.QM'!K25)</f>
        <v>1.1071688481901112</v>
      </c>
    </row>
    <row r="26" spans="9:11" ht="12.75">
      <c r="I26" s="42">
        <f>SQRT(1/E25)*I25</f>
        <v>0.04802259887005649</v>
      </c>
      <c r="J26" s="42">
        <f>SQRT(1/F25+1/C25)*J25</f>
        <v>0.03638360166098266</v>
      </c>
      <c r="K26" s="42">
        <f>($L$2*I26+$L$3*J26)/($L$2+$L$3)</f>
        <v>0.04301148152622252</v>
      </c>
    </row>
    <row r="27" spans="2:16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(H27*K27)/(simDauDJ!H27*simDauDJ!K27)</f>
        <v>1</v>
      </c>
      <c r="P27" s="42">
        <f>(H27*K27)/('simDau.QM'!H27*'simDau.QM'!K27)</f>
        <v>0.9333861857100385</v>
      </c>
    </row>
    <row r="28" spans="9:11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</row>
    <row r="29" spans="1:16" ht="12.75">
      <c r="A29" s="41" t="s">
        <v>61</v>
      </c>
      <c r="B29" s="43" t="s">
        <v>38</v>
      </c>
      <c r="C29" s="41">
        <v>36557</v>
      </c>
      <c r="D29" s="41">
        <v>3911</v>
      </c>
      <c r="E29" s="41">
        <v>3245</v>
      </c>
      <c r="F29" s="41">
        <v>2147</v>
      </c>
      <c r="G29" s="41">
        <v>0.127</v>
      </c>
      <c r="H29" s="42">
        <f>D29/C29/G29</f>
        <v>0.8423906663717258</v>
      </c>
      <c r="I29" s="42">
        <f>E29/D29</f>
        <v>0.8297110713372539</v>
      </c>
      <c r="J29" s="42">
        <f>F29/D29</f>
        <v>0.5489644592175914</v>
      </c>
      <c r="K29" s="42">
        <f>(I29*$L$8+J29*$L$9)/($L$8+$L$9)</f>
        <v>0.6961327966369365</v>
      </c>
      <c r="O29" s="42">
        <f>(H29*K29)/(simDauDJ!H29*simDauDJ!K29)</f>
        <v>1</v>
      </c>
      <c r="P29" s="42">
        <f>(H29*K29)/('simDau.QM'!H29*'simDau.QM'!K29)</f>
        <v>1.08963572279447</v>
      </c>
    </row>
    <row r="30" spans="2:11" ht="12.75">
      <c r="B30" s="43"/>
      <c r="I30" s="42">
        <f>SQRT(1/E29)*I29</f>
        <v>0.01456530336857695</v>
      </c>
      <c r="J30" s="42">
        <f>SQRT(1/F29+1/C29)*J29</f>
        <v>0.01219048143458307</v>
      </c>
      <c r="K30" s="42">
        <f>($L$2*I30+$L$3*J30)/($L$2+$L$3)</f>
        <v>0.01354283457954104</v>
      </c>
    </row>
    <row r="31" spans="2:16" ht="12.75">
      <c r="B31" s="43" t="s">
        <v>39</v>
      </c>
      <c r="C31" s="41">
        <v>59235</v>
      </c>
      <c r="D31" s="41">
        <v>5727</v>
      </c>
      <c r="E31" s="41">
        <v>4755</v>
      </c>
      <c r="F31" s="41">
        <v>3223</v>
      </c>
      <c r="G31" s="41">
        <v>0.127</v>
      </c>
      <c r="H31" s="42">
        <f>D31/C31/G31</f>
        <v>0.7612811376547038</v>
      </c>
      <c r="I31" s="42">
        <f>E31/D31</f>
        <v>0.8302776322682033</v>
      </c>
      <c r="J31" s="42">
        <f>F31/D31</f>
        <v>0.5627728304522438</v>
      </c>
      <c r="K31" s="42">
        <f>(I31*$L$8+J31*$L$9)/($L$8+$L$9)</f>
        <v>0.7029997654728033</v>
      </c>
      <c r="O31" s="42">
        <f>(H31*K31)/(simDauDJ!H31*simDauDJ!K31)</f>
        <v>1</v>
      </c>
      <c r="P31" s="42">
        <f>(H31*K31)/('simDau.QM'!H31*'simDau.QM'!K31)</f>
        <v>1.0269150640399478</v>
      </c>
    </row>
    <row r="32" spans="2:11" ht="12.75">
      <c r="B32" s="43"/>
      <c r="I32" s="42">
        <f>SQRT(1/E31)*I31</f>
        <v>0.01204059857381478</v>
      </c>
      <c r="J32" s="42">
        <f>SQRT(1/F31+1/C31)*J31</f>
        <v>0.010179063178673878</v>
      </c>
      <c r="K32" s="42">
        <f>($L$2*I32+$L$3*J32)/($L$2+$L$3)</f>
        <v>0.011239122970961387</v>
      </c>
    </row>
    <row r="33" spans="2:16" ht="12.75">
      <c r="B33" s="43" t="s">
        <v>40</v>
      </c>
      <c r="C33" s="41">
        <v>25303</v>
      </c>
      <c r="D33" s="41">
        <v>1991</v>
      </c>
      <c r="E33" s="41">
        <v>1687</v>
      </c>
      <c r="F33" s="41">
        <v>1173</v>
      </c>
      <c r="G33" s="41">
        <v>0.127</v>
      </c>
      <c r="H33" s="42">
        <f>D33/C33/G33</f>
        <v>0.6195773368505991</v>
      </c>
      <c r="I33" s="42">
        <f>E33/D33</f>
        <v>0.8473129080863887</v>
      </c>
      <c r="J33" s="42">
        <f>F33/D33</f>
        <v>0.5891511803114013</v>
      </c>
      <c r="K33" s="42">
        <f>(I33*$L$8+J33*$L$9)/($L$8+$L$9)</f>
        <v>0.7244804438601157</v>
      </c>
      <c r="O33" s="42">
        <f>(H33*K33)/(simDauDJ!H33*simDauDJ!K33)</f>
        <v>1</v>
      </c>
      <c r="P33" s="42">
        <f>(H33*K33)/('simDau.QM'!H33*'simDau.QM'!K33)</f>
        <v>0.9269345845434055</v>
      </c>
    </row>
    <row r="34" spans="2:11" ht="12.75">
      <c r="B34" s="43"/>
      <c r="I34" s="42">
        <f>SQRT(1/E33)*I33</f>
        <v>0.020629385010459918</v>
      </c>
      <c r="J34" s="42">
        <f>SQRT(1/F33+1/C33)*J33</f>
        <v>0.017596160898508767</v>
      </c>
      <c r="K34" s="42">
        <f>($L$2*I34+$L$3*J34)/($L$2+$L$3)</f>
        <v>0.019323444156441674</v>
      </c>
    </row>
    <row r="35" spans="2:16" ht="12.75">
      <c r="B35" s="43" t="s">
        <v>41</v>
      </c>
      <c r="C35" s="41">
        <v>4622</v>
      </c>
      <c r="D35" s="41">
        <v>412</v>
      </c>
      <c r="E35" s="41">
        <v>341</v>
      </c>
      <c r="F35" s="41">
        <v>251</v>
      </c>
      <c r="G35" s="41">
        <v>0.127</v>
      </c>
      <c r="H35" s="42">
        <f>D35/C35/G35</f>
        <v>0.7018811095173033</v>
      </c>
      <c r="I35" s="42">
        <f>E35/D35</f>
        <v>0.8276699029126213</v>
      </c>
      <c r="J35" s="42">
        <f>F35/D35</f>
        <v>0.6092233009708737</v>
      </c>
      <c r="K35" s="42">
        <f>(I35*$L$8+J35*$L$9)/($L$8+$L$9)</f>
        <v>0.7237337592804111</v>
      </c>
      <c r="O35" s="42">
        <f>(H35*K35)/(simDauDJ!H35*simDauDJ!K35)</f>
        <v>1</v>
      </c>
      <c r="P35" s="42">
        <f>(H35*K35)/('simDau.QM'!H35*'simDau.QM'!K35)</f>
        <v>0.9277373501280188</v>
      </c>
    </row>
    <row r="36" spans="2:11" ht="12.75">
      <c r="B36" s="43"/>
      <c r="H36" s="42"/>
      <c r="I36" s="42">
        <f>SQRT(1/E35)*I35</f>
        <v>0.0448208381374257</v>
      </c>
      <c r="J36" s="42">
        <f>SQRT(1/F35+1/C35)*J35</f>
        <v>0.03948415788291162</v>
      </c>
      <c r="K36" s="42">
        <f>($L$2*I36+$L$3*J36)/($L$2+$L$3)</f>
        <v>0.04252315471148218</v>
      </c>
    </row>
    <row r="37" spans="2:16" ht="12.75">
      <c r="B37" s="43" t="s">
        <v>42</v>
      </c>
      <c r="C37" s="41">
        <v>569</v>
      </c>
      <c r="D37" s="41">
        <v>57</v>
      </c>
      <c r="E37" s="41">
        <v>45</v>
      </c>
      <c r="F37" s="41">
        <v>29</v>
      </c>
      <c r="G37" s="41">
        <v>0.127</v>
      </c>
      <c r="H37" s="42">
        <f>D37/C37/G37</f>
        <v>0.7887854088537702</v>
      </c>
      <c r="I37" s="42">
        <f>E37/D37</f>
        <v>0.7894736842105263</v>
      </c>
      <c r="J37" s="42">
        <f>F37/D37</f>
        <v>0.5087719298245614</v>
      </c>
      <c r="K37" s="42">
        <f>(I37*$L$8+J37*$L$9)/($L$8+$L$9)</f>
        <v>0.6559167526659786</v>
      </c>
      <c r="O37" s="42">
        <f>(H37*K37)/(simDauDJ!H37*simDauDJ!K37)</f>
        <v>1</v>
      </c>
      <c r="P37" s="42">
        <f>(H37*K37)/('simDau.QM'!H37*'simDau.QM'!K37)</f>
        <v>1.0623302458388468</v>
      </c>
    </row>
    <row r="38" spans="2:11" ht="12.75">
      <c r="B38" s="43"/>
      <c r="H38" s="42"/>
      <c r="I38" s="42">
        <f>SQRT(1/E37)*I37</f>
        <v>0.11768778828946262</v>
      </c>
      <c r="J38" s="42">
        <f>SQRT(1/F37+1/C37)*J37</f>
        <v>0.09685423206942904</v>
      </c>
      <c r="K38" s="42">
        <f>($L$2*I38+$L$3*J38)/($L$2+$L$3)</f>
        <v>0.10871799535690997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5" sqref="A15"/>
    </sheetView>
  </sheetViews>
  <sheetFormatPr defaultColWidth="9.140625" defaultRowHeight="12.75"/>
  <cols>
    <col min="1" max="16384" width="9.140625" style="41" customWidth="1"/>
  </cols>
  <sheetData>
    <row r="1" spans="1:12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  <c r="K1" s="40" t="s">
        <v>173</v>
      </c>
      <c r="L1" s="40" t="s">
        <v>176</v>
      </c>
    </row>
    <row r="2" spans="1:12" ht="12.75">
      <c r="A2" s="41">
        <v>-2.2</v>
      </c>
      <c r="B2" s="41">
        <v>-1.2</v>
      </c>
      <c r="C2" s="41">
        <v>111841</v>
      </c>
      <c r="D2" s="41">
        <v>7285</v>
      </c>
      <c r="E2" s="41">
        <v>3919</v>
      </c>
      <c r="G2" s="41">
        <v>0.128</v>
      </c>
      <c r="H2" s="42">
        <f>D2/C2/G2</f>
        <v>0.5088837054389713</v>
      </c>
      <c r="I2" s="42">
        <f>E2/D2</f>
        <v>0.5379547014413177</v>
      </c>
      <c r="J2" s="42"/>
      <c r="K2" s="42">
        <f>(H2*I2)/(simPp!H2*simPp!I2)</f>
        <v>0.9464801303578526</v>
      </c>
      <c r="L2" s="42">
        <f>(H2*I2)/('simPp.QM'!H2*'simPp.QM'!I2)</f>
        <v>1.2769631801889865</v>
      </c>
    </row>
    <row r="3" spans="8:10" ht="12.75">
      <c r="H3" s="42"/>
      <c r="I3" s="42">
        <f>SQRT(1/E2)*I2</f>
        <v>0.008593262443865223</v>
      </c>
      <c r="J3" s="42"/>
    </row>
    <row r="4" spans="1:12" ht="12.75">
      <c r="A4" s="41">
        <v>-2.2</v>
      </c>
      <c r="B4" s="41">
        <v>-1.7</v>
      </c>
      <c r="C4" s="41">
        <v>49193</v>
      </c>
      <c r="D4" s="41">
        <v>3501</v>
      </c>
      <c r="E4" s="41">
        <v>1909</v>
      </c>
      <c r="G4" s="41">
        <f>G2</f>
        <v>0.128</v>
      </c>
      <c r="H4" s="42">
        <f>D4/C4/G4</f>
        <v>0.5560051735002948</v>
      </c>
      <c r="I4" s="42">
        <f>E4/D4</f>
        <v>0.5452727792059412</v>
      </c>
      <c r="J4" s="42"/>
      <c r="K4" s="42">
        <f>(H4*I4)/(simPp!H4*simPp!I4)</f>
        <v>0.9639894811972745</v>
      </c>
      <c r="L4" s="42">
        <f>(H4*I4)/('simPp.QM'!H4*'simPp.QM'!I4)</f>
        <v>1.229233741146169</v>
      </c>
    </row>
    <row r="5" spans="8:10" ht="12.75">
      <c r="H5" s="42"/>
      <c r="I5" s="42">
        <f>SQRT(1/E4)*I4</f>
        <v>0.012479892759185079</v>
      </c>
      <c r="J5" s="42"/>
    </row>
    <row r="6" spans="1:12" ht="12.75">
      <c r="A6" s="41">
        <v>-1.7</v>
      </c>
      <c r="B6" s="41">
        <v>-1.2</v>
      </c>
      <c r="C6" s="41">
        <v>62648</v>
      </c>
      <c r="D6" s="41">
        <v>3784</v>
      </c>
      <c r="E6" s="41">
        <v>2010</v>
      </c>
      <c r="G6" s="41">
        <f>G2</f>
        <v>0.128</v>
      </c>
      <c r="H6" s="42">
        <f>D6/C6/G6</f>
        <v>0.4718825820457157</v>
      </c>
      <c r="I6" s="42">
        <f>E6/D6</f>
        <v>0.531183932346723</v>
      </c>
      <c r="J6" s="42"/>
      <c r="K6" s="42">
        <f>(H6*I6)/(simPp!H6*simPp!I6)</f>
        <v>0.9297887507172398</v>
      </c>
      <c r="L6" s="42">
        <f>(H6*I6)/('simPp.QM'!H6*'simPp.QM'!I6)</f>
        <v>1.3258575197889182</v>
      </c>
    </row>
    <row r="7" spans="8:10" ht="12.75">
      <c r="H7" s="42"/>
      <c r="I7" s="42">
        <f>SQRT(1/E6)*I6</f>
        <v>0.011848050619164848</v>
      </c>
      <c r="J7" s="42"/>
    </row>
    <row r="8" spans="1:12" ht="12.75">
      <c r="A8" s="41">
        <v>1.2</v>
      </c>
      <c r="B8" s="41">
        <v>2.4</v>
      </c>
      <c r="C8" s="41">
        <v>126387</v>
      </c>
      <c r="D8" s="41">
        <v>12563</v>
      </c>
      <c r="E8" s="41">
        <v>9820</v>
      </c>
      <c r="G8" s="41">
        <v>0.127</v>
      </c>
      <c r="H8" s="42">
        <f>D8/C8/G8</f>
        <v>0.7826854015248379</v>
      </c>
      <c r="I8" s="42">
        <f>E8/D8</f>
        <v>0.7816604314256149</v>
      </c>
      <c r="J8" s="42"/>
      <c r="K8" s="42">
        <f>(H8*I8)/(simPp!H8*simPp!I8)</f>
        <v>0.9778478071942118</v>
      </c>
      <c r="L8" s="42">
        <f>(H8*I8)/('simPp.QM'!H8*'simPp.QM'!I8)</f>
        <v>1.0852027848381038</v>
      </c>
    </row>
    <row r="9" spans="8:10" ht="12.75">
      <c r="H9" s="42"/>
      <c r="I9" s="42">
        <f>SQRT(1/E8)*I8</f>
        <v>0.00788791794433654</v>
      </c>
      <c r="J9" s="42"/>
    </row>
    <row r="10" spans="1:12" ht="12.75">
      <c r="A10" s="41">
        <v>1.2</v>
      </c>
      <c r="B10" s="41">
        <v>1.7</v>
      </c>
      <c r="C10" s="41">
        <v>62786</v>
      </c>
      <c r="D10" s="41">
        <v>5529</v>
      </c>
      <c r="E10" s="41">
        <v>4269</v>
      </c>
      <c r="G10" s="41">
        <f>G8</f>
        <v>0.127</v>
      </c>
      <c r="H10" s="42">
        <f>D10/C10/G10</f>
        <v>0.6933939583803099</v>
      </c>
      <c r="I10" s="42">
        <f>E10/D10</f>
        <v>0.7721106890938687</v>
      </c>
      <c r="J10" s="42"/>
      <c r="K10" s="42">
        <f>(H10*I10)/(simPp!H10*simPp!I10)</f>
        <v>0.9585976249017518</v>
      </c>
      <c r="L10" s="42">
        <f>(H10*I10)/('simPp.QM'!H10*'simPp.QM'!I10)</f>
        <v>0.9633734935932217</v>
      </c>
    </row>
    <row r="11" spans="8:10" ht="12.75">
      <c r="H11" s="42"/>
      <c r="I11" s="42">
        <f>SQRT(1/E10)*I10</f>
        <v>0.011817251744561138</v>
      </c>
      <c r="J11" s="42"/>
    </row>
    <row r="12" spans="1:12" ht="12.75">
      <c r="A12" s="41">
        <v>1.7</v>
      </c>
      <c r="B12" s="41">
        <v>2.4</v>
      </c>
      <c r="C12" s="41">
        <v>63601</v>
      </c>
      <c r="D12" s="41">
        <v>7034</v>
      </c>
      <c r="E12" s="41">
        <v>5551</v>
      </c>
      <c r="G12" s="41">
        <f>G8</f>
        <v>0.127</v>
      </c>
      <c r="H12" s="42">
        <f>D12/C12/G12</f>
        <v>0.8708326405505188</v>
      </c>
      <c r="I12" s="42">
        <f>E12/D12</f>
        <v>0.7891669036110321</v>
      </c>
      <c r="J12" s="42"/>
      <c r="K12" s="42">
        <f>(H12*I12)/(simPp!H12*simPp!I12)</f>
        <v>0.99343547645872</v>
      </c>
      <c r="L12" s="42">
        <f>(H12*I12)/('simPp.QM'!H12*'simPp.QM'!I12)</f>
        <v>1.1950598630118685</v>
      </c>
    </row>
    <row r="13" spans="8:10" ht="12.75">
      <c r="H13" s="42"/>
      <c r="I13" s="42">
        <f>SQRT(1/E12)*I12</f>
        <v>0.01059212871581085</v>
      </c>
      <c r="J13" s="42"/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155"/>
    </row>
    <row r="15" ht="12.75">
      <c r="A15" s="180"/>
    </row>
    <row r="16" ht="12.75">
      <c r="A16" s="101" t="s">
        <v>177</v>
      </c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12" ht="12.75">
      <c r="A18" s="41" t="s">
        <v>60</v>
      </c>
      <c r="B18" s="43" t="s">
        <v>38</v>
      </c>
      <c r="C18" s="41">
        <v>32310</v>
      </c>
      <c r="D18" s="41">
        <v>2221</v>
      </c>
      <c r="E18" s="41">
        <v>1262</v>
      </c>
      <c r="G18" s="41">
        <v>0.128</v>
      </c>
      <c r="H18" s="42">
        <f>D18/C18/G18</f>
        <v>0.5370338130609719</v>
      </c>
      <c r="I18" s="42">
        <f>E18/D18</f>
        <v>0.5682125168842863</v>
      </c>
      <c r="K18" s="42">
        <f>(H18*I18)/(simPp!H18*simPp!I18)</f>
        <v>0.939689917019668</v>
      </c>
      <c r="L18" s="42">
        <f>(H18*I18)/('simPp.QM'!H18*'simPp.QM'!I18)</f>
        <v>1.3312236286919832</v>
      </c>
    </row>
    <row r="19" spans="2:9" ht="12.75">
      <c r="B19" s="43"/>
      <c r="I19" s="42">
        <f>SQRT(1/E18)*I18</f>
        <v>0.015994884888186952</v>
      </c>
    </row>
    <row r="20" spans="2:12" ht="12.75">
      <c r="B20" s="43" t="s">
        <v>39</v>
      </c>
      <c r="C20" s="41">
        <v>52146</v>
      </c>
      <c r="D20" s="41">
        <v>3208</v>
      </c>
      <c r="E20" s="41">
        <v>1840</v>
      </c>
      <c r="G20" s="41">
        <v>0.128</v>
      </c>
      <c r="H20" s="42">
        <f>D20/C20/G20</f>
        <v>0.48062171595136727</v>
      </c>
      <c r="I20" s="42">
        <f>E20/D20</f>
        <v>0.57356608478803</v>
      </c>
      <c r="K20" s="42">
        <f>(H20*I20)/(simPp!H20*simPp!I20)</f>
        <v>0.9557293574883297</v>
      </c>
      <c r="L20" s="42">
        <f>(H20*I20)/('simPp.QM'!H20*'simPp.QM'!I20)</f>
        <v>1.3012729844413011</v>
      </c>
    </row>
    <row r="21" spans="2:11" ht="12.75">
      <c r="B21" s="43"/>
      <c r="I21" s="42">
        <f>SQRT(1/E20)*I20</f>
        <v>0.013371328297710237</v>
      </c>
      <c r="K21" s="42"/>
    </row>
    <row r="22" spans="2:12" ht="12.75">
      <c r="B22" s="43" t="s">
        <v>40</v>
      </c>
      <c r="C22" s="41">
        <v>22370</v>
      </c>
      <c r="D22" s="41">
        <v>1100</v>
      </c>
      <c r="E22" s="41">
        <v>628</v>
      </c>
      <c r="G22" s="41">
        <v>0.128</v>
      </c>
      <c r="H22" s="42">
        <f>D22/C22/G22</f>
        <v>0.3841640590075995</v>
      </c>
      <c r="I22" s="42">
        <f>E22/D22</f>
        <v>0.5709090909090909</v>
      </c>
      <c r="K22" s="42">
        <f>(H22*I22)/(simPp!H22*simPp!I22)</f>
        <v>0.8848781704170248</v>
      </c>
      <c r="L22" s="42">
        <f>(H22*I22)/('simPp.QM'!H22*'simPp.QM'!I22)</f>
        <v>1.1376811594202898</v>
      </c>
    </row>
    <row r="23" spans="2:9" ht="12.75">
      <c r="B23" s="43"/>
      <c r="I23" s="42">
        <f>SQRT(1/E22)*I22</f>
        <v>0.022781752883893943</v>
      </c>
    </row>
    <row r="24" spans="2:12" ht="12.75">
      <c r="B24" s="43" t="s">
        <v>41</v>
      </c>
      <c r="C24" s="41">
        <v>4347</v>
      </c>
      <c r="D24" s="41">
        <v>267</v>
      </c>
      <c r="E24" s="41">
        <v>157</v>
      </c>
      <c r="G24" s="41">
        <v>0.128</v>
      </c>
      <c r="H24" s="42">
        <f>D24/C24/G24</f>
        <v>0.47985679779158036</v>
      </c>
      <c r="I24" s="42">
        <f>E24/D24</f>
        <v>0.5880149812734082</v>
      </c>
      <c r="K24" s="42">
        <f>(H24*I24)/(simPp!H24*simPp!I24)</f>
        <v>1.0714322176544953</v>
      </c>
      <c r="L24" s="42">
        <f>(H24*I24)/('simPp.QM'!H24*'simPp.QM'!I24)</f>
        <v>1.2265625</v>
      </c>
    </row>
    <row r="25" ht="12.75">
      <c r="I25" s="42">
        <f>SQRT(1/E24)*I24</f>
        <v>0.04692870444247815</v>
      </c>
    </row>
    <row r="26" spans="2:12" ht="12.75">
      <c r="B26" s="43" t="s">
        <v>42</v>
      </c>
      <c r="C26" s="41">
        <v>555</v>
      </c>
      <c r="D26" s="41">
        <v>47</v>
      </c>
      <c r="E26" s="41">
        <v>25</v>
      </c>
      <c r="G26" s="41">
        <v>0.128</v>
      </c>
      <c r="H26" s="42">
        <f>D26/C26/G26</f>
        <v>0.6615990990990991</v>
      </c>
      <c r="I26" s="42">
        <f>E26/D26</f>
        <v>0.5319148936170213</v>
      </c>
      <c r="K26" s="42">
        <f>(H26*I26)/(simPp!H26*simPp!I26)</f>
        <v>1.1373873873873876</v>
      </c>
      <c r="L26" s="42">
        <f>(H26*I26)/('simPp.QM'!H26*'simPp.QM'!I26)</f>
        <v>1.25</v>
      </c>
    </row>
    <row r="27" ht="12.75">
      <c r="I27" s="42">
        <f>SQRT(1/E26)*I26</f>
        <v>0.10638297872340426</v>
      </c>
    </row>
    <row r="28" spans="1:12" ht="12.75">
      <c r="A28" s="41" t="s">
        <v>61</v>
      </c>
      <c r="B28" s="43" t="s">
        <v>38</v>
      </c>
      <c r="C28" s="41">
        <v>36557</v>
      </c>
      <c r="D28" s="41">
        <v>3761</v>
      </c>
      <c r="E28" s="41">
        <v>3121</v>
      </c>
      <c r="G28" s="41">
        <v>0.127</v>
      </c>
      <c r="H28" s="42">
        <f>D28/C28/G28</f>
        <v>0.8100821519366046</v>
      </c>
      <c r="I28" s="42">
        <f>E28/D28</f>
        <v>0.8298324913586812</v>
      </c>
      <c r="K28" s="42">
        <f>(H28*I28)/(simPp!H28*simPp!I28)</f>
        <v>0.9721800287025291</v>
      </c>
      <c r="L28" s="42">
        <f>(H28*I28)/('simPp.QM'!H28*'simPp.QM'!I28)</f>
        <v>1.157211716722284</v>
      </c>
    </row>
    <row r="29" spans="2:9" ht="12.75">
      <c r="B29" s="43"/>
      <c r="I29" s="42">
        <f>SQRT(1/E28)*I28</f>
        <v>0.014854004491851551</v>
      </c>
    </row>
    <row r="30" spans="2:12" ht="12.75">
      <c r="B30" s="43" t="s">
        <v>39</v>
      </c>
      <c r="C30" s="41">
        <v>59235</v>
      </c>
      <c r="D30" s="41">
        <v>5574</v>
      </c>
      <c r="E30" s="41">
        <v>4646</v>
      </c>
      <c r="G30" s="41">
        <v>0.127</v>
      </c>
      <c r="H30" s="42">
        <f>D30/C30/G30</f>
        <v>0.7409430873559139</v>
      </c>
      <c r="I30" s="42">
        <f>E30/D30</f>
        <v>0.8335127377108001</v>
      </c>
      <c r="K30" s="42">
        <f>(H30*I30)/(simPp!H30*simPp!I30)</f>
        <v>0.9807253394583691</v>
      </c>
      <c r="L30" s="42">
        <f>(H30*I30)/('simPp.QM'!H30*'simPp.QM'!I30)</f>
        <v>1.0936911487758945</v>
      </c>
    </row>
    <row r="31" spans="2:9" ht="12.75">
      <c r="B31" s="43"/>
      <c r="I31" s="42">
        <f>SQRT(1/E30)*I30</f>
        <v>0.012228484526696786</v>
      </c>
    </row>
    <row r="32" spans="2:12" ht="12.75">
      <c r="B32" s="43" t="s">
        <v>40</v>
      </c>
      <c r="C32" s="41">
        <v>25303</v>
      </c>
      <c r="D32" s="41">
        <v>1965</v>
      </c>
      <c r="E32" s="41">
        <v>1666</v>
      </c>
      <c r="G32" s="41">
        <v>0.127</v>
      </c>
      <c r="H32" s="42">
        <f>D32/C32/G32</f>
        <v>0.611486422356317</v>
      </c>
      <c r="I32" s="42">
        <f>E32/D32</f>
        <v>0.8478371501272265</v>
      </c>
      <c r="K32" s="42">
        <f>(H32*I32)/(simPp!H32*simPp!I32)</f>
        <v>0.9825577246617656</v>
      </c>
      <c r="L32" s="42">
        <f>(H32*I32)/('simPp.QM'!H32*'simPp.QM'!I32)</f>
        <v>0.9702970297029703</v>
      </c>
    </row>
    <row r="33" spans="2:9" ht="12.75">
      <c r="B33" s="43"/>
      <c r="I33" s="42">
        <f>SQRT(1/E32)*I32</f>
        <v>0.020771838811153742</v>
      </c>
    </row>
    <row r="34" spans="2:12" ht="12.75">
      <c r="B34" s="43" t="s">
        <v>41</v>
      </c>
      <c r="C34" s="41">
        <v>4622</v>
      </c>
      <c r="D34" s="41">
        <v>409</v>
      </c>
      <c r="E34" s="41">
        <v>338</v>
      </c>
      <c r="G34" s="41">
        <v>0.127</v>
      </c>
      <c r="H34" s="42">
        <f>D34/C34/G34</f>
        <v>0.6967703247392648</v>
      </c>
      <c r="I34" s="42">
        <f>E34/D34</f>
        <v>0.8264058679706602</v>
      </c>
      <c r="K34" s="42">
        <f>(H34*I34)/(simPp!H34*simPp!I34)</f>
        <v>0.9779963073094639</v>
      </c>
      <c r="L34" s="42">
        <f>(H34*I34)/('simPp.QM'!H34*'simPp.QM'!I34)</f>
        <v>0.9854227405247814</v>
      </c>
    </row>
    <row r="35" spans="2:9" ht="12.75">
      <c r="B35" s="43"/>
      <c r="H35" s="42"/>
      <c r="I35" s="42">
        <f>SQRT(1/E34)*I34</f>
        <v>0.044950553327262194</v>
      </c>
    </row>
    <row r="36" spans="2:12" ht="12.75">
      <c r="B36" s="43" t="s">
        <v>42</v>
      </c>
      <c r="C36" s="41">
        <v>569</v>
      </c>
      <c r="D36" s="41">
        <v>51</v>
      </c>
      <c r="E36" s="41">
        <v>41</v>
      </c>
      <c r="G36" s="41">
        <v>0.127</v>
      </c>
      <c r="H36" s="42">
        <f>D36/C36/G36</f>
        <v>0.7057553658165313</v>
      </c>
      <c r="I36" s="42">
        <f>E36/D36</f>
        <v>0.803921568627451</v>
      </c>
      <c r="K36" s="42">
        <f>(H36*I36)/(simPp!H36*simPp!I36)</f>
        <v>0.8725355488097142</v>
      </c>
      <c r="L36" s="42">
        <f>(H36*I36)/('simPp.QM'!H36*'simPp.QM'!I36)</f>
        <v>1.1714285714285715</v>
      </c>
    </row>
    <row r="37" spans="2:9" ht="12.75">
      <c r="B37" s="43"/>
      <c r="H37" s="42"/>
      <c r="I37" s="42">
        <f>SQRT(1/E36)*I36</f>
        <v>0.12555145563593822</v>
      </c>
    </row>
    <row r="38" spans="1:9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</row>
    <row r="41" spans="1:9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6" sqref="A16"/>
    </sheetView>
  </sheetViews>
  <sheetFormatPr defaultColWidth="9.140625" defaultRowHeight="12.75"/>
  <cols>
    <col min="1" max="13" width="9.140625" style="41" customWidth="1"/>
    <col min="14" max="14" width="2.7109375" style="41" customWidth="1"/>
    <col min="15" max="16384" width="9.140625" style="41" customWidth="1"/>
  </cols>
  <sheetData>
    <row r="1" spans="1:16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O1" s="40" t="s">
        <v>173</v>
      </c>
      <c r="P1" s="40" t="s">
        <v>176</v>
      </c>
    </row>
    <row r="2" spans="1:16" ht="12.75">
      <c r="A2" s="41">
        <v>-2.2</v>
      </c>
      <c r="B2" s="41">
        <v>-1.2</v>
      </c>
      <c r="C2" s="41">
        <v>111841</v>
      </c>
      <c r="D2" s="41">
        <v>9694</v>
      </c>
      <c r="E2" s="41">
        <v>7012</v>
      </c>
      <c r="F2" s="41">
        <v>3713</v>
      </c>
      <c r="G2" s="41">
        <v>0.128</v>
      </c>
      <c r="H2" s="42">
        <f>D2/C2/G2</f>
        <v>0.6771611037097308</v>
      </c>
      <c r="I2" s="42">
        <f>E2/D2</f>
        <v>0.7233340210439447</v>
      </c>
      <c r="J2" s="42">
        <f>F2/D2</f>
        <v>0.3830204250051578</v>
      </c>
      <c r="K2" s="42">
        <f>(I2*$L$2+J2*$L$3)/($L$2+$L$3)</f>
        <v>0.576813549149427</v>
      </c>
      <c r="L2" s="41">
        <v>1.566</v>
      </c>
      <c r="M2" s="41" t="s">
        <v>51</v>
      </c>
      <c r="O2" s="42">
        <f>(H2*K2)/(simDau!H2*simDau!K2)</f>
        <v>0.966793783646649</v>
      </c>
      <c r="P2" s="42">
        <f>(H2*K2)/('simDau.QM'!H2*'simDau.QM'!K2)</f>
        <v>1.1841985531153303</v>
      </c>
    </row>
    <row r="3" spans="8:13" ht="12.75">
      <c r="H3" s="42"/>
      <c r="I3" s="42">
        <f>SQRT(1/E2)*I2</f>
        <v>0.008638094250240693</v>
      </c>
      <c r="J3" s="42">
        <f>SQRT(1/F2)*J2</f>
        <v>0.006285784087716989</v>
      </c>
      <c r="K3" s="42">
        <f>($L$2*I3+$L$3*J3)/($L$2+$L$3)</f>
        <v>0.0076253178020850325</v>
      </c>
      <c r="L3" s="41">
        <v>1.184</v>
      </c>
      <c r="M3" s="41" t="s">
        <v>52</v>
      </c>
    </row>
    <row r="4" spans="1:16" ht="12.75">
      <c r="A4" s="41">
        <v>-2.2</v>
      </c>
      <c r="B4" s="41">
        <v>-1.7</v>
      </c>
      <c r="C4" s="41">
        <v>49193</v>
      </c>
      <c r="D4" s="41">
        <v>4434</v>
      </c>
      <c r="E4" s="41">
        <v>3261</v>
      </c>
      <c r="F4" s="41">
        <v>1772</v>
      </c>
      <c r="G4" s="41">
        <f>G2</f>
        <v>0.128</v>
      </c>
      <c r="H4" s="42">
        <f>D4/C4/G4</f>
        <v>0.7041779318195679</v>
      </c>
      <c r="I4" s="42">
        <f>E4/D4</f>
        <v>0.7354533152909337</v>
      </c>
      <c r="J4" s="42">
        <f>F4/D4</f>
        <v>0.39963915200721695</v>
      </c>
      <c r="K4" s="42">
        <f>(I4*$L$2+J4*$L$3)/($L$2+$L$3)</f>
        <v>0.5908700537171444</v>
      </c>
      <c r="O4" s="42">
        <f>(H4*K4)/(simDau!H4*simDau!K4)</f>
        <v>0.9799997044418999</v>
      </c>
      <c r="P4" s="42">
        <f>(H4*K4)/('simDau.QM'!H4*'simDau.QM'!K4)</f>
        <v>1.1652297474938287</v>
      </c>
    </row>
    <row r="5" spans="8:11" ht="12.75">
      <c r="H5" s="42"/>
      <c r="I5" s="42">
        <f>SQRT(1/E4)*I4</f>
        <v>0.012878927862218524</v>
      </c>
      <c r="J5" s="42">
        <f>SQRT(1/F4)*J4</f>
        <v>0.009493714560148482</v>
      </c>
      <c r="K5" s="42">
        <f>($L$2*I5+$L$3*J5)/($L$2+$L$3)</f>
        <v>0.01142143966234546</v>
      </c>
    </row>
    <row r="6" spans="1:16" ht="12.75">
      <c r="A6" s="41">
        <v>-1.7</v>
      </c>
      <c r="B6" s="41">
        <v>-1.2</v>
      </c>
      <c r="C6" s="41">
        <v>62648</v>
      </c>
      <c r="D6" s="41">
        <v>5260</v>
      </c>
      <c r="E6" s="41">
        <v>3751</v>
      </c>
      <c r="F6" s="41">
        <v>1941</v>
      </c>
      <c r="G6" s="41">
        <f>G2</f>
        <v>0.128</v>
      </c>
      <c r="H6" s="42">
        <f>D6/C6/G6</f>
        <v>0.6559467181713702</v>
      </c>
      <c r="I6" s="42">
        <f>E6/D6</f>
        <v>0.7131178707224335</v>
      </c>
      <c r="J6" s="42">
        <f>F6/D6</f>
        <v>0.36901140684410644</v>
      </c>
      <c r="K6" s="42">
        <f>(I6*$L$2+J6*$L$3)/($L$2+$L$3)</f>
        <v>0.5649643968199102</v>
      </c>
      <c r="O6" s="42">
        <f>(H6*K6)/(simDau!H6*simDau!K6)</f>
        <v>0.9550709228849695</v>
      </c>
      <c r="P6" s="42">
        <f>(H6*K6)/('simDau.QM'!H6*'simDau.QM'!K6)</f>
        <v>1.201441516353122</v>
      </c>
    </row>
    <row r="7" spans="8:11" ht="12.75">
      <c r="H7" s="42"/>
      <c r="I7" s="42">
        <f>SQRT(1/E6)*I6</f>
        <v>0.011643613686526662</v>
      </c>
      <c r="J7" s="42">
        <f>SQRT(1/F6)*J6</f>
        <v>0.00837581398171509</v>
      </c>
      <c r="K7" s="42">
        <f>($L$2*I7+$L$3*J7)/($L$2+$L$3)</f>
        <v>0.010236677377255062</v>
      </c>
    </row>
    <row r="8" spans="1:16" ht="12.75">
      <c r="A8" s="41">
        <v>1.2</v>
      </c>
      <c r="B8" s="41">
        <v>2.4</v>
      </c>
      <c r="C8" s="41">
        <v>126387</v>
      </c>
      <c r="D8" s="41">
        <v>12785</v>
      </c>
      <c r="E8" s="41">
        <v>10008</v>
      </c>
      <c r="F8" s="41">
        <v>6828</v>
      </c>
      <c r="G8" s="41">
        <v>0.127</v>
      </c>
      <c r="H8" s="42">
        <f>D8/C8/G8</f>
        <v>0.7965161870966371</v>
      </c>
      <c r="I8" s="42">
        <f>E8/D8</f>
        <v>0.7827923347673055</v>
      </c>
      <c r="J8" s="42">
        <f>F8/D8</f>
        <v>0.5340633554947204</v>
      </c>
      <c r="K8" s="42">
        <f>(I8*$L$8+J8*$L$9)/($L$8+$L$9)</f>
        <v>0.664447939911201</v>
      </c>
      <c r="L8" s="41">
        <v>1.711</v>
      </c>
      <c r="M8" s="41" t="s">
        <v>51</v>
      </c>
      <c r="O8" s="42">
        <f>(H8*K8)/(simDau!H8*simDau!K8)</f>
        <v>0.98291271997059</v>
      </c>
      <c r="P8" s="42">
        <f>(H8*K8)/('simDau.QM'!H8*'simDau.QM'!K8)</f>
        <v>1.0511558134707952</v>
      </c>
    </row>
    <row r="9" spans="8:13" ht="12.75">
      <c r="H9" s="42"/>
      <c r="I9" s="42">
        <f>SQRT(1/E8)*I8</f>
        <v>0.007824794055783998</v>
      </c>
      <c r="J9" s="42">
        <f>SQRT(1/F8)*J8</f>
        <v>0.006463176616382823</v>
      </c>
      <c r="K9" s="42">
        <f>($L$2*I9+$L$3*J9)/($L$2+$L$3)</f>
        <v>0.007238555856420002</v>
      </c>
      <c r="L9" s="41">
        <v>1.553</v>
      </c>
      <c r="M9" s="41" t="s">
        <v>52</v>
      </c>
    </row>
    <row r="10" spans="1:16" ht="12.75">
      <c r="A10" s="41">
        <v>1.2</v>
      </c>
      <c r="B10" s="41">
        <v>1.7</v>
      </c>
      <c r="C10" s="41">
        <v>62786</v>
      </c>
      <c r="D10" s="41">
        <v>5563</v>
      </c>
      <c r="E10" s="41">
        <v>4313</v>
      </c>
      <c r="F10" s="41">
        <v>2724</v>
      </c>
      <c r="G10" s="41">
        <f>G8</f>
        <v>0.127</v>
      </c>
      <c r="H10" s="42">
        <f>D10/C10/G10</f>
        <v>0.6976579110995956</v>
      </c>
      <c r="I10" s="42">
        <f>E10/D10</f>
        <v>0.7753010965306489</v>
      </c>
      <c r="J10" s="42">
        <f>F10/D10</f>
        <v>0.48966385044040983</v>
      </c>
      <c r="K10" s="42">
        <f>(I10*$L$8+J10*$L$9)/($L$8+$L$9)</f>
        <v>0.6393958749687183</v>
      </c>
      <c r="O10" s="42">
        <f>(H10*K10)/(simDau!H10*simDau!K10)</f>
        <v>0.965363189775706</v>
      </c>
      <c r="P10" s="42">
        <f>(H10*K10)/('simDau.QM'!H10*'simDau.QM'!K10)</f>
        <v>0.9242007396451218</v>
      </c>
    </row>
    <row r="11" spans="8:11" ht="12.75">
      <c r="H11" s="42"/>
      <c r="I11" s="42">
        <f>SQRT(1/E10)*I10</f>
        <v>0.011805398976706287</v>
      </c>
      <c r="J11" s="42">
        <f>SQRT(1/F10)*J10</f>
        <v>0.00938197975962602</v>
      </c>
      <c r="K11" s="42">
        <f>($L$2*I11+$L$3*J11)/($L$2+$L$3)</f>
        <v>0.010762006848334275</v>
      </c>
    </row>
    <row r="12" spans="1:16" ht="12.75">
      <c r="A12" s="41">
        <v>1.7</v>
      </c>
      <c r="B12" s="41">
        <v>2.4</v>
      </c>
      <c r="C12" s="41">
        <v>63601</v>
      </c>
      <c r="D12" s="41">
        <v>7222</v>
      </c>
      <c r="E12" s="41">
        <v>5695</v>
      </c>
      <c r="F12" s="41">
        <v>4104</v>
      </c>
      <c r="G12" s="41">
        <f>G8</f>
        <v>0.127</v>
      </c>
      <c r="H12" s="42">
        <f>D12/C12/G12</f>
        <v>0.8941076670537171</v>
      </c>
      <c r="I12" s="42">
        <f>E12/D12</f>
        <v>0.7885627250069233</v>
      </c>
      <c r="J12" s="42">
        <f>F12/D12</f>
        <v>0.5682636388811964</v>
      </c>
      <c r="K12" s="42">
        <f>(I12*$L$8+J12*$L$9)/($L$8+$L$9)</f>
        <v>0.683745175756539</v>
      </c>
      <c r="O12" s="42">
        <f>(H12*K12)/(simDau!H12*simDau!K12)</f>
        <v>0.9962748777435395</v>
      </c>
      <c r="P12" s="42">
        <f>(H12*K12)/('simDau.QM'!H12*'simDau.QM'!K12)</f>
        <v>1.1474254319570816</v>
      </c>
    </row>
    <row r="13" spans="8:11" ht="12.75">
      <c r="H13" s="42"/>
      <c r="I13" s="42">
        <f>SQRT(1/E12)*I12</f>
        <v>0.010449352503309833</v>
      </c>
      <c r="J13" s="42">
        <f>SQRT(1/F12)*J12</f>
        <v>0.0088704610235652</v>
      </c>
      <c r="K13" s="42">
        <f>($L$2*I13+$L$3*J13)/($L$2+$L$3)</f>
        <v>0.009769567953485235</v>
      </c>
    </row>
    <row r="14" spans="1:15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  <c r="O14" s="101"/>
    </row>
    <row r="15" spans="1:10" ht="12.75">
      <c r="A15" s="181"/>
      <c r="J15" s="42"/>
    </row>
    <row r="16" spans="1:2" ht="12.75">
      <c r="A16" s="101" t="s">
        <v>178</v>
      </c>
      <c r="B16" s="101"/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6" ht="12.75">
      <c r="A19" s="41" t="s">
        <v>60</v>
      </c>
      <c r="B19" s="43" t="s">
        <v>38</v>
      </c>
      <c r="C19" s="41">
        <v>32310</v>
      </c>
      <c r="D19" s="41">
        <v>2966</v>
      </c>
      <c r="E19" s="41">
        <v>2271</v>
      </c>
      <c r="F19" s="41">
        <v>1194</v>
      </c>
      <c r="G19" s="41">
        <v>0.128</v>
      </c>
      <c r="H19" s="42">
        <f>D19/C19/G19</f>
        <v>0.7171734757041164</v>
      </c>
      <c r="I19" s="42">
        <f>E19/D19</f>
        <v>0.765677680377613</v>
      </c>
      <c r="J19" s="42">
        <f>F19/D19</f>
        <v>0.40256237356709373</v>
      </c>
      <c r="K19" s="42">
        <f>(I19*$L$2+J19*$L$3)/($L$2+$L$3)</f>
        <v>0.6093400355544657</v>
      </c>
      <c r="O19" s="42">
        <f>(H19*K19)/(simDau!H19*simDau!K19)</f>
        <v>0.9793052709293623</v>
      </c>
      <c r="P19" s="42">
        <f>(H19*K19)/('simDau.QM'!H19*'simDau.QM'!K19)</f>
        <v>1.2198064834712812</v>
      </c>
    </row>
    <row r="20" spans="2:11" ht="12.75">
      <c r="B20" s="43"/>
      <c r="I20" s="42">
        <f>SQRT(1/E19)*I19</f>
        <v>0.016067097177941813</v>
      </c>
      <c r="J20" s="42">
        <f>SQRT(1/F19+1/C19)*J19</f>
        <v>0.011863446270815961</v>
      </c>
      <c r="K20" s="42">
        <f>($L$2*I20+$L$3*J20)/($L$2+$L$3)</f>
        <v>0.0142572343873829</v>
      </c>
    </row>
    <row r="21" spans="2:16" ht="12.75">
      <c r="B21" s="43" t="s">
        <v>39</v>
      </c>
      <c r="C21" s="41">
        <v>52146</v>
      </c>
      <c r="D21" s="41">
        <v>4310</v>
      </c>
      <c r="E21" s="41">
        <v>3272</v>
      </c>
      <c r="F21" s="41">
        <v>1720</v>
      </c>
      <c r="G21" s="41">
        <v>0.128</v>
      </c>
      <c r="H21" s="42">
        <f>D21/C21/G21</f>
        <v>0.6457230660069804</v>
      </c>
      <c r="I21" s="42">
        <f>E21/D21</f>
        <v>0.7591647331786543</v>
      </c>
      <c r="J21" s="42">
        <f>F21/D21</f>
        <v>0.3990719257540603</v>
      </c>
      <c r="K21" s="42">
        <f>(I21*$L$2+J21*$L$3)/($L$2+$L$3)</f>
        <v>0.6041284117274835</v>
      </c>
      <c r="O21" s="42">
        <f>(H21*K21)/(simDau!H21*simDau!K21)</f>
        <v>0.9641618725188988</v>
      </c>
      <c r="P21" s="42">
        <f>(H21*K21)/('simDau.QM'!H21*'simDau.QM'!K21)</f>
        <v>1.1457303478297876</v>
      </c>
    </row>
    <row r="22" spans="2:11" ht="12.75">
      <c r="B22" s="43"/>
      <c r="I22" s="42">
        <f>SQRT(1/E21)*I21</f>
        <v>0.01327178621445484</v>
      </c>
      <c r="J22" s="42">
        <f>SQRT(1/F21+1/C21)*J21</f>
        <v>0.009779886542408828</v>
      </c>
      <c r="K22" s="42">
        <f>($L$2*I22+$L$3*J22)/($L$2+$L$3)</f>
        <v>0.011768364682926665</v>
      </c>
    </row>
    <row r="23" spans="2:16" ht="12.75">
      <c r="B23" s="43" t="s">
        <v>40</v>
      </c>
      <c r="C23" s="41">
        <v>22370</v>
      </c>
      <c r="D23" s="41">
        <v>1469</v>
      </c>
      <c r="E23" s="41">
        <v>1131</v>
      </c>
      <c r="F23" s="41">
        <v>607</v>
      </c>
      <c r="G23" s="41">
        <v>0.128</v>
      </c>
      <c r="H23" s="42">
        <f>D23/C23/G23</f>
        <v>0.513033638801967</v>
      </c>
      <c r="I23" s="42">
        <f>E23/D23</f>
        <v>0.7699115044247787</v>
      </c>
      <c r="J23" s="42">
        <f>F23/D23</f>
        <v>0.4132062627637849</v>
      </c>
      <c r="K23" s="42">
        <f>(I23*$L$2+J23*$L$3)/($L$2+$L$3)</f>
        <v>0.6163336840150999</v>
      </c>
      <c r="O23" s="42">
        <f>(H23*K23)/(simDau!H23*simDau!K23)</f>
        <v>0.9020707105834734</v>
      </c>
      <c r="P23" s="42">
        <f>(H23*K23)/('simDau.QM'!H23*'simDau.QM'!K23)</f>
        <v>1.0376807414452314</v>
      </c>
    </row>
    <row r="24" spans="2:11" ht="12.75">
      <c r="B24" s="43"/>
      <c r="I24" s="42">
        <f>SQRT(1/E23)*I23</f>
        <v>0.02289335836732503</v>
      </c>
      <c r="J24" s="42">
        <f>SQRT(1/F23+1/C23)*J23</f>
        <v>0.01699754579075378</v>
      </c>
      <c r="K24" s="42">
        <f>($L$2*I24+$L$3*J24)/($L$2+$L$3)</f>
        <v>0.020354943061630354</v>
      </c>
    </row>
    <row r="25" spans="2:16" ht="12.75">
      <c r="B25" s="43" t="s">
        <v>41</v>
      </c>
      <c r="C25" s="41">
        <v>4347</v>
      </c>
      <c r="D25" s="41">
        <v>350</v>
      </c>
      <c r="E25" s="41">
        <v>289</v>
      </c>
      <c r="F25" s="41">
        <v>162</v>
      </c>
      <c r="G25" s="41">
        <v>0.128</v>
      </c>
      <c r="H25" s="42">
        <f>D25/C25/G25</f>
        <v>0.62902576489533</v>
      </c>
      <c r="I25" s="42">
        <f>E25/D25</f>
        <v>0.8257142857142857</v>
      </c>
      <c r="J25" s="42">
        <f>F25/D25</f>
        <v>0.46285714285714286</v>
      </c>
      <c r="K25" s="42">
        <f>(I25*$L$2+J25*$L$3)/($L$2+$L$3)</f>
        <v>0.6694877922077922</v>
      </c>
      <c r="O25" s="42">
        <f>(H25*K25)/(simDau!H25*simDau!K25)</f>
        <v>1.1029064356629348</v>
      </c>
      <c r="P25" s="42">
        <f>(H25*K25)/('simDau.QM'!H25*'simDau.QM'!K25)</f>
        <v>1.111252522117026</v>
      </c>
    </row>
    <row r="26" spans="9:11" ht="12.75">
      <c r="I26" s="42">
        <f>SQRT(1/E25)*I25</f>
        <v>0.04857142857142857</v>
      </c>
      <c r="J26" s="42">
        <f>SQRT(1/F25+1/C25)*J25</f>
        <v>0.03703691121699919</v>
      </c>
      <c r="K26" s="42">
        <f>($L$2*I26+$L$3*J26)/($L$2+$L$3)</f>
        <v>0.043605294554103335</v>
      </c>
    </row>
    <row r="27" spans="2:16" ht="12.75">
      <c r="B27" s="43" t="s">
        <v>42</v>
      </c>
      <c r="C27" s="41">
        <v>555</v>
      </c>
      <c r="D27" s="41">
        <v>52</v>
      </c>
      <c r="E27" s="41">
        <v>42</v>
      </c>
      <c r="F27" s="41">
        <v>24</v>
      </c>
      <c r="G27" s="41">
        <v>0.128</v>
      </c>
      <c r="H27" s="42">
        <f>D27/C27/G27</f>
        <v>0.7319819819819819</v>
      </c>
      <c r="I27" s="42">
        <f>E27/D27</f>
        <v>0.8076923076923077</v>
      </c>
      <c r="J27" s="42">
        <f>F27/D27</f>
        <v>0.46153846153846156</v>
      </c>
      <c r="K27" s="42">
        <f>(I27*$L$2+J27*$L$3)/($L$2+$L$3)</f>
        <v>0.6586573426573427</v>
      </c>
      <c r="O27" s="42">
        <f>(H27*K27)/(simDau!H27*simDau!K27)</f>
        <v>1.1470659944298096</v>
      </c>
      <c r="P27" s="42">
        <f>(H27*K27)/('simDau.QM'!H27*'simDau.QM'!K27)</f>
        <v>0.9333861857100385</v>
      </c>
    </row>
    <row r="28" spans="9:11" ht="12.75">
      <c r="I28" s="42">
        <f>SQRT(1/E27)*I27</f>
        <v>0.12462962881553578</v>
      </c>
      <c r="J28" s="42">
        <f>SQRT(1/F27+1/C27)*J27</f>
        <v>0.09622658371469689</v>
      </c>
      <c r="K28" s="42">
        <f>($L$2*I28+$L$3*J28)/($L$2+$L$3)</f>
        <v>0.11240082685212006</v>
      </c>
    </row>
    <row r="29" spans="1:16" ht="12.75">
      <c r="A29" s="41" t="s">
        <v>61</v>
      </c>
      <c r="B29" s="43" t="s">
        <v>38</v>
      </c>
      <c r="C29" s="41">
        <v>36557</v>
      </c>
      <c r="D29" s="41">
        <v>3862</v>
      </c>
      <c r="E29" s="41">
        <v>3222</v>
      </c>
      <c r="F29" s="41">
        <v>2147</v>
      </c>
      <c r="G29" s="41">
        <v>0.127</v>
      </c>
      <c r="H29" s="42">
        <f>D29/C29/G29</f>
        <v>0.8318365516562529</v>
      </c>
      <c r="I29" s="42">
        <f>E29/D29</f>
        <v>0.8342827550491974</v>
      </c>
      <c r="J29" s="42">
        <f>F29/D29</f>
        <v>0.555929570170896</v>
      </c>
      <c r="K29" s="42">
        <f>(I29*$L$8+J29*$L$9)/($L$8+$L$9)</f>
        <v>0.7018432648175791</v>
      </c>
      <c r="O29" s="42">
        <f>(H29*K29)/(simDau!H29*simDau!K29)</f>
        <v>0.9868043092215271</v>
      </c>
      <c r="P29" s="42">
        <f>(H29*K29)/('simDau.QM'!H29*'simDau.QM'!K29)</f>
        <v>1.0848103694884355</v>
      </c>
    </row>
    <row r="30" spans="2:11" ht="12.75">
      <c r="B30" s="43"/>
      <c r="I30" s="42">
        <f>SQRT(1/E29)*I29</f>
        <v>0.014697737904006603</v>
      </c>
      <c r="J30" s="42">
        <f>SQRT(1/F29+1/C29)*J29</f>
        <v>0.012345150929739616</v>
      </c>
      <c r="K30" s="42">
        <f>($L$2*I30+$L$3*J30)/($L$2+$L$3)</f>
        <v>0.013684842275813108</v>
      </c>
    </row>
    <row r="31" spans="2:16" ht="12.75">
      <c r="B31" s="43" t="s">
        <v>39</v>
      </c>
      <c r="C31" s="41">
        <v>59235</v>
      </c>
      <c r="D31" s="41">
        <v>5661</v>
      </c>
      <c r="E31" s="41">
        <v>4717</v>
      </c>
      <c r="F31" s="41">
        <v>3223</v>
      </c>
      <c r="G31" s="41">
        <v>0.127</v>
      </c>
      <c r="H31" s="42">
        <f>D31/C31/G31</f>
        <v>0.7525078610552258</v>
      </c>
      <c r="I31" s="42">
        <f>E31/D31</f>
        <v>0.833245009715598</v>
      </c>
      <c r="J31" s="42">
        <f>F31/D31</f>
        <v>0.5693340399222753</v>
      </c>
      <c r="K31" s="42">
        <f>(I31*$L$8+J31*$L$9)/($L$8+$L$9)</f>
        <v>0.7076770758647921</v>
      </c>
      <c r="O31" s="42">
        <f>(H31*K31)/(simDau!H31*simDau!K31)</f>
        <v>0.9854010545334916</v>
      </c>
      <c r="P31" s="42">
        <f>(H31*K31)/('simDau.QM'!H31*'simDau.QM'!K31)</f>
        <v>1.021834222885588</v>
      </c>
    </row>
    <row r="32" spans="2:11" ht="12.75">
      <c r="B32" s="43"/>
      <c r="I32" s="42">
        <f>SQRT(1/E31)*I31</f>
        <v>0.012132206206460185</v>
      </c>
      <c r="J32" s="42">
        <f>SQRT(1/F31+1/C31)*J31</f>
        <v>0.010297738001106749</v>
      </c>
      <c r="K32" s="42">
        <f>($L$2*I32+$L$3*J32)/($L$2+$L$3)</f>
        <v>0.011342384259137106</v>
      </c>
    </row>
    <row r="33" spans="2:16" ht="12.75">
      <c r="B33" s="43" t="s">
        <v>40</v>
      </c>
      <c r="C33" s="41">
        <v>25303</v>
      </c>
      <c r="D33" s="41">
        <v>1970</v>
      </c>
      <c r="E33" s="41">
        <v>1674</v>
      </c>
      <c r="F33" s="41">
        <v>1172</v>
      </c>
      <c r="G33" s="41">
        <v>0.127</v>
      </c>
      <c r="H33" s="42">
        <f>D33/C33/G33</f>
        <v>0.6130423674513713</v>
      </c>
      <c r="I33" s="42">
        <f>E33/D33</f>
        <v>0.849746192893401</v>
      </c>
      <c r="J33" s="42">
        <f>F33/D33</f>
        <v>0.5949238578680203</v>
      </c>
      <c r="K33" s="42">
        <f>(I33*$L$8+J33*$L$9)/($L$8+$L$9)</f>
        <v>0.7285026002786902</v>
      </c>
      <c r="O33" s="42">
        <f>(H33*K33)/(simDau!H33*simDau!K33)</f>
        <v>0.9682107448633609</v>
      </c>
      <c r="P33" s="42">
        <f>(H33*K33)/('simDau.QM'!H33*'simDau.QM'!K33)</f>
        <v>0.9222496344435579</v>
      </c>
    </row>
    <row r="34" spans="2:11" ht="12.75">
      <c r="B34" s="43"/>
      <c r="I34" s="42">
        <f>SQRT(1/E33)*I33</f>
        <v>0.020768804614699272</v>
      </c>
      <c r="J34" s="42">
        <f>SQRT(1/F33+1/C33)*J33</f>
        <v>0.01777581641531923</v>
      </c>
      <c r="K34" s="42">
        <f>($L$2*I34+$L$3*J34)/($L$2+$L$3)</f>
        <v>0.019480187149948012</v>
      </c>
    </row>
    <row r="35" spans="2:16" ht="12.75">
      <c r="B35" s="43" t="s">
        <v>41</v>
      </c>
      <c r="C35" s="41">
        <v>4622</v>
      </c>
      <c r="D35" s="41">
        <v>410</v>
      </c>
      <c r="E35" s="41">
        <v>341</v>
      </c>
      <c r="F35" s="41">
        <v>251</v>
      </c>
      <c r="G35" s="41">
        <v>0.127</v>
      </c>
      <c r="H35" s="42">
        <f>D35/C35/G35</f>
        <v>0.6984739196652776</v>
      </c>
      <c r="I35" s="42">
        <f>E35/D35</f>
        <v>0.8317073170731707</v>
      </c>
      <c r="J35" s="42">
        <f>F35/D35</f>
        <v>0.6121951219512195</v>
      </c>
      <c r="K35" s="42">
        <f>(I35*$L$8+J35*$L$9)/($L$8+$L$9)</f>
        <v>0.7272641678622669</v>
      </c>
      <c r="O35" s="42">
        <f>(H35*K35)/(simDau!H35*simDau!K35)</f>
        <v>0.9960580285101471</v>
      </c>
      <c r="P35" s="42">
        <f>(H35*K35)/('simDau.QM'!H35*'simDau.QM'!K35)</f>
        <v>0.9277373501280193</v>
      </c>
    </row>
    <row r="36" spans="2:11" ht="12.75">
      <c r="B36" s="43"/>
      <c r="H36" s="42"/>
      <c r="I36" s="42">
        <f>SQRT(1/E35)*I35</f>
        <v>0.045039476372242405</v>
      </c>
      <c r="J36" s="42">
        <f>SQRT(1/F35+1/C35)*J35</f>
        <v>0.03967676353112094</v>
      </c>
      <c r="K36" s="42">
        <f>($L$2*I36+$L$3*J36)/($L$2+$L$3)</f>
        <v>0.04273058473446502</v>
      </c>
    </row>
    <row r="37" spans="2:16" ht="12.75">
      <c r="B37" s="43" t="s">
        <v>42</v>
      </c>
      <c r="C37" s="41">
        <v>569</v>
      </c>
      <c r="D37" s="41">
        <v>56</v>
      </c>
      <c r="E37" s="41">
        <v>45</v>
      </c>
      <c r="F37" s="41">
        <v>29</v>
      </c>
      <c r="G37" s="41">
        <v>0.127</v>
      </c>
      <c r="H37" s="42">
        <f>D37/C37/G37</f>
        <v>0.7749470683475638</v>
      </c>
      <c r="I37" s="42">
        <f>E37/D37</f>
        <v>0.8035714285714286</v>
      </c>
      <c r="J37" s="42">
        <f>F37/D37</f>
        <v>0.5178571428571429</v>
      </c>
      <c r="K37" s="42">
        <f>(I37*$L$8+J37*$L$9)/($L$8+$L$9)</f>
        <v>0.6676295518207283</v>
      </c>
      <c r="O37" s="42">
        <f>(H37*K37)/(simDau!H37*simDau!K37)</f>
        <v>0.8567661854334272</v>
      </c>
      <c r="P37" s="42">
        <f>(H37*K37)/('simDau.QM'!H37*'simDau.QM'!K37)</f>
        <v>1.0623302458388468</v>
      </c>
    </row>
    <row r="38" spans="2:11" ht="12.75">
      <c r="B38" s="43"/>
      <c r="H38" s="42"/>
      <c r="I38" s="42">
        <f>SQRT(1/E37)*I37</f>
        <v>0.11978935593748874</v>
      </c>
      <c r="J38" s="42">
        <f>SQRT(1/F37+1/C37)*J37</f>
        <v>0.0985837719278117</v>
      </c>
      <c r="K38" s="42">
        <f>($L$2*I38+$L$3*J38)/($L$2+$L$3)</f>
        <v>0.11065938813114053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1" customWidth="1"/>
  </cols>
  <sheetData>
    <row r="1" spans="1:10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</row>
    <row r="2" spans="1:10" ht="12.75">
      <c r="A2" s="41">
        <v>-2.2</v>
      </c>
      <c r="B2" s="41">
        <v>-1.2</v>
      </c>
      <c r="C2" s="41">
        <v>111841</v>
      </c>
      <c r="D2" s="41">
        <v>7736</v>
      </c>
      <c r="E2" s="41">
        <v>4156</v>
      </c>
      <c r="G2" s="41">
        <v>0.128</v>
      </c>
      <c r="H2" s="42">
        <f>D2/C2/G2</f>
        <v>0.5403876932430861</v>
      </c>
      <c r="I2" s="42">
        <f>E2/D2</f>
        <v>0.5372285418821097</v>
      </c>
      <c r="J2" s="42"/>
    </row>
    <row r="3" spans="8:10" ht="12.75">
      <c r="H3" s="42"/>
      <c r="I3" s="42">
        <f>SQRT(1/E2)*I2</f>
        <v>0.008333382348131437</v>
      </c>
      <c r="J3" s="42"/>
    </row>
    <row r="4" spans="1:10" ht="12.75">
      <c r="A4" s="41">
        <v>-2.2</v>
      </c>
      <c r="B4" s="41">
        <v>-1.7</v>
      </c>
      <c r="C4" s="41">
        <v>49193</v>
      </c>
      <c r="D4" s="41">
        <v>3738</v>
      </c>
      <c r="E4" s="41">
        <v>2047</v>
      </c>
      <c r="G4" s="41">
        <f>G2</f>
        <v>0.128</v>
      </c>
      <c r="H4" s="42">
        <f>D4/C4/G4</f>
        <v>0.5936439127518143</v>
      </c>
      <c r="I4" s="42">
        <f>E4/D4</f>
        <v>0.5476190476190477</v>
      </c>
      <c r="J4" s="42"/>
    </row>
    <row r="5" spans="8:10" ht="12.75">
      <c r="H5" s="42"/>
      <c r="I5" s="42">
        <f>SQRT(1/E4)*I4</f>
        <v>0.012103741065664655</v>
      </c>
      <c r="J5" s="42"/>
    </row>
    <row r="6" spans="1:10" ht="12.75">
      <c r="A6" s="41">
        <v>-1.7</v>
      </c>
      <c r="B6" s="41">
        <v>-1.2</v>
      </c>
      <c r="C6" s="41">
        <v>62648</v>
      </c>
      <c r="D6" s="41">
        <v>3998</v>
      </c>
      <c r="E6" s="41">
        <v>2109</v>
      </c>
      <c r="G6" s="41">
        <f>G2</f>
        <v>0.128</v>
      </c>
      <c r="H6" s="42">
        <f>D6/C6/G6</f>
        <v>0.4985693876899501</v>
      </c>
      <c r="I6" s="42">
        <f>E6/D6</f>
        <v>0.5275137568784393</v>
      </c>
      <c r="J6" s="42"/>
    </row>
    <row r="7" spans="8:10" ht="12.75">
      <c r="H7" s="42"/>
      <c r="I7" s="42">
        <f>SQRT(1/E6)*I6</f>
        <v>0.011486705856133102</v>
      </c>
      <c r="J7" s="42"/>
    </row>
    <row r="8" spans="1:10" ht="12.75">
      <c r="A8" s="41">
        <v>1.2</v>
      </c>
      <c r="B8" s="41">
        <v>2.4</v>
      </c>
      <c r="C8" s="41">
        <v>126387</v>
      </c>
      <c r="D8" s="41">
        <v>13335</v>
      </c>
      <c r="E8" s="41">
        <v>10427</v>
      </c>
      <c r="G8" s="41">
        <v>0.127</v>
      </c>
      <c r="H8" s="42">
        <f>D8/C8/G8</f>
        <v>0.8307816468465902</v>
      </c>
      <c r="I8" s="42">
        <f>E8/D8</f>
        <v>0.7819272590926134</v>
      </c>
      <c r="J8" s="42"/>
    </row>
    <row r="9" spans="8:10" ht="12.75">
      <c r="H9" s="42"/>
      <c r="I9" s="42">
        <f>SQRT(1/E8)*I8</f>
        <v>0.007657494027428197</v>
      </c>
      <c r="J9" s="42"/>
    </row>
    <row r="10" spans="1:10" ht="12.75">
      <c r="A10" s="41">
        <v>1.2</v>
      </c>
      <c r="B10" s="41">
        <v>1.7</v>
      </c>
      <c r="C10" s="41">
        <v>62786</v>
      </c>
      <c r="D10" s="41">
        <v>5909</v>
      </c>
      <c r="E10" s="41">
        <v>4568</v>
      </c>
      <c r="G10" s="41">
        <f>G8</f>
        <v>0.127</v>
      </c>
      <c r="H10" s="42">
        <f>D10/C10/G10</f>
        <v>0.7410499005370322</v>
      </c>
      <c r="I10" s="42">
        <f>E10/D10</f>
        <v>0.7730580470468776</v>
      </c>
      <c r="J10" s="42"/>
    </row>
    <row r="11" spans="8:10" ht="12.75">
      <c r="H11" s="42"/>
      <c r="I11" s="42">
        <f>SQRT(1/E10)*I10</f>
        <v>0.011437972752557658</v>
      </c>
      <c r="J11" s="42"/>
    </row>
    <row r="12" spans="1:10" ht="12.75">
      <c r="A12" s="41">
        <v>1.7</v>
      </c>
      <c r="B12" s="41">
        <v>2.4</v>
      </c>
      <c r="C12" s="41">
        <v>63601</v>
      </c>
      <c r="D12" s="41">
        <v>7426</v>
      </c>
      <c r="E12" s="41">
        <v>5859</v>
      </c>
      <c r="G12" s="41">
        <f>G8</f>
        <v>0.127</v>
      </c>
      <c r="H12" s="42">
        <f>D12/C12/G12</f>
        <v>0.9193635468763367</v>
      </c>
      <c r="I12" s="42">
        <f>E12/D12</f>
        <v>0.7889846485321842</v>
      </c>
      <c r="J12" s="42"/>
    </row>
    <row r="13" spans="8:10" ht="12.75">
      <c r="H13" s="42"/>
      <c r="I13" s="42">
        <f>SQRT(1/E12)*I12</f>
        <v>0.010307582134801837</v>
      </c>
      <c r="J13" s="42"/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/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9" ht="12.75">
      <c r="A18" s="41" t="s">
        <v>60</v>
      </c>
      <c r="B18" s="43" t="s">
        <v>38</v>
      </c>
      <c r="C18" s="41">
        <v>32310</v>
      </c>
      <c r="D18" s="41">
        <v>2350</v>
      </c>
      <c r="E18" s="41">
        <v>1330</v>
      </c>
      <c r="G18" s="41">
        <v>0.128</v>
      </c>
      <c r="H18" s="42">
        <f>D18/C18/G18</f>
        <v>0.5682257814917983</v>
      </c>
      <c r="I18" s="42">
        <f>E18/D18</f>
        <v>0.5659574468085107</v>
      </c>
    </row>
    <row r="19" spans="2:9" ht="12.75">
      <c r="B19" s="43"/>
      <c r="I19" s="42">
        <f>SQRT(1/E18)*I18</f>
        <v>0.015518793641540825</v>
      </c>
    </row>
    <row r="20" spans="2:9" ht="12.75">
      <c r="B20" s="43" t="s">
        <v>39</v>
      </c>
      <c r="C20" s="41">
        <v>52146</v>
      </c>
      <c r="D20" s="41">
        <v>3385</v>
      </c>
      <c r="E20" s="41">
        <v>1932</v>
      </c>
      <c r="G20" s="41">
        <v>0.128</v>
      </c>
      <c r="H20" s="42">
        <f>D20/C20/G20</f>
        <v>0.5071398093813524</v>
      </c>
      <c r="I20" s="42">
        <f>E20/D20</f>
        <v>0.5707533234859675</v>
      </c>
    </row>
    <row r="21" spans="2:9" ht="12.75">
      <c r="B21" s="43"/>
      <c r="I21" s="42">
        <f>SQRT(1/E20)*I20</f>
        <v>0.012985087725752385</v>
      </c>
    </row>
    <row r="22" spans="2:9" ht="12.75">
      <c r="B22" s="43" t="s">
        <v>40</v>
      </c>
      <c r="C22" s="41">
        <v>22370</v>
      </c>
      <c r="D22" s="41">
        <v>1216</v>
      </c>
      <c r="E22" s="41">
        <v>689</v>
      </c>
      <c r="G22" s="41">
        <v>0.128</v>
      </c>
      <c r="H22" s="42">
        <f>D22/C22/G22</f>
        <v>0.42467590523021903</v>
      </c>
      <c r="I22" s="42">
        <f>E22/D22</f>
        <v>0.5666118421052632</v>
      </c>
    </row>
    <row r="23" spans="2:9" ht="12.75">
      <c r="B23" s="43"/>
      <c r="I23" s="42">
        <f>SQRT(1/E22)*I22</f>
        <v>0.021586192020405737</v>
      </c>
    </row>
    <row r="24" spans="2:9" ht="12.75">
      <c r="B24" s="43" t="s">
        <v>41</v>
      </c>
      <c r="C24" s="41">
        <v>4347</v>
      </c>
      <c r="D24" s="41">
        <v>293</v>
      </c>
      <c r="E24" s="41">
        <v>176</v>
      </c>
      <c r="G24" s="41">
        <v>0.128</v>
      </c>
      <c r="H24" s="42">
        <f>D24/C24/G24</f>
        <v>0.5265844260409478</v>
      </c>
      <c r="I24" s="42">
        <f>E24/D24</f>
        <v>0.6006825938566553</v>
      </c>
    </row>
    <row r="25" ht="12.75">
      <c r="I25" s="42">
        <f>SQRT(1/E24)*I24</f>
        <v>0.04527815413454471</v>
      </c>
    </row>
    <row r="26" spans="2:9" ht="12.75">
      <c r="B26" s="43" t="s">
        <v>42</v>
      </c>
      <c r="C26" s="41">
        <v>555</v>
      </c>
      <c r="D26" s="41">
        <v>44</v>
      </c>
      <c r="E26" s="41">
        <v>25</v>
      </c>
      <c r="G26" s="41">
        <v>0.128</v>
      </c>
      <c r="H26" s="42">
        <f>D26/C26/G26</f>
        <v>0.6193693693693694</v>
      </c>
      <c r="I26" s="42">
        <f>E26/D26</f>
        <v>0.5681818181818182</v>
      </c>
    </row>
    <row r="27" ht="12.75">
      <c r="I27" s="42">
        <f>SQRT(1/E26)*I26</f>
        <v>0.11363636363636365</v>
      </c>
    </row>
    <row r="28" spans="1:9" ht="12.75">
      <c r="A28" s="41" t="s">
        <v>61</v>
      </c>
      <c r="B28" s="43" t="s">
        <v>38</v>
      </c>
      <c r="C28" s="41">
        <v>36557</v>
      </c>
      <c r="D28" s="41">
        <v>3948</v>
      </c>
      <c r="E28" s="41">
        <v>3271</v>
      </c>
      <c r="G28" s="41">
        <v>0.127</v>
      </c>
      <c r="H28" s="42">
        <f>D28/C28/G28</f>
        <v>0.850360099932389</v>
      </c>
      <c r="I28" s="42">
        <f>E28/D28</f>
        <v>0.8285207700101317</v>
      </c>
    </row>
    <row r="29" spans="2:9" ht="12.75">
      <c r="B29" s="43"/>
      <c r="I29" s="42">
        <f>SQRT(1/E28)*I28</f>
        <v>0.014486488569228777</v>
      </c>
    </row>
    <row r="30" spans="2:9" ht="12.75">
      <c r="B30" s="43" t="s">
        <v>39</v>
      </c>
      <c r="C30" s="41">
        <v>59235</v>
      </c>
      <c r="D30" s="41">
        <v>5907</v>
      </c>
      <c r="E30" s="41">
        <v>4921</v>
      </c>
      <c r="G30" s="41">
        <v>0.127</v>
      </c>
      <c r="H30" s="42">
        <f>D30/C30/G30</f>
        <v>0.7852082556532801</v>
      </c>
      <c r="I30" s="42">
        <f>E30/D30</f>
        <v>0.8330793973252074</v>
      </c>
    </row>
    <row r="31" spans="2:9" ht="12.75">
      <c r="B31" s="43"/>
      <c r="I31" s="42">
        <f>SQRT(1/E30)*I30</f>
        <v>0.011875713497406862</v>
      </c>
    </row>
    <row r="32" spans="2:9" ht="12.75">
      <c r="B32" s="43" t="s">
        <v>40</v>
      </c>
      <c r="C32" s="41">
        <v>25303</v>
      </c>
      <c r="D32" s="41">
        <v>2152</v>
      </c>
      <c r="E32" s="41">
        <v>1804</v>
      </c>
      <c r="G32" s="41">
        <v>0.127</v>
      </c>
      <c r="H32" s="42">
        <f>D32/C32/G32</f>
        <v>0.6696787689113457</v>
      </c>
      <c r="I32" s="42">
        <f>E32/D32</f>
        <v>0.8382899628252788</v>
      </c>
    </row>
    <row r="33" spans="2:9" ht="12.75">
      <c r="B33" s="43"/>
      <c r="I33" s="42">
        <f>SQRT(1/E32)*I32</f>
        <v>0.019736766339772584</v>
      </c>
    </row>
    <row r="34" spans="2:9" ht="12.75">
      <c r="B34" s="43" t="s">
        <v>41</v>
      </c>
      <c r="C34" s="41">
        <v>4622</v>
      </c>
      <c r="D34" s="41">
        <v>440</v>
      </c>
      <c r="E34" s="41">
        <v>364</v>
      </c>
      <c r="G34" s="41">
        <v>0.127</v>
      </c>
      <c r="H34" s="42">
        <f>D34/C34/G34</f>
        <v>0.7495817674456638</v>
      </c>
      <c r="I34" s="42">
        <f>E34/D34</f>
        <v>0.8272727272727273</v>
      </c>
    </row>
    <row r="35" spans="2:9" ht="12.75">
      <c r="B35" s="43"/>
      <c r="H35" s="42"/>
      <c r="I35" s="42">
        <f>SQRT(1/E34)*I34</f>
        <v>0.04336087279167935</v>
      </c>
    </row>
    <row r="36" spans="2:9" ht="12.75">
      <c r="B36" s="43" t="s">
        <v>42</v>
      </c>
      <c r="C36" s="41">
        <v>569</v>
      </c>
      <c r="D36" s="41">
        <v>64</v>
      </c>
      <c r="E36" s="41">
        <v>54</v>
      </c>
      <c r="G36" s="41">
        <v>0.127</v>
      </c>
      <c r="H36" s="42">
        <f>D36/C36/G36</f>
        <v>0.8856537923972156</v>
      </c>
      <c r="I36" s="42">
        <f>E36/D36</f>
        <v>0.84375</v>
      </c>
    </row>
    <row r="37" spans="2:9" ht="12.75">
      <c r="B37" s="43"/>
      <c r="H37" s="42"/>
      <c r="I37" s="42">
        <f>SQRT(1/E36)*I36</f>
        <v>0.11481983169296148</v>
      </c>
    </row>
    <row r="38" spans="1:9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</row>
    <row r="41" spans="1:9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1" customWidth="1"/>
  </cols>
  <sheetData>
    <row r="1" spans="1:12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</row>
    <row r="2" spans="1:13" ht="12.75">
      <c r="A2" s="41">
        <v>-2.2</v>
      </c>
      <c r="B2" s="41">
        <v>-1.2</v>
      </c>
      <c r="C2" s="41">
        <v>111841</v>
      </c>
      <c r="D2" s="41">
        <v>10289</v>
      </c>
      <c r="E2" s="41">
        <v>7417</v>
      </c>
      <c r="F2" s="41">
        <v>3920</v>
      </c>
      <c r="G2" s="41">
        <v>0.128</v>
      </c>
      <c r="H2" s="42">
        <f>D2/C2/G2</f>
        <v>0.718724014449084</v>
      </c>
      <c r="I2" s="42">
        <f>E2/D2</f>
        <v>0.7208669452813684</v>
      </c>
      <c r="J2" s="42">
        <f>F2/D2</f>
        <v>0.3809894061619205</v>
      </c>
      <c r="K2" s="42">
        <f>(I2*$L$2+J2*$L$3)/($L$2+$L$3)</f>
        <v>0.5745342157113952</v>
      </c>
      <c r="L2" s="41">
        <v>1.566</v>
      </c>
      <c r="M2" s="41" t="s">
        <v>51</v>
      </c>
    </row>
    <row r="3" spans="8:13" ht="12.75">
      <c r="H3" s="42"/>
      <c r="I3" s="42">
        <f>SQRT(1/E2)*I2</f>
        <v>0.008370299006626537</v>
      </c>
      <c r="J3" s="42">
        <f>SQRT(1/F2)*J2</f>
        <v>0.006085130077752368</v>
      </c>
      <c r="K3" s="42">
        <f>($L$2*I3+$L$3*J3)/($L$2+$L$3)</f>
        <v>0.0073864299114312585</v>
      </c>
      <c r="L3" s="41">
        <v>1.184</v>
      </c>
      <c r="M3" s="41" t="s">
        <v>52</v>
      </c>
    </row>
    <row r="4" spans="1:11" ht="12.75">
      <c r="A4" s="41">
        <v>-2.2</v>
      </c>
      <c r="B4" s="41">
        <v>-1.7</v>
      </c>
      <c r="C4" s="41">
        <v>49193</v>
      </c>
      <c r="D4" s="41">
        <v>4756</v>
      </c>
      <c r="E4" s="41">
        <v>3493</v>
      </c>
      <c r="F4" s="41">
        <v>1904</v>
      </c>
      <c r="G4" s="41">
        <f>G2</f>
        <v>0.128</v>
      </c>
      <c r="H4" s="42">
        <f>D4/C4/G4</f>
        <v>0.7553157969629826</v>
      </c>
      <c r="I4" s="42">
        <f>E4/D4</f>
        <v>0.7344407064760303</v>
      </c>
      <c r="J4" s="42">
        <f>F4/D4</f>
        <v>0.400336417157275</v>
      </c>
      <c r="K4" s="42">
        <f>(I4*$L$2+J4*$L$3)/($L$2+$L$3)</f>
        <v>0.5905936233657008</v>
      </c>
    </row>
    <row r="5" spans="8:11" ht="12.75">
      <c r="H5" s="42"/>
      <c r="I5" s="42">
        <f>SQRT(1/E4)*I4</f>
        <v>0.012426746724800005</v>
      </c>
      <c r="J5" s="42">
        <f>SQRT(1/F4)*J4</f>
        <v>0.009174694797843327</v>
      </c>
      <c r="K5" s="42">
        <f>($L$2*I5+$L$3*J5)/($L$2+$L$3)</f>
        <v>0.01102659054970302</v>
      </c>
    </row>
    <row r="6" spans="1:11" ht="12.75">
      <c r="A6" s="41">
        <v>-1.7</v>
      </c>
      <c r="B6" s="41">
        <v>-1.2</v>
      </c>
      <c r="C6" s="41">
        <v>62648</v>
      </c>
      <c r="D6" s="41">
        <v>5533</v>
      </c>
      <c r="E6" s="41">
        <v>3924</v>
      </c>
      <c r="F6" s="41">
        <v>2016</v>
      </c>
      <c r="G6" s="41">
        <f>G2</f>
        <v>0.128</v>
      </c>
      <c r="H6" s="42">
        <f>D6/C6/G6</f>
        <v>0.6899911010726599</v>
      </c>
      <c r="I6" s="42">
        <f>E6/D6</f>
        <v>0.7091993493583951</v>
      </c>
      <c r="J6" s="42">
        <f>F6/D6</f>
        <v>0.36435929875293693</v>
      </c>
      <c r="K6" s="42">
        <f>(I6*$L$2+J6*$L$3)/($L$2+$L$3)</f>
        <v>0.5607300330249906</v>
      </c>
    </row>
    <row r="7" spans="8:11" ht="12.75">
      <c r="H7" s="42"/>
      <c r="I7" s="42">
        <f>SQRT(1/E6)*I6</f>
        <v>0.011321496304620154</v>
      </c>
      <c r="J7" s="42">
        <f>SQRT(1/F6)*J6</f>
        <v>0.008114926557254166</v>
      </c>
      <c r="K7" s="42">
        <f>($L$2*I7+$L$3*J7)/($L$2+$L$3)</f>
        <v>0.009940922275208762</v>
      </c>
    </row>
    <row r="8" spans="1:13" ht="12.75">
      <c r="A8" s="41">
        <v>1.2</v>
      </c>
      <c r="B8" s="41">
        <v>2.4</v>
      </c>
      <c r="C8" s="41">
        <v>126387</v>
      </c>
      <c r="D8" s="41">
        <v>13605</v>
      </c>
      <c r="E8" s="41">
        <v>10683</v>
      </c>
      <c r="F8" s="41">
        <v>7249</v>
      </c>
      <c r="G8" s="41">
        <v>0.127</v>
      </c>
      <c r="H8" s="42">
        <f>D8/C8/G8</f>
        <v>0.8476028725420218</v>
      </c>
      <c r="I8" s="42">
        <f>E8/D8</f>
        <v>0.785226019845645</v>
      </c>
      <c r="J8" s="42">
        <f>F8/D8</f>
        <v>0.5328188166115398</v>
      </c>
      <c r="K8" s="42">
        <f>(I8*$L$8+J8*$L$9)/($L$8+$L$9)</f>
        <v>0.665131538650006</v>
      </c>
      <c r="L8" s="41">
        <v>1.711</v>
      </c>
      <c r="M8" s="41" t="s">
        <v>51</v>
      </c>
    </row>
    <row r="9" spans="8:13" ht="12.75">
      <c r="H9" s="42"/>
      <c r="I9" s="42">
        <f>SQRT(1/E8)*I8</f>
        <v>0.007597103936913877</v>
      </c>
      <c r="J9" s="42">
        <f>SQRT(1/F8)*J8</f>
        <v>0.006258071255048376</v>
      </c>
      <c r="K9" s="42">
        <f>($L$2*I9+$L$3*J9)/($L$2+$L$3)</f>
        <v>0.007020589502248876</v>
      </c>
      <c r="L9" s="41">
        <v>1.553</v>
      </c>
      <c r="M9" s="41" t="s">
        <v>52</v>
      </c>
    </row>
    <row r="10" spans="1:11" ht="12.75">
      <c r="A10" s="41">
        <v>1.2</v>
      </c>
      <c r="B10" s="41">
        <v>1.7</v>
      </c>
      <c r="C10" s="41">
        <v>62786</v>
      </c>
      <c r="D10" s="41">
        <v>5921</v>
      </c>
      <c r="E10" s="41">
        <v>4627</v>
      </c>
      <c r="F10" s="41">
        <v>2907</v>
      </c>
      <c r="G10" s="41">
        <f>G8</f>
        <v>0.127</v>
      </c>
      <c r="H10" s="42">
        <f>D10/C10/G10</f>
        <v>0.742554825026192</v>
      </c>
      <c r="I10" s="42">
        <f>E10/D10</f>
        <v>0.7814558351629792</v>
      </c>
      <c r="J10" s="42">
        <f>F10/D10</f>
        <v>0.49096436412768113</v>
      </c>
      <c r="K10" s="42">
        <f>(I10*$L$8+J10*$L$9)/($L$8+$L$9)</f>
        <v>0.6432409900288438</v>
      </c>
    </row>
    <row r="11" spans="8:11" ht="12.75">
      <c r="H11" s="42"/>
      <c r="I11" s="42">
        <f>SQRT(1/E10)*I10</f>
        <v>0.011488271448540697</v>
      </c>
      <c r="J11" s="42">
        <f>SQRT(1/F10)*J10</f>
        <v>0.009105995991696383</v>
      </c>
      <c r="K11" s="42">
        <f>($L$2*I11+$L$3*J11)/($L$2+$L$3)</f>
        <v>0.010462593579121182</v>
      </c>
    </row>
    <row r="12" spans="1:11" ht="12.75">
      <c r="A12" s="41">
        <v>1.7</v>
      </c>
      <c r="B12" s="41">
        <v>2.4</v>
      </c>
      <c r="C12" s="41">
        <v>63601</v>
      </c>
      <c r="D12" s="41">
        <v>7684</v>
      </c>
      <c r="E12" s="41">
        <v>6056</v>
      </c>
      <c r="F12" s="41">
        <v>4342</v>
      </c>
      <c r="G12" s="41">
        <f>G8</f>
        <v>0.127</v>
      </c>
      <c r="H12" s="42">
        <f>D12/C12/G12</f>
        <v>0.9513048066520026</v>
      </c>
      <c r="I12" s="42">
        <f>E12/D12</f>
        <v>0.7881311816762103</v>
      </c>
      <c r="J12" s="42">
        <f>F12/D12</f>
        <v>0.5650702758979698</v>
      </c>
      <c r="K12" s="42">
        <f>(I12*$L$8+J12*$L$9)/($L$8+$L$9)</f>
        <v>0.6819995681119922</v>
      </c>
    </row>
    <row r="13" spans="8:11" ht="12.75">
      <c r="H13" s="42"/>
      <c r="I13" s="42">
        <f>SQRT(1/E12)*I12</f>
        <v>0.010127577542084185</v>
      </c>
      <c r="J13" s="42">
        <f>SQRT(1/F12)*J12</f>
        <v>0.00857546252448494</v>
      </c>
      <c r="K13" s="42">
        <f>($L$2*I13+$L$3*J13)/($L$2+$L$3)</f>
        <v>0.009459321476325092</v>
      </c>
    </row>
    <row r="14" spans="1:11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</row>
    <row r="15" ht="12.75">
      <c r="J15" s="42"/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1" ht="12.75">
      <c r="A19" s="41" t="s">
        <v>60</v>
      </c>
      <c r="B19" s="43" t="s">
        <v>38</v>
      </c>
      <c r="C19" s="41">
        <v>32310</v>
      </c>
      <c r="D19" s="41">
        <v>3120</v>
      </c>
      <c r="E19" s="41">
        <v>2379</v>
      </c>
      <c r="F19" s="41">
        <v>1234</v>
      </c>
      <c r="G19" s="41">
        <v>0.128</v>
      </c>
      <c r="H19" s="42">
        <f>D19/C19/G19</f>
        <v>0.7544103992571959</v>
      </c>
      <c r="I19" s="42">
        <f>E19/D19</f>
        <v>0.7625</v>
      </c>
      <c r="J19" s="42">
        <f>F19/D19</f>
        <v>0.3955128205128205</v>
      </c>
      <c r="K19" s="42">
        <f>(I19*$L$2+J19*$L$3)/($L$2+$L$3)</f>
        <v>0.604495337995338</v>
      </c>
    </row>
    <row r="20" spans="2:11" ht="12.75">
      <c r="B20" s="43"/>
      <c r="I20" s="42">
        <f>SQRT(1/E19)*I19</f>
        <v>0.015633010766996407</v>
      </c>
      <c r="J20" s="42">
        <f>SQRT(1/F19+1/C19)*J19</f>
        <v>0.01147207378320875</v>
      </c>
      <c r="K20" s="42">
        <f>($L$2*I20+$L$3*J20)/($L$2+$L$3)</f>
        <v>0.013841538261976559</v>
      </c>
    </row>
    <row r="21" spans="2:11" ht="12.75">
      <c r="B21" s="43" t="s">
        <v>39</v>
      </c>
      <c r="C21" s="41">
        <v>52146</v>
      </c>
      <c r="D21" s="41">
        <v>4553</v>
      </c>
      <c r="E21" s="41">
        <v>3446</v>
      </c>
      <c r="F21" s="41">
        <v>1815</v>
      </c>
      <c r="G21" s="41">
        <v>0.128</v>
      </c>
      <c r="H21" s="42">
        <f>D21/C21/G21</f>
        <v>0.6821292620718751</v>
      </c>
      <c r="I21" s="42">
        <f>E21/D21</f>
        <v>0.7568636064133538</v>
      </c>
      <c r="J21" s="42">
        <f>F21/D21</f>
        <v>0.3986382604875906</v>
      </c>
      <c r="K21" s="42">
        <f>(I21*$L$2+J21*$L$3)/($L$2+$L$3)</f>
        <v>0.6026313120220433</v>
      </c>
    </row>
    <row r="22" spans="2:11" ht="12.75">
      <c r="B22" s="43"/>
      <c r="I22" s="42">
        <f>SQRT(1/E21)*I21</f>
        <v>0.012893178231003007</v>
      </c>
      <c r="J22" s="42">
        <f>SQRT(1/F21+1/C21)*J21</f>
        <v>0.00951853604661259</v>
      </c>
      <c r="K22" s="42">
        <f>($L$2*I22+$L$3*J22)/($L$2+$L$3)</f>
        <v>0.01144024137779637</v>
      </c>
    </row>
    <row r="23" spans="2:11" ht="12.75">
      <c r="B23" s="43" t="s">
        <v>40</v>
      </c>
      <c r="C23" s="41">
        <v>22370</v>
      </c>
      <c r="D23" s="41">
        <v>1608</v>
      </c>
      <c r="E23" s="41">
        <v>1222</v>
      </c>
      <c r="F23" s="41">
        <v>666</v>
      </c>
      <c r="G23" s="41">
        <v>0.128</v>
      </c>
      <c r="H23" s="42">
        <f>D23/C23/G23</f>
        <v>0.5615780062583818</v>
      </c>
      <c r="I23" s="42">
        <f>E23/D23</f>
        <v>0.7599502487562189</v>
      </c>
      <c r="J23" s="42">
        <f>F23/D23</f>
        <v>0.4141791044776119</v>
      </c>
      <c r="K23" s="42">
        <f>(I23*$L$2+J23*$L$3)/($L$2+$L$3)</f>
        <v>0.6110800542740841</v>
      </c>
    </row>
    <row r="24" spans="2:11" ht="12.75">
      <c r="B24" s="43"/>
      <c r="I24" s="42">
        <f>SQRT(1/E23)*I23</f>
        <v>0.02173950036436385</v>
      </c>
      <c r="J24" s="42">
        <f>SQRT(1/F23+1/C23)*J23</f>
        <v>0.016286269348884445</v>
      </c>
      <c r="K24" s="42">
        <f>($L$2*I24+$L$3*J24)/($L$2+$L$3)</f>
        <v>0.019391636538062897</v>
      </c>
    </row>
    <row r="25" spans="2:11" ht="12.75">
      <c r="B25" s="43" t="s">
        <v>41</v>
      </c>
      <c r="C25" s="41">
        <v>4347</v>
      </c>
      <c r="D25" s="41">
        <v>386</v>
      </c>
      <c r="E25" s="41">
        <v>317</v>
      </c>
      <c r="F25" s="41">
        <v>170</v>
      </c>
      <c r="G25" s="41">
        <v>0.128</v>
      </c>
      <c r="H25" s="42">
        <f>D25/C25/G25</f>
        <v>0.6937255578559925</v>
      </c>
      <c r="I25" s="42">
        <f>E25/D25</f>
        <v>0.8212435233160622</v>
      </c>
      <c r="J25" s="42">
        <f>F25/D25</f>
        <v>0.44041450777202074</v>
      </c>
      <c r="K25" s="42">
        <f>(I25*$L$2+J25*$L$3)/($L$2+$L$3)</f>
        <v>0.6572793217145549</v>
      </c>
    </row>
    <row r="26" spans="9:11" ht="12.75">
      <c r="I26" s="42">
        <f>SQRT(1/E25)*I25</f>
        <v>0.04612563164446854</v>
      </c>
      <c r="J26" s="42">
        <f>SQRT(1/F25+1/C25)*J25</f>
        <v>0.03443240684526958</v>
      </c>
      <c r="K26" s="42">
        <f>($L$2*I26+$L$3*J26)/($L$2+$L$3)</f>
        <v>0.04109116685819525</v>
      </c>
    </row>
    <row r="27" spans="2:11" ht="12.75">
      <c r="B27" s="43" t="s">
        <v>42</v>
      </c>
      <c r="C27" s="41">
        <v>555</v>
      </c>
      <c r="D27" s="41">
        <v>53</v>
      </c>
      <c r="E27" s="41">
        <v>43</v>
      </c>
      <c r="F27" s="41">
        <v>27</v>
      </c>
      <c r="G27" s="41">
        <v>0.128</v>
      </c>
      <c r="H27" s="42">
        <f>D27/C27/G27</f>
        <v>0.7460585585585585</v>
      </c>
      <c r="I27" s="42">
        <f>E27/D27</f>
        <v>0.8113207547169812</v>
      </c>
      <c r="J27" s="42">
        <f>F27/D27</f>
        <v>0.5094339622641509</v>
      </c>
      <c r="K27" s="42">
        <f>(I27*$L$2+J27*$L$3)/($L$2+$L$3)</f>
        <v>0.6813447684391081</v>
      </c>
    </row>
    <row r="28" spans="9:11" ht="12.75">
      <c r="I28" s="42">
        <f>SQRT(1/E27)*I27</f>
        <v>0.12372525517550945</v>
      </c>
      <c r="J28" s="42">
        <f>SQRT(1/F27+1/C27)*J27</f>
        <v>0.10039706416289691</v>
      </c>
      <c r="K28" s="42">
        <f>($L$2*I28+$L$3*J28)/($L$2+$L$3)</f>
        <v>0.113681408572261</v>
      </c>
    </row>
    <row r="29" spans="1:11" ht="12.75">
      <c r="A29" s="41" t="s">
        <v>61</v>
      </c>
      <c r="B29" s="43" t="s">
        <v>38</v>
      </c>
      <c r="C29" s="41">
        <v>36557</v>
      </c>
      <c r="D29" s="41">
        <v>4067</v>
      </c>
      <c r="E29" s="41">
        <v>3394</v>
      </c>
      <c r="F29" s="41">
        <v>2268</v>
      </c>
      <c r="G29" s="41">
        <v>0.127</v>
      </c>
      <c r="H29" s="42">
        <f>D29/C29/G29</f>
        <v>0.8759915213842517</v>
      </c>
      <c r="I29" s="42">
        <f>E29/D29</f>
        <v>0.8345217605114335</v>
      </c>
      <c r="J29" s="42">
        <f>F29/D29</f>
        <v>0.5576592082616179</v>
      </c>
      <c r="K29" s="42">
        <f>(I29*$L$8+J29*$L$9)/($L$8+$L$9)</f>
        <v>0.7027915081695328</v>
      </c>
    </row>
    <row r="30" spans="2:11" ht="12.75">
      <c r="B30" s="43"/>
      <c r="I30" s="42">
        <f>SQRT(1/E29)*I29</f>
        <v>0.014324575031846087</v>
      </c>
      <c r="J30" s="42">
        <f>SQRT(1/F29+1/C29)*J29</f>
        <v>0.012067513977798637</v>
      </c>
      <c r="K30" s="42">
        <f>($L$2*I30+$L$3*J30)/($L$2+$L$3)</f>
        <v>0.013352807654394387</v>
      </c>
    </row>
    <row r="31" spans="2:11" ht="12.75">
      <c r="B31" s="43" t="s">
        <v>39</v>
      </c>
      <c r="C31" s="41">
        <v>59235</v>
      </c>
      <c r="D31" s="41">
        <v>6062</v>
      </c>
      <c r="E31" s="41">
        <v>5033</v>
      </c>
      <c r="F31" s="41">
        <v>3407</v>
      </c>
      <c r="G31" s="41">
        <v>0.127</v>
      </c>
      <c r="H31" s="42">
        <f>D31/C31/G31</f>
        <v>0.8058121628187208</v>
      </c>
      <c r="I31" s="42">
        <f>E31/D31</f>
        <v>0.8302540415704388</v>
      </c>
      <c r="J31" s="42">
        <f>F31/D31</f>
        <v>0.5620257340811613</v>
      </c>
      <c r="K31" s="42">
        <f>(I31*$L$8+J31*$L$9)/($L$8+$L$9)</f>
        <v>0.7026319332582918</v>
      </c>
    </row>
    <row r="32" spans="2:11" ht="12.75">
      <c r="B32" s="43"/>
      <c r="I32" s="42">
        <f>SQRT(1/E31)*I31</f>
        <v>0.01170300884232131</v>
      </c>
      <c r="J32" s="42">
        <f>SQRT(1/F31+1/C31)*J31</f>
        <v>0.009901790786603117</v>
      </c>
      <c r="K32" s="42">
        <f>($L$2*I32+$L$3*J32)/($L$2+$L$3)</f>
        <v>0.010927502595786641</v>
      </c>
    </row>
    <row r="33" spans="2:11" ht="12.75">
      <c r="B33" s="43" t="s">
        <v>40</v>
      </c>
      <c r="C33" s="41">
        <v>25303</v>
      </c>
      <c r="D33" s="41">
        <v>2146</v>
      </c>
      <c r="E33" s="41">
        <v>1822</v>
      </c>
      <c r="F33" s="41">
        <v>1258</v>
      </c>
      <c r="G33" s="41">
        <v>0.127</v>
      </c>
      <c r="H33" s="42">
        <f>D33/C33/G33</f>
        <v>0.6678116347972806</v>
      </c>
      <c r="I33" s="42">
        <f>E33/D33</f>
        <v>0.8490214352283317</v>
      </c>
      <c r="J33" s="42">
        <f>F33/D33</f>
        <v>0.5862068965517241</v>
      </c>
      <c r="K33" s="42">
        <f>(I33*$L$8+J33*$L$9)/($L$8+$L$9)</f>
        <v>0.7239751795405952</v>
      </c>
    </row>
    <row r="34" spans="2:11" ht="12.75">
      <c r="B34" s="43"/>
      <c r="I34" s="42">
        <f>SQRT(1/E33)*I33</f>
        <v>0.01989044358845577</v>
      </c>
      <c r="J34" s="42">
        <f>SQRT(1/F33+1/C33)*J33</f>
        <v>0.016933502885394414</v>
      </c>
      <c r="K34" s="42">
        <f>($L$2*I34+$L$3*J34)/($L$2+$L$3)</f>
        <v>0.018617346209392264</v>
      </c>
    </row>
    <row r="35" spans="2:11" ht="12.75">
      <c r="B35" s="43" t="s">
        <v>41</v>
      </c>
      <c r="C35" s="41">
        <v>4622</v>
      </c>
      <c r="D35" s="41">
        <v>445</v>
      </c>
      <c r="E35" s="41">
        <v>368</v>
      </c>
      <c r="F35" s="41">
        <v>273</v>
      </c>
      <c r="G35" s="41">
        <v>0.127</v>
      </c>
      <c r="H35" s="42">
        <f>D35/C35/G35</f>
        <v>0.7580997420757283</v>
      </c>
      <c r="I35" s="42">
        <f>E35/D35</f>
        <v>0.8269662921348314</v>
      </c>
      <c r="J35" s="42">
        <f>F35/D35</f>
        <v>0.6134831460674157</v>
      </c>
      <c r="K35" s="42">
        <f>(I35*$L$8+J35*$L$9)/($L$8+$L$9)</f>
        <v>0.7253917437761621</v>
      </c>
    </row>
    <row r="36" spans="2:11" ht="12.75">
      <c r="B36" s="43"/>
      <c r="H36" s="42"/>
      <c r="I36" s="42">
        <f>SQRT(1/E35)*I35</f>
        <v>0.04310859796236152</v>
      </c>
      <c r="J36" s="42">
        <f>SQRT(1/F35+1/C35)*J35</f>
        <v>0.03821049730694831</v>
      </c>
      <c r="K36" s="42">
        <f>($L$2*I36+$L$3*J36)/($L$2+$L$3)</f>
        <v>0.04099974298926725</v>
      </c>
    </row>
    <row r="37" spans="2:11" ht="12.75">
      <c r="B37" s="43" t="s">
        <v>42</v>
      </c>
      <c r="C37" s="41">
        <v>569</v>
      </c>
      <c r="D37" s="41">
        <v>68</v>
      </c>
      <c r="E37" s="41">
        <v>57</v>
      </c>
      <c r="F37" s="41">
        <v>38</v>
      </c>
      <c r="G37" s="41">
        <v>0.127</v>
      </c>
      <c r="H37" s="42">
        <f>D37/C37/G37</f>
        <v>0.9410071544220416</v>
      </c>
      <c r="I37" s="42">
        <f>E37/D37</f>
        <v>0.8382352941176471</v>
      </c>
      <c r="J37" s="42">
        <f>F37/D37</f>
        <v>0.5588235294117647</v>
      </c>
      <c r="K37" s="42">
        <f>(I37*$L$8+J37*$L$9)/($L$8+$L$9)</f>
        <v>0.7052921352364476</v>
      </c>
    </row>
    <row r="38" spans="2:11" ht="12.75">
      <c r="B38" s="43"/>
      <c r="H38" s="42"/>
      <c r="I38" s="42">
        <f>SQRT(1/E37)*I37</f>
        <v>0.11102697698927574</v>
      </c>
      <c r="J38" s="42">
        <f>SQRT(1/F37+1/C37)*J37</f>
        <v>0.09363130962929139</v>
      </c>
      <c r="K38" s="42">
        <f>($L$2*I38+$L$3*J38)/($L$2+$L$3)</f>
        <v>0.10353735147864974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1" customWidth="1"/>
  </cols>
  <sheetData>
    <row r="1" spans="1:10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</row>
    <row r="2" spans="1:10" ht="12.75">
      <c r="A2" s="41">
        <v>-2.2</v>
      </c>
      <c r="B2" s="41">
        <v>-1.2</v>
      </c>
      <c r="C2" s="41">
        <v>111841</v>
      </c>
      <c r="D2" s="41">
        <v>4680</v>
      </c>
      <c r="E2" s="41">
        <v>3069</v>
      </c>
      <c r="G2" s="41">
        <v>0.128</v>
      </c>
      <c r="H2" s="42">
        <f>D2/C2/G2</f>
        <v>0.3269149953952486</v>
      </c>
      <c r="I2" s="42">
        <f>E2/D2</f>
        <v>0.6557692307692308</v>
      </c>
      <c r="J2" s="42"/>
    </row>
    <row r="3" spans="8:10" ht="12.75">
      <c r="H3" s="42"/>
      <c r="I3" s="42">
        <f>SQRT(1/E2)*I2</f>
        <v>0.011837298277320121</v>
      </c>
      <c r="J3" s="42"/>
    </row>
    <row r="4" spans="1:10" ht="12.75">
      <c r="A4" s="41">
        <v>-2.2</v>
      </c>
      <c r="B4" s="41">
        <v>-1.7</v>
      </c>
      <c r="C4" s="41">
        <v>49193</v>
      </c>
      <c r="D4" s="41">
        <v>2356</v>
      </c>
      <c r="E4" s="41">
        <v>1553</v>
      </c>
      <c r="G4" s="41">
        <f>G2</f>
        <v>0.128</v>
      </c>
      <c r="H4" s="42">
        <f>D4/C4/G4</f>
        <v>0.3741640070741772</v>
      </c>
      <c r="I4" s="42">
        <f>E4/D4</f>
        <v>0.6591680814940577</v>
      </c>
      <c r="J4" s="42"/>
    </row>
    <row r="5" spans="8:10" ht="12.75">
      <c r="H5" s="42"/>
      <c r="I5" s="42">
        <f>SQRT(1/E4)*I4</f>
        <v>0.016726706702239413</v>
      </c>
      <c r="J5" s="42"/>
    </row>
    <row r="6" spans="1:10" ht="12.75">
      <c r="A6" s="41">
        <v>-1.7</v>
      </c>
      <c r="B6" s="41">
        <v>-1.2</v>
      </c>
      <c r="C6" s="41">
        <v>62648</v>
      </c>
      <c r="D6" s="41">
        <v>2324</v>
      </c>
      <c r="E6" s="41">
        <v>1516</v>
      </c>
      <c r="G6" s="41">
        <f>G2</f>
        <v>0.128</v>
      </c>
      <c r="H6" s="42">
        <f>D6/C6/G6</f>
        <v>0.28981372110841525</v>
      </c>
      <c r="I6" s="42">
        <f>E6/D6</f>
        <v>0.6523235800344234</v>
      </c>
      <c r="J6" s="42"/>
    </row>
    <row r="7" spans="8:10" ht="12.75">
      <c r="H7" s="42"/>
      <c r="I7" s="42">
        <f>SQRT(1/E6)*I6</f>
        <v>0.016753805795122017</v>
      </c>
      <c r="J7" s="42"/>
    </row>
    <row r="8" spans="1:10" ht="12.75">
      <c r="A8" s="41">
        <v>1.2</v>
      </c>
      <c r="B8" s="41">
        <v>2.4</v>
      </c>
      <c r="C8" s="41">
        <v>126387</v>
      </c>
      <c r="D8" s="41">
        <v>10498</v>
      </c>
      <c r="E8" s="41">
        <v>9049</v>
      </c>
      <c r="G8" s="41">
        <v>0.127</v>
      </c>
      <c r="H8" s="42">
        <f>D8/C8/G8</f>
        <v>0.6540341753727412</v>
      </c>
      <c r="I8" s="42">
        <f>E8/D8</f>
        <v>0.8619737092779577</v>
      </c>
      <c r="J8" s="42"/>
    </row>
    <row r="9" spans="8:10" ht="12.75">
      <c r="H9" s="42"/>
      <c r="I9" s="42">
        <f>SQRT(1/E8)*I8</f>
        <v>0.009061367110277366</v>
      </c>
      <c r="J9" s="42"/>
    </row>
    <row r="10" spans="1:10" ht="12.75">
      <c r="A10" s="41">
        <v>1.2</v>
      </c>
      <c r="B10" s="41">
        <v>1.8</v>
      </c>
      <c r="C10" s="41">
        <v>73890</v>
      </c>
      <c r="D10" s="41">
        <v>6036</v>
      </c>
      <c r="E10" s="41">
        <v>5215</v>
      </c>
      <c r="G10" s="41">
        <f>G8</f>
        <v>0.127</v>
      </c>
      <c r="H10" s="42">
        <f>D10/C10/G10</f>
        <v>0.6432204500624997</v>
      </c>
      <c r="I10" s="42">
        <f>E10/D10</f>
        <v>0.8639827700463883</v>
      </c>
      <c r="J10" s="42"/>
    </row>
    <row r="11" spans="8:10" ht="12.75">
      <c r="H11" s="42"/>
      <c r="I11" s="42">
        <f>SQRT(1/E10)*I10</f>
        <v>0.011964041898529365</v>
      </c>
      <c r="J11" s="42"/>
    </row>
    <row r="12" spans="1:10" ht="12.75">
      <c r="A12" s="41">
        <v>1.8</v>
      </c>
      <c r="B12" s="41">
        <v>2.4</v>
      </c>
      <c r="C12" s="41">
        <v>52497</v>
      </c>
      <c r="D12" s="41">
        <v>4462</v>
      </c>
      <c r="E12" s="41">
        <v>3834</v>
      </c>
      <c r="G12" s="41">
        <f>G8</f>
        <v>0.127</v>
      </c>
      <c r="H12" s="42">
        <f>D12/C12/G12</f>
        <v>0.6692545910759955</v>
      </c>
      <c r="I12" s="42">
        <f>E12/D12</f>
        <v>0.8592559390407889</v>
      </c>
      <c r="J12" s="42"/>
    </row>
    <row r="13" spans="8:10" ht="12.75">
      <c r="H13" s="42"/>
      <c r="I13" s="42">
        <f>SQRT(1/E12)*I12</f>
        <v>0.01387702875877429</v>
      </c>
      <c r="J13" s="42"/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/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9" ht="12.75">
      <c r="A18" s="41" t="s">
        <v>60</v>
      </c>
      <c r="B18" s="43" t="s">
        <v>38</v>
      </c>
      <c r="C18" s="41">
        <v>32310</v>
      </c>
      <c r="D18" s="41">
        <v>1440</v>
      </c>
      <c r="E18" s="41">
        <v>948</v>
      </c>
      <c r="G18" s="41">
        <v>0.128</v>
      </c>
      <c r="H18" s="42">
        <f>D18/C18/G18</f>
        <v>0.34818941504178275</v>
      </c>
      <c r="I18" s="42">
        <f>E18/D18</f>
        <v>0.6583333333333333</v>
      </c>
    </row>
    <row r="19" spans="2:9" ht="12.75">
      <c r="B19" s="43"/>
      <c r="I19" s="42">
        <f>SQRT(1/E18)*I18</f>
        <v>0.021381672664362018</v>
      </c>
    </row>
    <row r="20" spans="2:9" ht="12.75">
      <c r="B20" s="43" t="s">
        <v>39</v>
      </c>
      <c r="C20" s="41">
        <v>52146</v>
      </c>
      <c r="D20" s="41">
        <v>2161</v>
      </c>
      <c r="E20" s="41">
        <v>1414</v>
      </c>
      <c r="G20" s="41">
        <v>0.128</v>
      </c>
      <c r="H20" s="42">
        <f>D20/C20/G20</f>
        <v>0.3237604514248456</v>
      </c>
      <c r="I20" s="42">
        <f>E20/D20</f>
        <v>0.6543267006015734</v>
      </c>
    </row>
    <row r="21" spans="2:9" ht="12.75">
      <c r="B21" s="43"/>
      <c r="I21" s="42">
        <f>SQRT(1/E20)*I20</f>
        <v>0.017400828946749807</v>
      </c>
    </row>
    <row r="22" spans="2:9" ht="12.75">
      <c r="B22" s="43" t="s">
        <v>40</v>
      </c>
      <c r="C22" s="41">
        <v>22370</v>
      </c>
      <c r="D22" s="41">
        <v>838</v>
      </c>
      <c r="E22" s="41">
        <v>552</v>
      </c>
      <c r="G22" s="41">
        <v>0.128</v>
      </c>
      <c r="H22" s="42">
        <f>D22/C22/G22</f>
        <v>0.29266316495306216</v>
      </c>
      <c r="I22" s="42">
        <f>E22/D22</f>
        <v>0.6587112171837709</v>
      </c>
    </row>
    <row r="23" spans="2:9" ht="12.75">
      <c r="B23" s="43"/>
      <c r="I23" s="42">
        <f>SQRT(1/E22)*I22</f>
        <v>0.02803661127558647</v>
      </c>
    </row>
    <row r="24" spans="2:9" ht="12.75">
      <c r="B24" s="43" t="s">
        <v>41</v>
      </c>
      <c r="C24" s="41">
        <v>4347</v>
      </c>
      <c r="D24" s="41">
        <v>200</v>
      </c>
      <c r="E24" s="41">
        <v>128</v>
      </c>
      <c r="G24" s="41">
        <v>0.128</v>
      </c>
      <c r="H24" s="42">
        <f>D24/C24/G24</f>
        <v>0.3594432942259029</v>
      </c>
      <c r="I24" s="42">
        <f>E24/D24</f>
        <v>0.64</v>
      </c>
    </row>
    <row r="25" ht="12.75">
      <c r="I25" s="42">
        <f>SQRT(1/E24)*I24</f>
        <v>0.05656854249492381</v>
      </c>
    </row>
    <row r="26" spans="2:9" ht="12.75">
      <c r="B26" s="43" t="s">
        <v>42</v>
      </c>
      <c r="C26" s="41">
        <v>555</v>
      </c>
      <c r="D26" s="41">
        <v>33</v>
      </c>
      <c r="E26" s="41">
        <v>20</v>
      </c>
      <c r="G26" s="41">
        <v>0.128</v>
      </c>
      <c r="H26" s="42">
        <f>D26/C26/G26</f>
        <v>0.46452702702702703</v>
      </c>
      <c r="I26" s="42">
        <f>E26/D26</f>
        <v>0.6060606060606061</v>
      </c>
    </row>
    <row r="27" ht="12.75">
      <c r="I27" s="42">
        <f>SQRT(1/E26)*I26</f>
        <v>0.13551927136362363</v>
      </c>
    </row>
    <row r="28" spans="1:9" ht="12.75">
      <c r="A28" s="41" t="s">
        <v>61</v>
      </c>
      <c r="B28" s="43" t="s">
        <v>38</v>
      </c>
      <c r="C28" s="41">
        <v>36557</v>
      </c>
      <c r="D28" s="41">
        <v>3136</v>
      </c>
      <c r="E28" s="41">
        <v>2697</v>
      </c>
      <c r="G28" s="41">
        <v>0.127</v>
      </c>
      <c r="H28" s="42">
        <f>D28/C28/G28</f>
        <v>0.6754633417902666</v>
      </c>
      <c r="I28" s="42">
        <f>E28/D28</f>
        <v>0.8600127551020408</v>
      </c>
    </row>
    <row r="29" spans="2:9" ht="12.75">
      <c r="B29" s="43"/>
      <c r="I29" s="42">
        <f>SQRT(1/E28)*I28</f>
        <v>0.01656015583239641</v>
      </c>
    </row>
    <row r="30" spans="2:9" ht="12.75">
      <c r="B30" s="43" t="s">
        <v>39</v>
      </c>
      <c r="C30" s="41">
        <v>59235</v>
      </c>
      <c r="D30" s="41">
        <v>4927</v>
      </c>
      <c r="E30" s="41">
        <v>4248</v>
      </c>
      <c r="G30" s="41">
        <v>0.127</v>
      </c>
      <c r="H30" s="42">
        <f>D30/C30/G30</f>
        <v>0.6549383909943646</v>
      </c>
      <c r="I30" s="42">
        <f>E30/D30</f>
        <v>0.8621879439821393</v>
      </c>
    </row>
    <row r="31" spans="2:9" ht="12.75">
      <c r="B31" s="43"/>
      <c r="I31" s="42">
        <f>SQRT(1/E30)*I30</f>
        <v>0.013228472284798315</v>
      </c>
    </row>
    <row r="32" spans="2:9" ht="12.75">
      <c r="B32" s="43" t="s">
        <v>40</v>
      </c>
      <c r="C32" s="41">
        <v>25303</v>
      </c>
      <c r="D32" s="41">
        <v>1974</v>
      </c>
      <c r="E32" s="41">
        <v>1717</v>
      </c>
      <c r="G32" s="41">
        <v>0.127</v>
      </c>
      <c r="H32" s="42">
        <f>D32/C32/G32</f>
        <v>0.6142871235274147</v>
      </c>
      <c r="I32" s="42">
        <f>E32/D32</f>
        <v>0.869807497467072</v>
      </c>
    </row>
    <row r="33" spans="2:9" ht="12.75">
      <c r="B33" s="43"/>
      <c r="I33" s="42">
        <f>SQRT(1/E32)*I32</f>
        <v>0.020991235415502192</v>
      </c>
    </row>
    <row r="34" spans="2:9" ht="12.75">
      <c r="B34" s="43" t="s">
        <v>41</v>
      </c>
      <c r="C34" s="41">
        <v>4622</v>
      </c>
      <c r="D34" s="41">
        <v>407</v>
      </c>
      <c r="E34" s="41">
        <v>343</v>
      </c>
      <c r="G34" s="41">
        <v>0.127</v>
      </c>
      <c r="H34" s="42">
        <f>D34/C34/G34</f>
        <v>0.693363134887239</v>
      </c>
      <c r="I34" s="42">
        <f>E34/D34</f>
        <v>0.8427518427518428</v>
      </c>
    </row>
    <row r="35" spans="2:9" ht="12.75">
      <c r="B35" s="43"/>
      <c r="H35" s="42"/>
      <c r="I35" s="42">
        <f>SQRT(1/E34)*I34</f>
        <v>0.0455043223033222</v>
      </c>
    </row>
    <row r="36" spans="2:9" ht="12.75">
      <c r="B36" s="43" t="s">
        <v>42</v>
      </c>
      <c r="C36" s="41">
        <v>569</v>
      </c>
      <c r="D36" s="41">
        <v>45</v>
      </c>
      <c r="E36" s="41">
        <v>35</v>
      </c>
      <c r="G36" s="41">
        <v>0.127</v>
      </c>
      <c r="H36" s="42">
        <f>D36/C36/G36</f>
        <v>0.6227253227792923</v>
      </c>
      <c r="I36" s="42">
        <f>E36/D36</f>
        <v>0.7777777777777778</v>
      </c>
    </row>
    <row r="37" spans="2:9" ht="12.75">
      <c r="B37" s="43"/>
      <c r="H37" s="42"/>
      <c r="I37" s="42">
        <f>SQRT(1/E36)*I36</f>
        <v>0.1314684396244359</v>
      </c>
    </row>
    <row r="38" spans="1:9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</row>
    <row r="41" spans="1:9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1" customWidth="1"/>
  </cols>
  <sheetData>
    <row r="1" spans="1:12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</row>
    <row r="2" spans="1:13" ht="12.75">
      <c r="A2" s="41">
        <v>-2.2</v>
      </c>
      <c r="B2" s="41">
        <v>-1.2</v>
      </c>
      <c r="C2" s="41">
        <v>111841</v>
      </c>
      <c r="D2" s="41">
        <v>6951</v>
      </c>
      <c r="E2" s="41">
        <v>5654</v>
      </c>
      <c r="F2" s="41">
        <v>3489</v>
      </c>
      <c r="G2" s="41">
        <v>0.128</v>
      </c>
      <c r="H2" s="42">
        <f>D2/C2/G2</f>
        <v>0.48555259251973787</v>
      </c>
      <c r="I2" s="42">
        <f>E2/D2</f>
        <v>0.8134081427132787</v>
      </c>
      <c r="J2" s="42">
        <f>F2/D2</f>
        <v>0.5019421665947346</v>
      </c>
      <c r="K2" s="42">
        <f>(I2*$L$2+J2*$L$3)/($L$2+$L$3)</f>
        <v>0.6793078824498764</v>
      </c>
      <c r="L2" s="41">
        <v>1.566</v>
      </c>
      <c r="M2" s="41" t="s">
        <v>51</v>
      </c>
    </row>
    <row r="3" spans="8:13" ht="12.75">
      <c r="H3" s="42"/>
      <c r="I3" s="42">
        <f>SQRT(1/E2)*I2</f>
        <v>0.01081759240230612</v>
      </c>
      <c r="J3" s="42">
        <f>SQRT(1/F2)*J2</f>
        <v>0.00849773524708523</v>
      </c>
      <c r="K3" s="42">
        <f>($L$2*I3+$L$3*J3)/($L$2+$L$3)</f>
        <v>0.009818788448931016</v>
      </c>
      <c r="L3" s="41">
        <v>1.184</v>
      </c>
      <c r="M3" s="41" t="s">
        <v>52</v>
      </c>
    </row>
    <row r="4" spans="1:11" ht="12.75">
      <c r="A4" s="41">
        <v>-2.2</v>
      </c>
      <c r="B4" s="41">
        <v>-1.7</v>
      </c>
      <c r="C4" s="41">
        <v>49193</v>
      </c>
      <c r="D4" s="41">
        <v>3274</v>
      </c>
      <c r="E4" s="41">
        <v>2688</v>
      </c>
      <c r="F4" s="41">
        <v>1667</v>
      </c>
      <c r="G4" s="41">
        <f>G2</f>
        <v>0.128</v>
      </c>
      <c r="H4" s="42">
        <f>D4/C4/G4</f>
        <v>0.5199545667066452</v>
      </c>
      <c r="I4" s="42">
        <f>E4/D4</f>
        <v>0.8210140500916311</v>
      </c>
      <c r="J4" s="42">
        <f>F4/D4</f>
        <v>0.5091631032376298</v>
      </c>
      <c r="K4" s="42">
        <f>(I4*$L$2+J4*$L$3)/($L$2+$L$3)</f>
        <v>0.6867480424279447</v>
      </c>
    </row>
    <row r="5" spans="8:11" ht="12.75">
      <c r="H5" s="42"/>
      <c r="I5" s="42">
        <f>SQRT(1/E4)*I4</f>
        <v>0.015835652286885427</v>
      </c>
      <c r="J5" s="42">
        <f>SQRT(1/F4)*J4</f>
        <v>0.012470650985090776</v>
      </c>
      <c r="K5" s="42">
        <f>($L$2*I5+$L$3*J5)/($L$2+$L$3)</f>
        <v>0.014386866271858203</v>
      </c>
    </row>
    <row r="6" spans="1:11" ht="12.75">
      <c r="A6" s="41">
        <v>-1.7</v>
      </c>
      <c r="B6" s="41">
        <v>-1.2</v>
      </c>
      <c r="C6" s="41">
        <v>62648</v>
      </c>
      <c r="D6" s="41">
        <v>3677</v>
      </c>
      <c r="E6" s="41">
        <v>2966</v>
      </c>
      <c r="F6" s="41">
        <v>1822</v>
      </c>
      <c r="G6" s="41">
        <f>G2</f>
        <v>0.128</v>
      </c>
      <c r="H6" s="42">
        <f>D6/C6/G6</f>
        <v>0.4585391792235985</v>
      </c>
      <c r="I6" s="42">
        <f>E6/D6</f>
        <v>0.8066358444384009</v>
      </c>
      <c r="J6" s="42">
        <f>F6/D6</f>
        <v>0.49551264617895024</v>
      </c>
      <c r="K6" s="42">
        <f>(I6*$L$2+J6*$L$3)/($L$2+$L$3)</f>
        <v>0.6726831656241501</v>
      </c>
    </row>
    <row r="7" spans="8:11" ht="12.75">
      <c r="H7" s="42"/>
      <c r="I7" s="42">
        <f>SQRT(1/E6)*I6</f>
        <v>0.014811257877824424</v>
      </c>
      <c r="J7" s="42">
        <f>SQRT(1/F6)*J6</f>
        <v>0.011608618966773482</v>
      </c>
      <c r="K7" s="42">
        <f>($L$2*I7+$L$3*J7)/($L$2+$L$3)</f>
        <v>0.013432376252121037</v>
      </c>
    </row>
    <row r="8" spans="1:13" ht="12.75">
      <c r="A8" s="41">
        <v>1.2</v>
      </c>
      <c r="B8" s="41">
        <v>2.4</v>
      </c>
      <c r="C8" s="41">
        <v>126387</v>
      </c>
      <c r="D8" s="41">
        <v>10779</v>
      </c>
      <c r="E8" s="41">
        <v>9262</v>
      </c>
      <c r="F8" s="41">
        <v>6781</v>
      </c>
      <c r="G8" s="41">
        <v>0.127</v>
      </c>
      <c r="H8" s="42">
        <f>D8/C8/G8</f>
        <v>0.6715407102631717</v>
      </c>
      <c r="I8" s="42">
        <f>E8/D8</f>
        <v>0.8592633825030151</v>
      </c>
      <c r="J8" s="42">
        <f>F8/D8</f>
        <v>0.6290936079413675</v>
      </c>
      <c r="K8" s="42">
        <f>(I8*$L$8+J8*$L$9)/($L$8+$L$9)</f>
        <v>0.7497493935648292</v>
      </c>
      <c r="L8" s="41">
        <v>1.711</v>
      </c>
      <c r="M8" s="41" t="s">
        <v>51</v>
      </c>
    </row>
    <row r="9" spans="8:13" ht="12.75">
      <c r="H9" s="42"/>
      <c r="I9" s="42">
        <f>SQRT(1/E8)*I8</f>
        <v>0.00892840570719704</v>
      </c>
      <c r="J9" s="42">
        <f>SQRT(1/F8)*J8</f>
        <v>0.007639560952236823</v>
      </c>
      <c r="K9" s="42">
        <f>($L$2*I9+$L$3*J9)/($L$2+$L$3)</f>
        <v>0.00837349945633417</v>
      </c>
      <c r="L9" s="41">
        <v>1.553</v>
      </c>
      <c r="M9" s="41" t="s">
        <v>52</v>
      </c>
    </row>
    <row r="10" spans="1:11" ht="12.75">
      <c r="A10" s="41">
        <v>1.2</v>
      </c>
      <c r="B10" s="41">
        <v>1.8</v>
      </c>
      <c r="C10" s="41">
        <v>73890</v>
      </c>
      <c r="D10" s="41">
        <v>6082</v>
      </c>
      <c r="E10" s="41">
        <v>5234</v>
      </c>
      <c r="F10" s="41">
        <v>3753</v>
      </c>
      <c r="G10" s="41">
        <f>G8</f>
        <v>0.127</v>
      </c>
      <c r="H10" s="42">
        <f>D10/C10/G10</f>
        <v>0.6481223951756334</v>
      </c>
      <c r="I10" s="42">
        <f>E10/D10</f>
        <v>0.8605721802038803</v>
      </c>
      <c r="J10" s="42">
        <f>F10/D10</f>
        <v>0.6170667543571193</v>
      </c>
      <c r="K10" s="42">
        <f>(I10*$L$8+J10*$L$9)/($L$8+$L$9)</f>
        <v>0.7447131341438251</v>
      </c>
    </row>
    <row r="11" spans="8:11" ht="12.75">
      <c r="H11" s="42"/>
      <c r="I11" s="42">
        <f>SQRT(1/E10)*I10</f>
        <v>0.011895164253657298</v>
      </c>
      <c r="J11" s="42">
        <f>SQRT(1/F10)*J10</f>
        <v>0.010072629656360804</v>
      </c>
      <c r="K11" s="42">
        <f>($L$2*I11+$L$3*J11)/($L$2+$L$3)</f>
        <v>0.011110480267039462</v>
      </c>
    </row>
    <row r="12" spans="1:11" ht="12.75">
      <c r="A12" s="41">
        <v>1.8</v>
      </c>
      <c r="B12" s="41">
        <v>2.4</v>
      </c>
      <c r="C12" s="41">
        <v>52497</v>
      </c>
      <c r="D12" s="41">
        <v>4697</v>
      </c>
      <c r="E12" s="41">
        <v>4028</v>
      </c>
      <c r="F12" s="41">
        <v>3028</v>
      </c>
      <c r="G12" s="41">
        <f>G8</f>
        <v>0.127</v>
      </c>
      <c r="H12" s="42">
        <f>D12/C12/G12</f>
        <v>0.7045021995257622</v>
      </c>
      <c r="I12" s="42">
        <f>E12/D12</f>
        <v>0.8575686608473494</v>
      </c>
      <c r="J12" s="42">
        <f>F12/D12</f>
        <v>0.6446668086012348</v>
      </c>
      <c r="K12" s="42">
        <f>(I12*$L$8+J12*$L$9)/($L$8+$L$9)</f>
        <v>0.7562706900942195</v>
      </c>
    </row>
    <row r="13" spans="8:11" ht="12.75">
      <c r="H13" s="42"/>
      <c r="I13" s="42">
        <f>SQRT(1/E12)*I12</f>
        <v>0.01351214107100058</v>
      </c>
      <c r="J13" s="42">
        <f>SQRT(1/F12)*J12</f>
        <v>0.011715406848795063</v>
      </c>
      <c r="K13" s="42">
        <f>($L$2*I13+$L$3*J13)/($L$2+$L$3)</f>
        <v>0.012738565318603732</v>
      </c>
    </row>
    <row r="14" spans="1:11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</row>
    <row r="15" ht="12.75">
      <c r="J15" s="42"/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1" ht="12.75">
      <c r="A19" s="41" t="s">
        <v>60</v>
      </c>
      <c r="B19" s="43" t="s">
        <v>38</v>
      </c>
      <c r="C19" s="41">
        <v>32310</v>
      </c>
      <c r="D19" s="41">
        <v>2130</v>
      </c>
      <c r="E19" s="41">
        <v>1718</v>
      </c>
      <c r="F19" s="41">
        <v>1169</v>
      </c>
      <c r="G19" s="41">
        <v>0.128</v>
      </c>
      <c r="H19" s="42">
        <f>D19/C19/G19</f>
        <v>0.5150301764159703</v>
      </c>
      <c r="I19" s="42">
        <f>E19/D19</f>
        <v>0.8065727699530516</v>
      </c>
      <c r="J19" s="42">
        <f>F19/D19</f>
        <v>0.5488262910798122</v>
      </c>
      <c r="K19" s="42">
        <f>(I19*$L$2+J19*$L$3)/($L$2+$L$3)</f>
        <v>0.6956011950490825</v>
      </c>
    </row>
    <row r="20" spans="2:11" ht="12.75">
      <c r="B20" s="43"/>
      <c r="I20" s="42">
        <f>SQRT(1/E19)*I19</f>
        <v>0.01945951340475371</v>
      </c>
      <c r="J20" s="42">
        <f>SQRT(1/F19+1/C19)*J19</f>
        <v>0.016339750162707268</v>
      </c>
      <c r="K20" s="42">
        <f>($L$2*I20+$L$3*J20)/($L$2+$L$3)</f>
        <v>0.018116313521632624</v>
      </c>
    </row>
    <row r="21" spans="2:11" ht="12.75">
      <c r="B21" s="43" t="s">
        <v>39</v>
      </c>
      <c r="C21" s="41">
        <v>52146</v>
      </c>
      <c r="D21" s="41">
        <v>3252</v>
      </c>
      <c r="E21" s="41">
        <v>2639</v>
      </c>
      <c r="F21" s="41">
        <v>1788</v>
      </c>
      <c r="G21" s="41">
        <v>0.128</v>
      </c>
      <c r="H21" s="42">
        <f>D21/C21/G21</f>
        <v>0.4872137843746404</v>
      </c>
      <c r="I21" s="42">
        <f>E21/D21</f>
        <v>0.8115006150061501</v>
      </c>
      <c r="J21" s="42">
        <f>F21/D21</f>
        <v>0.5498154981549815</v>
      </c>
      <c r="K21" s="42">
        <f>(I21*$L$2+J21*$L$3)/($L$2+$L$3)</f>
        <v>0.6988332774236834</v>
      </c>
    </row>
    <row r="22" spans="2:11" ht="12.75">
      <c r="B22" s="43"/>
      <c r="I22" s="42">
        <f>SQRT(1/E21)*I21</f>
        <v>0.01579680140103484</v>
      </c>
      <c r="J22" s="42">
        <f>SQRT(1/F21+1/C21)*J21</f>
        <v>0.013223731895776787</v>
      </c>
      <c r="K22" s="42">
        <f>($L$2*I22+$L$3*J22)/($L$2+$L$3)</f>
        <v>0.014688978021316463</v>
      </c>
    </row>
    <row r="23" spans="2:11" ht="12.75">
      <c r="B23" s="43" t="s">
        <v>40</v>
      </c>
      <c r="C23" s="41">
        <v>22370</v>
      </c>
      <c r="D23" s="41">
        <v>1231</v>
      </c>
      <c r="E23" s="41">
        <v>1009</v>
      </c>
      <c r="F23" s="41">
        <v>692</v>
      </c>
      <c r="G23" s="41">
        <v>0.128</v>
      </c>
      <c r="H23" s="42">
        <f>D23/C23/G23</f>
        <v>0.42991450603486814</v>
      </c>
      <c r="I23" s="42">
        <f>E23/D23</f>
        <v>0.8196588139723802</v>
      </c>
      <c r="J23" s="42">
        <f>F23/D23</f>
        <v>0.5621445978878961</v>
      </c>
      <c r="K23" s="42">
        <f>(I23*$L$2+J23*$L$3)/($L$2+$L$3)</f>
        <v>0.7087872387563695</v>
      </c>
    </row>
    <row r="24" spans="2:11" ht="12.75">
      <c r="B24" s="43"/>
      <c r="I24" s="42">
        <f>SQRT(1/E23)*I23</f>
        <v>0.025804029527650027</v>
      </c>
      <c r="J24" s="42">
        <f>SQRT(1/F23+1/C23)*J23</f>
        <v>0.021697539424256593</v>
      </c>
      <c r="K24" s="42">
        <f>($L$2*I24+$L$3*J24)/($L$2+$L$3)</f>
        <v>0.024035998879498092</v>
      </c>
    </row>
    <row r="25" spans="2:11" ht="12.75">
      <c r="B25" s="43" t="s">
        <v>41</v>
      </c>
      <c r="C25" s="41">
        <v>4347</v>
      </c>
      <c r="D25" s="41">
        <v>281</v>
      </c>
      <c r="E25" s="41">
        <v>241</v>
      </c>
      <c r="F25" s="41">
        <v>171</v>
      </c>
      <c r="G25" s="41">
        <v>0.128</v>
      </c>
      <c r="H25" s="42">
        <f>D25/C25/G25</f>
        <v>0.5050178283873936</v>
      </c>
      <c r="I25" s="42">
        <f>E25/D25</f>
        <v>0.8576512455516014</v>
      </c>
      <c r="J25" s="42">
        <f>F25/D25</f>
        <v>0.608540925266904</v>
      </c>
      <c r="K25" s="42">
        <f>(I25*$L$2+J25*$L$3)/($L$2+$L$3)</f>
        <v>0.7503979294726626</v>
      </c>
    </row>
    <row r="26" spans="9:11" ht="12.75">
      <c r="I26" s="42">
        <f>SQRT(1/E25)*I25</f>
        <v>0.055246173296299016</v>
      </c>
      <c r="J26" s="42">
        <f>SQRT(1/F25+1/C25)*J25</f>
        <v>0.04744276897474963</v>
      </c>
      <c r="K26" s="42">
        <f>($L$2*I26+$L$3*J26)/($L$2+$L$3)</f>
        <v>0.05188645303567558</v>
      </c>
    </row>
    <row r="27" spans="2:11" ht="12.75">
      <c r="B27" s="43" t="s">
        <v>42</v>
      </c>
      <c r="C27" s="41">
        <v>555</v>
      </c>
      <c r="D27" s="41">
        <v>48</v>
      </c>
      <c r="E27" s="41">
        <v>41</v>
      </c>
      <c r="F27" s="41">
        <v>31</v>
      </c>
      <c r="G27" s="41">
        <v>0.128</v>
      </c>
      <c r="H27" s="42">
        <f>D27/C27/G27</f>
        <v>0.6756756756756757</v>
      </c>
      <c r="I27" s="42">
        <f>E27/D27</f>
        <v>0.8541666666666666</v>
      </c>
      <c r="J27" s="42">
        <f>F27/D27</f>
        <v>0.6458333333333334</v>
      </c>
      <c r="K27" s="42">
        <f>(I27*$L$2+J27*$L$3)/($L$2+$L$3)</f>
        <v>0.764469696969697</v>
      </c>
    </row>
    <row r="28" spans="9:11" ht="12.75">
      <c r="I28" s="42">
        <f>SQRT(1/E27)*I27</f>
        <v>0.13339842161318435</v>
      </c>
      <c r="J28" s="42">
        <f>SQRT(1/F27+1/C27)*J27</f>
        <v>0.11919057804161325</v>
      </c>
      <c r="K28" s="42">
        <f>($L$2*I28+$L$3*J28)/($L$2+$L$3)</f>
        <v>0.12728129914455155</v>
      </c>
    </row>
    <row r="29" spans="1:11" ht="12.75">
      <c r="A29" s="41" t="s">
        <v>61</v>
      </c>
      <c r="B29" s="43" t="s">
        <v>38</v>
      </c>
      <c r="C29" s="41">
        <v>36557</v>
      </c>
      <c r="D29" s="41">
        <v>3244</v>
      </c>
      <c r="E29" s="41">
        <v>2776</v>
      </c>
      <c r="F29" s="41">
        <v>2193</v>
      </c>
      <c r="G29" s="41">
        <v>0.127</v>
      </c>
      <c r="H29" s="42">
        <f>D29/C29/G29</f>
        <v>0.6987254721835537</v>
      </c>
      <c r="I29" s="42">
        <f>E29/D29</f>
        <v>0.8557336621454994</v>
      </c>
      <c r="J29" s="42">
        <f>F29/D29</f>
        <v>0.6760172626387176</v>
      </c>
      <c r="K29" s="42">
        <f>(I29*$L$8+J29*$L$9)/($L$8+$L$9)</f>
        <v>0.7702252159340923</v>
      </c>
    </row>
    <row r="30" spans="2:11" ht="12.75">
      <c r="B30" s="43"/>
      <c r="I30" s="42">
        <f>SQRT(1/E29)*I29</f>
        <v>0.0162416028018736</v>
      </c>
      <c r="J30" s="42">
        <f>SQRT(1/F29+1/C29)*J29</f>
        <v>0.014862403552726009</v>
      </c>
      <c r="K30" s="42">
        <f>($L$2*I30+$L$3*J30)/($L$2+$L$3)</f>
        <v>0.0156477948342406</v>
      </c>
    </row>
    <row r="31" spans="2:11" ht="12.75">
      <c r="B31" s="43" t="s">
        <v>39</v>
      </c>
      <c r="C31" s="41">
        <v>59235</v>
      </c>
      <c r="D31" s="41">
        <v>5073</v>
      </c>
      <c r="E31" s="41">
        <v>4364</v>
      </c>
      <c r="F31" s="41">
        <v>3432</v>
      </c>
      <c r="G31" s="41">
        <v>0.127</v>
      </c>
      <c r="H31" s="42">
        <f>D31/C31/G31</f>
        <v>0.6743459422598764</v>
      </c>
      <c r="I31" s="42">
        <f>E31/D31</f>
        <v>0.860240488862606</v>
      </c>
      <c r="J31" s="42">
        <f>F31/D31</f>
        <v>0.6765227675931401</v>
      </c>
      <c r="K31" s="42">
        <f>(I31*$L$8+J31*$L$9)/($L$8+$L$9)</f>
        <v>0.7728282274865396</v>
      </c>
    </row>
    <row r="32" spans="2:11" ht="12.75">
      <c r="B32" s="43"/>
      <c r="I32" s="42">
        <f>SQRT(1/E31)*I31</f>
        <v>0.013021994531767195</v>
      </c>
      <c r="J32" s="42">
        <f>SQRT(1/F31+1/C31)*J31</f>
        <v>0.01187788272992418</v>
      </c>
      <c r="K32" s="42">
        <f>($L$2*I32+$L$3*J32)/($L$2+$L$3)</f>
        <v>0.012529402395991873</v>
      </c>
    </row>
    <row r="33" spans="2:11" ht="12.75">
      <c r="B33" s="43" t="s">
        <v>40</v>
      </c>
      <c r="C33" s="41">
        <v>25303</v>
      </c>
      <c r="D33" s="41">
        <v>1984</v>
      </c>
      <c r="E33" s="41">
        <v>1726</v>
      </c>
      <c r="F33" s="41">
        <v>1369</v>
      </c>
      <c r="G33" s="41">
        <v>0.127</v>
      </c>
      <c r="H33" s="42">
        <f>D33/C33/G33</f>
        <v>0.6173990137175231</v>
      </c>
      <c r="I33" s="42">
        <f>E33/D33</f>
        <v>0.8699596774193549</v>
      </c>
      <c r="J33" s="42">
        <f>F33/D33</f>
        <v>0.6900201612903226</v>
      </c>
      <c r="K33" s="42">
        <f>(I33*$L$8+J33*$L$9)/($L$8+$L$9)</f>
        <v>0.7843450730846774</v>
      </c>
    </row>
    <row r="34" spans="2:11" ht="12.75">
      <c r="B34" s="43"/>
      <c r="I34" s="42">
        <f>SQRT(1/E33)*I33</f>
        <v>0.020940098868791317</v>
      </c>
      <c r="J34" s="42">
        <f>SQRT(1/F33+1/C33)*J33</f>
        <v>0.019147048604821918</v>
      </c>
      <c r="K34" s="42">
        <f>($L$2*I34+$L$3*J34)/($L$2+$L$3)</f>
        <v>0.020168109227867766</v>
      </c>
    </row>
    <row r="35" spans="2:11" ht="12.75">
      <c r="B35" s="43" t="s">
        <v>41</v>
      </c>
      <c r="C35" s="41">
        <v>4622</v>
      </c>
      <c r="D35" s="41">
        <v>417</v>
      </c>
      <c r="E35" s="41">
        <v>349</v>
      </c>
      <c r="F35" s="41">
        <v>291</v>
      </c>
      <c r="G35" s="41">
        <v>0.127</v>
      </c>
      <c r="H35" s="42">
        <f>D35/C35/G35</f>
        <v>0.7103990841473677</v>
      </c>
      <c r="I35" s="42">
        <f>E35/D35</f>
        <v>0.8369304556354916</v>
      </c>
      <c r="J35" s="42">
        <f>F35/D35</f>
        <v>0.697841726618705</v>
      </c>
      <c r="K35" s="42">
        <f>(I35*$L$8+J35*$L$9)/($L$8+$L$9)</f>
        <v>0.7707525156345512</v>
      </c>
    </row>
    <row r="36" spans="2:11" ht="12.75">
      <c r="B36" s="43"/>
      <c r="H36" s="42"/>
      <c r="I36" s="42">
        <f>SQRT(1/E35)*I35</f>
        <v>0.04479986017330792</v>
      </c>
      <c r="J36" s="42">
        <f>SQRT(1/F35+1/C35)*J35</f>
        <v>0.04217633625187072</v>
      </c>
      <c r="K36" s="42">
        <f>($L$2*I36+$L$3*J36)/($L$2+$L$3)</f>
        <v>0.04367031387404187</v>
      </c>
    </row>
    <row r="37" spans="2:11" ht="12.75">
      <c r="B37" s="43" t="s">
        <v>42</v>
      </c>
      <c r="C37" s="41">
        <v>569</v>
      </c>
      <c r="D37" s="41">
        <v>51</v>
      </c>
      <c r="E37" s="41">
        <v>39</v>
      </c>
      <c r="F37" s="41">
        <v>31</v>
      </c>
      <c r="G37" s="41">
        <v>0.127</v>
      </c>
      <c r="H37" s="42">
        <f>D37/C37/G37</f>
        <v>0.7057553658165313</v>
      </c>
      <c r="I37" s="42">
        <f>E37/D37</f>
        <v>0.7647058823529411</v>
      </c>
      <c r="J37" s="42">
        <f>F37/D37</f>
        <v>0.6078431372549019</v>
      </c>
      <c r="K37" s="42">
        <f>(I37*$L$8+J37*$L$9)/($L$8+$L$9)</f>
        <v>0.6900711264898115</v>
      </c>
    </row>
    <row r="38" spans="2:11" ht="12.75">
      <c r="B38" s="43"/>
      <c r="H38" s="42"/>
      <c r="I38" s="42">
        <f>SQRT(1/E37)*I37</f>
        <v>0.12245094114506662</v>
      </c>
      <c r="J38" s="42">
        <f>SQRT(1/F37+1/C37)*J37</f>
        <v>0.11210633707633313</v>
      </c>
      <c r="K38" s="42">
        <f>($L$2*I38+$L$3*J38)/($L$2+$L$3)</f>
        <v>0.11799711888420102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N59"/>
  <sheetViews>
    <sheetView workbookViewId="0" topLeftCell="A1">
      <selection activeCell="B5" sqref="B5"/>
    </sheetView>
  </sheetViews>
  <sheetFormatPr defaultColWidth="9.140625" defaultRowHeight="12.75"/>
  <cols>
    <col min="1" max="13" width="9.140625" style="41" customWidth="1"/>
    <col min="14" max="14" width="9.140625" style="93" customWidth="1"/>
    <col min="15" max="16384" width="9.140625" style="41" customWidth="1"/>
  </cols>
  <sheetData>
    <row r="1" spans="1:14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N1" s="201" t="s">
        <v>139</v>
      </c>
    </row>
    <row r="2" spans="1:14" ht="12.75">
      <c r="A2" s="41">
        <v>-2.2</v>
      </c>
      <c r="B2" s="41">
        <v>-1.2</v>
      </c>
      <c r="C2" s="41">
        <v>114876</v>
      </c>
      <c r="D2" s="41">
        <v>9966</v>
      </c>
      <c r="E2" s="41">
        <v>7208</v>
      </c>
      <c r="F2" s="41">
        <v>3817</v>
      </c>
      <c r="G2" s="41">
        <v>0.128</v>
      </c>
      <c r="H2" s="42">
        <f>D2/C2/G2</f>
        <v>0.6777688551133396</v>
      </c>
      <c r="I2" s="42">
        <f>E2/D2</f>
        <v>0.7232590808749749</v>
      </c>
      <c r="J2" s="42">
        <f>F2/D2</f>
        <v>0.3830022075055188</v>
      </c>
      <c r="K2" s="42">
        <f>(I2*$L$2+J2*$L$3)/($L$2+$L$3)</f>
        <v>0.5767630306679072</v>
      </c>
      <c r="L2" s="41">
        <v>1.566</v>
      </c>
      <c r="M2" s="41" t="s">
        <v>51</v>
      </c>
      <c r="N2" s="93">
        <f>H2*K2/(simDauDJ!$H2*simDauDJ!$K2)</f>
        <v>1.0015959001596009</v>
      </c>
    </row>
    <row r="3" spans="8:13" ht="12.75">
      <c r="H3" s="42"/>
      <c r="I3" s="42">
        <f>SQRT(1/E2)*I2</f>
        <v>0.008518958569853954</v>
      </c>
      <c r="J3" s="42">
        <f>SQRT(1/F2)*J2</f>
        <v>0.006199264937244026</v>
      </c>
      <c r="K3" s="42">
        <f>($L$2*I3+$L$3*J3)/($L$2+$L$3)</f>
        <v>0.007520225020395716</v>
      </c>
      <c r="L3" s="41">
        <v>1.184</v>
      </c>
      <c r="M3" s="41" t="s">
        <v>52</v>
      </c>
    </row>
    <row r="4" spans="1:14" ht="12.75">
      <c r="A4" s="41">
        <v>-2.2</v>
      </c>
      <c r="B4" s="41">
        <v>-1.7</v>
      </c>
      <c r="C4" s="41">
        <v>50423</v>
      </c>
      <c r="D4" s="41">
        <v>4551</v>
      </c>
      <c r="E4" s="41">
        <v>3347</v>
      </c>
      <c r="F4" s="41">
        <v>1819</v>
      </c>
      <c r="G4" s="41">
        <f>G2</f>
        <v>0.128</v>
      </c>
      <c r="H4" s="42">
        <f>D4/C4/G4</f>
        <v>0.7051283640402197</v>
      </c>
      <c r="I4" s="42">
        <f>E4/D4</f>
        <v>0.7354427598330038</v>
      </c>
      <c r="J4" s="42">
        <f>F4/D4</f>
        <v>0.3996923753021314</v>
      </c>
      <c r="K4" s="42">
        <f>(I4*$L$2+J4*$L$3)/($L$2+$L$3)</f>
        <v>0.5908869579113483</v>
      </c>
      <c r="N4" s="93">
        <f>H4*K4/(simDauDJ!$H4*simDauDJ!$K4)</f>
        <v>0.9951058808929412</v>
      </c>
    </row>
    <row r="5" spans="8:11" ht="12.75">
      <c r="H5" s="42"/>
      <c r="I5" s="42">
        <f>SQRT(1/E4)*I4</f>
        <v>0.012712208889580951</v>
      </c>
      <c r="J5" s="42">
        <f>SQRT(1/F4)*J4</f>
        <v>0.009371508728690891</v>
      </c>
      <c r="K5" s="42">
        <f>($L$2*I5+$L$3*J5)/($L$2+$L$3)</f>
        <v>0.011273885620310469</v>
      </c>
    </row>
    <row r="6" spans="1:14" ht="12.75">
      <c r="A6" s="41">
        <v>-1.7</v>
      </c>
      <c r="B6" s="41">
        <v>-1.2</v>
      </c>
      <c r="C6" s="41">
        <v>64453</v>
      </c>
      <c r="D6" s="41">
        <v>5415</v>
      </c>
      <c r="E6" s="41">
        <v>3861</v>
      </c>
      <c r="F6" s="41">
        <v>1998</v>
      </c>
      <c r="G6" s="41">
        <f>G2</f>
        <v>0.128</v>
      </c>
      <c r="H6" s="42">
        <f>D6/C6/G6</f>
        <v>0.6563649093137635</v>
      </c>
      <c r="I6" s="42">
        <f>E6/D6</f>
        <v>0.7130193905817175</v>
      </c>
      <c r="J6" s="42">
        <f>F6/D6</f>
        <v>0.36897506925207757</v>
      </c>
      <c r="K6" s="42">
        <f>(I6*$L$2+J6*$L$3)/($L$2+$L$3)</f>
        <v>0.5648926718710653</v>
      </c>
      <c r="N6" s="93">
        <f>H6*K6/(simDauDJ!$H6*simDauDJ!$K6)</f>
        <v>1.007597781943436</v>
      </c>
    </row>
    <row r="7" spans="8:11" ht="12.75">
      <c r="H7" s="42"/>
      <c r="I7" s="42">
        <f>SQRT(1/E6)*I6</f>
        <v>0.011474966857178937</v>
      </c>
      <c r="J7" s="42">
        <f>SQRT(1/F6)*J6</f>
        <v>0.008254661731718193</v>
      </c>
      <c r="K7" s="42">
        <f>($L$2*I7+$L$3*J7)/($L$2+$L$3)</f>
        <v>0.010088479123162382</v>
      </c>
    </row>
    <row r="8" spans="1:14" ht="12.75">
      <c r="A8" s="41">
        <v>1.2</v>
      </c>
      <c r="B8" s="41">
        <v>2.4</v>
      </c>
      <c r="C8" s="41">
        <v>86945</v>
      </c>
      <c r="D8" s="41">
        <v>8750</v>
      </c>
      <c r="E8" s="41">
        <v>6855</v>
      </c>
      <c r="F8" s="41">
        <v>4653</v>
      </c>
      <c r="G8" s="41">
        <v>0.127</v>
      </c>
      <c r="H8" s="42">
        <f>D8/C8/G8</f>
        <v>0.792427831333321</v>
      </c>
      <c r="I8" s="42">
        <f>E8/D8</f>
        <v>0.7834285714285715</v>
      </c>
      <c r="J8" s="42">
        <f>F8/D8</f>
        <v>0.5317714285714286</v>
      </c>
      <c r="K8" s="42">
        <f>(I8*$L$8+J8*$L$9)/($L$8+$L$9)</f>
        <v>0.6636909663865546</v>
      </c>
      <c r="L8" s="41">
        <v>1.711</v>
      </c>
      <c r="M8" s="41" t="s">
        <v>51</v>
      </c>
      <c r="N8" s="93">
        <f>H8*K8/(simDauDJ!$H8*simDauDJ!$K8)</f>
        <v>0.989161531764788</v>
      </c>
    </row>
    <row r="9" spans="8:13" ht="12.75">
      <c r="H9" s="42"/>
      <c r="I9" s="42">
        <f>SQRT(1/E8)*I8</f>
        <v>0.009462277414954132</v>
      </c>
      <c r="J9" s="42">
        <f>SQRT(1/F8)*J8</f>
        <v>0.007795760229189992</v>
      </c>
      <c r="K9" s="42">
        <f>($L$2*I9+$L$3*J9)/($L$2+$L$3)</f>
        <v>0.008744766015701498</v>
      </c>
      <c r="L9" s="41">
        <v>1.553</v>
      </c>
      <c r="M9" s="41" t="s">
        <v>52</v>
      </c>
    </row>
    <row r="10" spans="1:14" ht="12.75">
      <c r="A10" s="41">
        <v>1.2</v>
      </c>
      <c r="B10" s="41">
        <v>1.7</v>
      </c>
      <c r="C10" s="41">
        <v>46943</v>
      </c>
      <c r="D10" s="41">
        <v>4072</v>
      </c>
      <c r="E10" s="41">
        <v>3158</v>
      </c>
      <c r="F10" s="41">
        <v>1990</v>
      </c>
      <c r="G10" s="41">
        <f>G8</f>
        <v>0.127</v>
      </c>
      <c r="H10" s="42">
        <f>D10/C10/G10</f>
        <v>0.6830196648272213</v>
      </c>
      <c r="I10" s="42">
        <f>E10/D10</f>
        <v>0.7755402750491159</v>
      </c>
      <c r="J10" s="42">
        <f>F10/D10</f>
        <v>0.48870333988212183</v>
      </c>
      <c r="K10" s="42">
        <f>(I10*$L$8+J10*$L$9)/($L$8+$L$9)</f>
        <v>0.6390642455410455</v>
      </c>
      <c r="N10" s="93">
        <f>H10*K10/(simDauDJ!$H10*simDauDJ!$K10)</f>
        <v>0.9720768185700078</v>
      </c>
    </row>
    <row r="11" spans="8:11" ht="12.75">
      <c r="H11" s="42"/>
      <c r="I11" s="42">
        <f>SQRT(1/E10)*I10</f>
        <v>0.013800610332246678</v>
      </c>
      <c r="J11" s="42">
        <f>SQRT(1/F10)*J10</f>
        <v>0.010955161111589128</v>
      </c>
      <c r="K11" s="42">
        <f>($L$2*I11+$L$3*J11)/($L$2+$L$3)</f>
        <v>0.012575515104152663</v>
      </c>
    </row>
    <row r="12" spans="1:14" ht="12.75">
      <c r="A12" s="41">
        <v>1.7</v>
      </c>
      <c r="B12" s="41">
        <v>2.4</v>
      </c>
      <c r="C12" s="41">
        <v>40002</v>
      </c>
      <c r="D12" s="41">
        <v>4678</v>
      </c>
      <c r="E12" s="41">
        <v>3697</v>
      </c>
      <c r="F12" s="41">
        <v>2663</v>
      </c>
      <c r="G12" s="41">
        <f>G8</f>
        <v>0.127</v>
      </c>
      <c r="H12" s="42">
        <f>D12/C12/G12</f>
        <v>0.9208201007272471</v>
      </c>
      <c r="I12" s="42">
        <f>E12/D12</f>
        <v>0.7902949978623344</v>
      </c>
      <c r="J12" s="42">
        <f>F12/D12</f>
        <v>0.5692603676784951</v>
      </c>
      <c r="K12" s="42">
        <f>(I12*$L$8+J12*$L$9)/($L$8+$L$9)</f>
        <v>0.685127479273026</v>
      </c>
      <c r="N12" s="93">
        <f>H12*K12/(simDauDJ!$H12*simDauDJ!$K12)</f>
        <v>1.0286820957168414</v>
      </c>
    </row>
    <row r="13" spans="8:11" ht="12.75">
      <c r="H13" s="42"/>
      <c r="I13" s="42">
        <f>SQRT(1/E12)*I12</f>
        <v>0.012997640114202872</v>
      </c>
      <c r="J13" s="42">
        <f>SQRT(1/F12)*J12</f>
        <v>0.01103126622269403</v>
      </c>
      <c r="K13" s="42">
        <f>($L$2*I13+$L$3*J13)/($L$2+$L$3)</f>
        <v>0.012151026773276884</v>
      </c>
    </row>
    <row r="14" spans="1:11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</row>
    <row r="15" ht="12.75">
      <c r="J15" s="42"/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4" ht="12.75">
      <c r="A19" s="41" t="s">
        <v>60</v>
      </c>
      <c r="B19" s="43" t="s">
        <v>38</v>
      </c>
      <c r="C19" s="41">
        <v>33186</v>
      </c>
      <c r="D19" s="41">
        <v>3049</v>
      </c>
      <c r="E19" s="41">
        <v>2334</v>
      </c>
      <c r="F19" s="41">
        <v>1227</v>
      </c>
      <c r="G19" s="41">
        <v>0.128</v>
      </c>
      <c r="H19" s="42">
        <f>D19/C19/G19</f>
        <v>0.7177819713132043</v>
      </c>
      <c r="I19" s="42">
        <f>E19/D19</f>
        <v>0.7654968842243358</v>
      </c>
      <c r="J19" s="42">
        <f>F19/D19</f>
        <v>0.4024270252541817</v>
      </c>
      <c r="K19" s="42">
        <f>(I19*$L$2+J19*$L$3)/($L$2+$L$3)</f>
        <v>0.6091788067622768</v>
      </c>
      <c r="N19" s="93">
        <f>H19*K19/(simDauDJ!$H19*simDauDJ!$K19)</f>
        <v>0.9929906865374862</v>
      </c>
    </row>
    <row r="20" spans="2:11" ht="12.75">
      <c r="B20" s="43"/>
      <c r="I20" s="42">
        <f>SQRT(1/E19)*I19</f>
        <v>0.015845027653894603</v>
      </c>
      <c r="J20" s="42">
        <f>SQRT(1/F19+1/C19)*J19</f>
        <v>0.011698998083086201</v>
      </c>
      <c r="K20" s="42">
        <f>($L$2*I20+$L$3*J20)/($L$2+$L$3)</f>
        <v>0.014059973467772003</v>
      </c>
    </row>
    <row r="21" spans="2:14" ht="12.75">
      <c r="B21" s="43" t="s">
        <v>39</v>
      </c>
      <c r="C21" s="41">
        <v>53561</v>
      </c>
      <c r="D21" s="41">
        <v>4431</v>
      </c>
      <c r="E21" s="41">
        <v>3364</v>
      </c>
      <c r="F21" s="41">
        <v>1768</v>
      </c>
      <c r="G21" s="41">
        <v>0.128</v>
      </c>
      <c r="H21" s="42">
        <f>D21/C21/G21</f>
        <v>0.6463133156587816</v>
      </c>
      <c r="I21" s="42">
        <f>E21/D21</f>
        <v>0.7591965696231099</v>
      </c>
      <c r="J21" s="42">
        <f>F21/D21</f>
        <v>0.39900699616339425</v>
      </c>
      <c r="K21" s="42">
        <f>(I21*$L$2+J21*$L$3)/($L$2+$L$3)</f>
        <v>0.6041185859953632</v>
      </c>
      <c r="N21" s="93">
        <f>H21*K21/(simDauDJ!$H21*simDauDJ!$K21)</f>
        <v>1.0030646369385405</v>
      </c>
    </row>
    <row r="22" spans="2:11" ht="12.75">
      <c r="B22" s="43"/>
      <c r="I22" s="42">
        <f>SQRT(1/E21)*I21</f>
        <v>0.013089596027984653</v>
      </c>
      <c r="J22" s="42">
        <f>SQRT(1/F21+1/C21)*J21</f>
        <v>0.009644760604994406</v>
      </c>
      <c r="K22" s="42">
        <f>($L$2*I22+$L$3*J22)/($L$2+$L$3)</f>
        <v>0.011606437794959033</v>
      </c>
    </row>
    <row r="23" spans="2:14" ht="12.75">
      <c r="B23" s="43" t="s">
        <v>40</v>
      </c>
      <c r="C23" s="41">
        <v>22977</v>
      </c>
      <c r="D23" s="41">
        <v>1510</v>
      </c>
      <c r="E23" s="41">
        <v>1163</v>
      </c>
      <c r="F23" s="41">
        <v>624</v>
      </c>
      <c r="G23" s="41">
        <v>0.128</v>
      </c>
      <c r="H23" s="42">
        <f>D23/C23/G23</f>
        <v>0.5134210297253775</v>
      </c>
      <c r="I23" s="42">
        <f>E23/D23</f>
        <v>0.7701986754966887</v>
      </c>
      <c r="J23" s="42">
        <f>F23/D23</f>
        <v>0.41324503311258276</v>
      </c>
      <c r="K23" s="42">
        <f>(I23*$L$2+J23*$L$3)/($L$2+$L$3)</f>
        <v>0.6165139072847683</v>
      </c>
      <c r="N23" s="93">
        <f>H23*K23/(simDauDJ!$H23*simDauDJ!$K23)</f>
        <v>1.014178346739228</v>
      </c>
    </row>
    <row r="24" spans="2:11" ht="12.75">
      <c r="B24" s="43"/>
      <c r="I24" s="42">
        <f>SQRT(1/E23)*I23</f>
        <v>0.02258462636421183</v>
      </c>
      <c r="J24" s="42">
        <f>SQRT(1/F23+1/C23)*J23</f>
        <v>0.01676617086907899</v>
      </c>
      <c r="K24" s="42">
        <f>($L$2*I24+$L$3*J24)/($L$2+$L$3)</f>
        <v>0.020079516798307363</v>
      </c>
    </row>
    <row r="25" spans="2:14" ht="12.75">
      <c r="B25" s="43" t="s">
        <v>41</v>
      </c>
      <c r="C25" s="41">
        <v>4466</v>
      </c>
      <c r="D25" s="41">
        <v>360</v>
      </c>
      <c r="E25" s="41">
        <v>297</v>
      </c>
      <c r="F25" s="41">
        <v>167</v>
      </c>
      <c r="G25" s="41">
        <v>0.128</v>
      </c>
      <c r="H25" s="42">
        <f>D25/C25/G25</f>
        <v>0.6297581728616212</v>
      </c>
      <c r="I25" s="42">
        <f>E25/D25</f>
        <v>0.825</v>
      </c>
      <c r="J25" s="42">
        <f>F25/D25</f>
        <v>0.4638888888888889</v>
      </c>
      <c r="K25" s="42">
        <f>(I25*$L$2+J25*$L$3)/($L$2+$L$3)</f>
        <v>0.6695252525252525</v>
      </c>
      <c r="N25" s="93">
        <f>H25*K25/(simDauDJ!$H25*simDauDJ!$K25)</f>
        <v>1.0049132660345996</v>
      </c>
    </row>
    <row r="26" spans="9:11" ht="12.75">
      <c r="I26" s="42">
        <f>SQRT(1/E25)*I25</f>
        <v>0.0478713553878169</v>
      </c>
      <c r="J26" s="42">
        <f>SQRT(1/F25+1/C25)*J25</f>
        <v>0.036561796370838444</v>
      </c>
      <c r="K26" s="42">
        <f>($L$2*I26+$L$3*J26)/($L$2+$L$3)</f>
        <v>0.04300207616014327</v>
      </c>
    </row>
    <row r="27" spans="2:14" ht="12.75">
      <c r="B27" s="43" t="s">
        <v>42</v>
      </c>
      <c r="C27" s="41">
        <v>570</v>
      </c>
      <c r="D27" s="41">
        <v>53</v>
      </c>
      <c r="E27" s="41">
        <v>43</v>
      </c>
      <c r="F27" s="41">
        <v>25</v>
      </c>
      <c r="G27" s="41">
        <v>0.128</v>
      </c>
      <c r="H27" s="42">
        <f>D27/C27/G27</f>
        <v>0.7264254385964912</v>
      </c>
      <c r="I27" s="42">
        <f>E27/D27</f>
        <v>0.8113207547169812</v>
      </c>
      <c r="J27" s="42">
        <f>F27/D27</f>
        <v>0.4716981132075472</v>
      </c>
      <c r="K27" s="42">
        <f>(I27*$L$2+J27*$L$3)/($L$2+$L$3)</f>
        <v>0.6650977701543739</v>
      </c>
      <c r="N27" s="93">
        <f>H27*K27/(simDauDJ!$H27*simDauDJ!$K27)</f>
        <v>1.0021127956852252</v>
      </c>
    </row>
    <row r="28" spans="9:11" ht="12.75">
      <c r="I28" s="42">
        <f>SQRT(1/E27)*I27</f>
        <v>0.12372525517550945</v>
      </c>
      <c r="J28" s="42">
        <f>SQRT(1/F27+1/C27)*J27</f>
        <v>0.09638627348299196</v>
      </c>
      <c r="K28" s="42">
        <f>($L$2*I28+$L$3*J28)/($L$2+$L$3)</f>
        <v>0.11195458087589465</v>
      </c>
    </row>
    <row r="29" spans="1:14" ht="12.75">
      <c r="A29" s="41" t="s">
        <v>61</v>
      </c>
      <c r="B29" s="43" t="s">
        <v>38</v>
      </c>
      <c r="C29" s="41">
        <v>25123</v>
      </c>
      <c r="D29" s="41">
        <v>2646</v>
      </c>
      <c r="E29" s="41">
        <v>2209</v>
      </c>
      <c r="F29" s="41">
        <v>1464</v>
      </c>
      <c r="G29" s="41">
        <v>0.127</v>
      </c>
      <c r="H29" s="42">
        <f>D29/C29/G29</f>
        <v>0.829305643008054</v>
      </c>
      <c r="I29" s="42">
        <f>E29/D29</f>
        <v>0.8348450491307634</v>
      </c>
      <c r="J29" s="42">
        <f>F29/D29</f>
        <v>0.5532879818594104</v>
      </c>
      <c r="K29" s="42">
        <f>(I29*$L$8+J29*$L$9)/($L$8+$L$9)</f>
        <v>0.7008811626502452</v>
      </c>
      <c r="N29" s="93">
        <f>H29*K29/(simDauDJ!$H29*simDauDJ!$K29)</f>
        <v>0.9911819097661569</v>
      </c>
    </row>
    <row r="30" spans="2:11" ht="12.75">
      <c r="B30" s="43"/>
      <c r="I30" s="42">
        <f>SQRT(1/E29)*I29</f>
        <v>0.017762660619803475</v>
      </c>
      <c r="J30" s="42">
        <f>SQRT(1/F29+1/C29)*J29</f>
        <v>0.014875775554903652</v>
      </c>
      <c r="K30" s="42">
        <f>($L$2*I30+$L$3*J30)/($L$2+$L$3)</f>
        <v>0.016519725377315695</v>
      </c>
    </row>
    <row r="31" spans="2:14" ht="12.75">
      <c r="B31" s="43" t="s">
        <v>39</v>
      </c>
      <c r="C31" s="41">
        <v>40713</v>
      </c>
      <c r="D31" s="41">
        <v>3867</v>
      </c>
      <c r="E31" s="41">
        <v>3225</v>
      </c>
      <c r="F31" s="41">
        <v>2191</v>
      </c>
      <c r="G31" s="41">
        <v>0.127</v>
      </c>
      <c r="H31" s="42">
        <f>D31/C31/G31</f>
        <v>0.747889344868661</v>
      </c>
      <c r="I31" s="42">
        <f>E31/D31</f>
        <v>0.8339798293250582</v>
      </c>
      <c r="J31" s="42">
        <f>F31/D31</f>
        <v>0.5665890871476597</v>
      </c>
      <c r="K31" s="42">
        <f>(I31*$L$8+J31*$L$9)/($L$8+$L$9)</f>
        <v>0.7067562317143046</v>
      </c>
      <c r="N31" s="93">
        <f>H31*K31/(simDauDJ!$H31*simDauDJ!$K31)</f>
        <v>0.9876583571524844</v>
      </c>
    </row>
    <row r="32" spans="2:11" ht="12.75">
      <c r="B32" s="43"/>
      <c r="I32" s="42">
        <f>SQRT(1/E31)*I31</f>
        <v>0.014685565931730734</v>
      </c>
      <c r="J32" s="42">
        <f>SQRT(1/F31+1/C31)*J31</f>
        <v>0.01242594297085117</v>
      </c>
      <c r="K32" s="42">
        <f>($L$2*I32+$L$3*J32)/($L$2+$L$3)</f>
        <v>0.013712695536937497</v>
      </c>
    </row>
    <row r="33" spans="2:14" ht="12.75">
      <c r="B33" s="43" t="s">
        <v>40</v>
      </c>
      <c r="C33" s="41">
        <v>17437</v>
      </c>
      <c r="D33" s="41">
        <v>1350</v>
      </c>
      <c r="E33" s="41">
        <v>1148</v>
      </c>
      <c r="F33" s="41">
        <v>800</v>
      </c>
      <c r="G33" s="41">
        <v>0.127</v>
      </c>
      <c r="H33" s="42">
        <f>D33/C33/G33</f>
        <v>0.6096186993085118</v>
      </c>
      <c r="I33" s="42">
        <f>E33/D33</f>
        <v>0.8503703703703703</v>
      </c>
      <c r="J33" s="42">
        <f>F33/D33</f>
        <v>0.5925925925925926</v>
      </c>
      <c r="K33" s="42">
        <f>(I33*$L$8+J33*$L$9)/($L$8+$L$9)</f>
        <v>0.7277205882352941</v>
      </c>
      <c r="N33" s="93">
        <f>H33*K33/(simDauDJ!$H33*simDauDJ!$K33)</f>
        <v>0.988327208047863</v>
      </c>
    </row>
    <row r="34" spans="2:11" ht="12.75">
      <c r="B34" s="43"/>
      <c r="I34" s="42">
        <f>SQRT(1/E33)*I33</f>
        <v>0.025097887920144318</v>
      </c>
      <c r="J34" s="42">
        <f>SQRT(1/F33+1/C33)*J33</f>
        <v>0.021426539719015703</v>
      </c>
      <c r="K34" s="42">
        <f>($L$2*I34+$L$3*J34)/($L$2+$L$3)</f>
        <v>0.02351720564009476</v>
      </c>
    </row>
    <row r="35" spans="2:14" ht="12.75">
      <c r="B35" s="43" t="s">
        <v>41</v>
      </c>
      <c r="C35" s="41">
        <v>3200</v>
      </c>
      <c r="D35" s="41">
        <v>283</v>
      </c>
      <c r="E35" s="41">
        <v>236</v>
      </c>
      <c r="F35" s="41">
        <v>173</v>
      </c>
      <c r="G35" s="41">
        <v>0.127</v>
      </c>
      <c r="H35" s="42">
        <f>D35/C35/G35</f>
        <v>0.6963582677165354</v>
      </c>
      <c r="I35" s="42">
        <f>E35/D35</f>
        <v>0.833922261484099</v>
      </c>
      <c r="J35" s="42">
        <f>F35/D35</f>
        <v>0.6113074204946997</v>
      </c>
      <c r="K35" s="42">
        <f>(I35*$L$8+J35*$L$9)/($L$8+$L$9)</f>
        <v>0.7280028840157972</v>
      </c>
      <c r="N35" s="93">
        <f>H35*K35/(simDauDJ!$H35*simDauDJ!$K35)</f>
        <v>0.9979837065914966</v>
      </c>
    </row>
    <row r="36" spans="2:11" ht="12.75">
      <c r="B36" s="43"/>
      <c r="H36" s="42"/>
      <c r="I36" s="42">
        <f>SQRT(1/E35)*I35</f>
        <v>0.05428371553264034</v>
      </c>
      <c r="J36" s="42">
        <f>SQRT(1/F35+1/C35)*J35</f>
        <v>0.047716633687241425</v>
      </c>
      <c r="K36" s="42">
        <f>($L$2*I36+$L$3*J36)/($L$2+$L$3)</f>
        <v>0.05145628829447586</v>
      </c>
    </row>
    <row r="37" spans="2:14" ht="12.75">
      <c r="B37" s="43" t="s">
        <v>42</v>
      </c>
      <c r="C37" s="41">
        <v>400</v>
      </c>
      <c r="D37" s="41">
        <v>39</v>
      </c>
      <c r="E37" s="41">
        <v>31</v>
      </c>
      <c r="F37" s="41">
        <v>20</v>
      </c>
      <c r="G37" s="41">
        <v>0.127</v>
      </c>
      <c r="H37" s="42">
        <f>D37/C37/G37</f>
        <v>0.7677165354330708</v>
      </c>
      <c r="I37" s="42">
        <f>E37/D37</f>
        <v>0.7948717948717948</v>
      </c>
      <c r="J37" s="42">
        <f>F37/D37</f>
        <v>0.5128205128205128</v>
      </c>
      <c r="K37" s="42">
        <f>(I37*$L$8+J37*$L$9)/($L$8+$L$9)</f>
        <v>0.6606727626948214</v>
      </c>
      <c r="N37" s="93">
        <f>H37*K37/(simDauDJ!$H37*simDauDJ!$K37)</f>
        <v>0.9803467328241772</v>
      </c>
    </row>
    <row r="38" spans="2:11" ht="12.75">
      <c r="B38" s="43"/>
      <c r="H38" s="42"/>
      <c r="I38" s="42">
        <f>SQRT(1/E37)*I37</f>
        <v>0.1427631887905134</v>
      </c>
      <c r="J38" s="42">
        <f>SQRT(1/F37+1/C37)*J37</f>
        <v>0.11750194089630359</v>
      </c>
      <c r="K38" s="42">
        <f>($L$2*I38+$L$3*J38)/($L$2+$L$3)</f>
        <v>0.13188707333351543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0">
      <selection activeCell="B36" sqref="B36"/>
    </sheetView>
  </sheetViews>
  <sheetFormatPr defaultColWidth="9.140625" defaultRowHeight="12.75"/>
  <cols>
    <col min="1" max="1" width="16.00390625" style="41" customWidth="1"/>
    <col min="2" max="9" width="9.140625" style="41" customWidth="1"/>
    <col min="10" max="10" width="14.57421875" style="41" customWidth="1"/>
    <col min="11" max="16384" width="9.140625" style="41" customWidth="1"/>
  </cols>
  <sheetData>
    <row r="1" spans="1:11" ht="12.75">
      <c r="A1" s="84" t="s">
        <v>96</v>
      </c>
      <c r="B1" s="40" t="s">
        <v>97</v>
      </c>
      <c r="C1" s="40" t="s">
        <v>98</v>
      </c>
      <c r="D1" s="40" t="s">
        <v>99</v>
      </c>
      <c r="E1" s="40" t="s">
        <v>100</v>
      </c>
      <c r="F1" s="40" t="s">
        <v>101</v>
      </c>
      <c r="G1" s="40" t="s">
        <v>102</v>
      </c>
      <c r="H1" s="40" t="s">
        <v>103</v>
      </c>
      <c r="I1" s="40" t="s">
        <v>104</v>
      </c>
      <c r="J1" s="206" t="s">
        <v>262</v>
      </c>
      <c r="K1" s="40" t="s">
        <v>105</v>
      </c>
    </row>
    <row r="2" spans="1:11" ht="12.75">
      <c r="A2" s="84" t="s">
        <v>106</v>
      </c>
      <c r="B2" s="105">
        <v>0.06</v>
      </c>
      <c r="C2" s="105">
        <v>0.06</v>
      </c>
      <c r="D2" s="107">
        <v>0.06</v>
      </c>
      <c r="E2" s="107">
        <v>0.06</v>
      </c>
      <c r="F2" s="105">
        <v>0.03</v>
      </c>
      <c r="G2" s="105">
        <v>0.03</v>
      </c>
      <c r="H2" s="106">
        <f>F2/LN(2*197)</f>
        <v>0.00501978556067154</v>
      </c>
      <c r="I2" s="106">
        <f>G2/LN(2*197)</f>
        <v>0.00501978556067154</v>
      </c>
      <c r="J2" s="87">
        <v>0.01</v>
      </c>
      <c r="K2" s="41" t="s">
        <v>107</v>
      </c>
    </row>
    <row r="3" spans="1:11" ht="12.75">
      <c r="A3" s="84"/>
      <c r="B3" s="105">
        <v>-0.09</v>
      </c>
      <c r="C3" s="105">
        <v>-0.09</v>
      </c>
      <c r="D3" s="107">
        <v>-0.09</v>
      </c>
      <c r="E3" s="107">
        <v>-0.09</v>
      </c>
      <c r="F3" s="105">
        <v>-0.06</v>
      </c>
      <c r="G3" s="105">
        <v>-0.06</v>
      </c>
      <c r="H3" s="106">
        <f aca="true" t="shared" si="0" ref="H3:I21">F3/LN(2*197)</f>
        <v>-0.01003957112134308</v>
      </c>
      <c r="I3" s="106">
        <f t="shared" si="0"/>
        <v>-0.01003957112134308</v>
      </c>
      <c r="J3" s="88">
        <v>-0.015</v>
      </c>
      <c r="K3" s="41" t="s">
        <v>108</v>
      </c>
    </row>
    <row r="4" spans="1:10" ht="12.75">
      <c r="A4" s="84" t="s">
        <v>180</v>
      </c>
      <c r="B4" s="170">
        <v>0.04</v>
      </c>
      <c r="C4" s="170">
        <v>0.04</v>
      </c>
      <c r="D4" s="171">
        <v>0.04</v>
      </c>
      <c r="E4" s="171">
        <v>0.04</v>
      </c>
      <c r="F4" s="170">
        <v>0.02</v>
      </c>
      <c r="G4" s="170">
        <v>0.02</v>
      </c>
      <c r="H4" s="171">
        <f t="shared" si="0"/>
        <v>0.0033465237071143602</v>
      </c>
      <c r="I4" s="171">
        <f t="shared" si="0"/>
        <v>0.0033465237071143602</v>
      </c>
      <c r="J4" s="101" t="s">
        <v>185</v>
      </c>
    </row>
    <row r="5" spans="1:10" ht="12.75">
      <c r="A5" s="84"/>
      <c r="B5" s="170">
        <v>0.04</v>
      </c>
      <c r="C5" s="170">
        <v>0.04</v>
      </c>
      <c r="D5" s="171">
        <v>0.04</v>
      </c>
      <c r="E5" s="171">
        <v>0.04</v>
      </c>
      <c r="F5" s="170">
        <v>0.02</v>
      </c>
      <c r="G5" s="170">
        <v>0.02</v>
      </c>
      <c r="H5" s="171">
        <f t="shared" si="0"/>
        <v>0.0033465237071143602</v>
      </c>
      <c r="I5" s="171">
        <f t="shared" si="0"/>
        <v>0.0033465237071143602</v>
      </c>
      <c r="J5" s="41" t="s">
        <v>182</v>
      </c>
    </row>
    <row r="6" spans="1:10" ht="12.75">
      <c r="A6" s="84" t="s">
        <v>109</v>
      </c>
      <c r="B6" s="170">
        <v>0</v>
      </c>
      <c r="C6" s="170">
        <v>0.05</v>
      </c>
      <c r="D6" s="171">
        <v>0</v>
      </c>
      <c r="E6" s="171">
        <v>0.05</v>
      </c>
      <c r="F6" s="170">
        <v>0</v>
      </c>
      <c r="G6" s="170">
        <v>0.05</v>
      </c>
      <c r="H6" s="171">
        <f t="shared" si="0"/>
        <v>0</v>
      </c>
      <c r="I6" s="171">
        <f t="shared" si="0"/>
        <v>0.008366309267785902</v>
      </c>
      <c r="J6" s="41" t="s">
        <v>110</v>
      </c>
    </row>
    <row r="7" spans="1:9" ht="12.75">
      <c r="A7" s="84"/>
      <c r="B7" s="170">
        <v>0</v>
      </c>
      <c r="C7" s="170">
        <v>0.05</v>
      </c>
      <c r="D7" s="171">
        <v>0</v>
      </c>
      <c r="E7" s="171">
        <v>0.05</v>
      </c>
      <c r="F7" s="170">
        <v>0</v>
      </c>
      <c r="G7" s="170">
        <v>0.05</v>
      </c>
      <c r="H7" s="171">
        <f t="shared" si="0"/>
        <v>0</v>
      </c>
      <c r="I7" s="171">
        <f t="shared" si="0"/>
        <v>0.008366309267785902</v>
      </c>
    </row>
    <row r="8" spans="1:10" ht="12.75">
      <c r="A8" s="84" t="s">
        <v>111</v>
      </c>
      <c r="B8" s="170">
        <v>0</v>
      </c>
      <c r="C8" s="170">
        <v>0</v>
      </c>
      <c r="D8" s="171">
        <v>0</v>
      </c>
      <c r="E8" s="171">
        <v>0</v>
      </c>
      <c r="F8" s="170">
        <v>0</v>
      </c>
      <c r="G8" s="170">
        <v>0</v>
      </c>
      <c r="H8" s="171">
        <f t="shared" si="0"/>
        <v>0</v>
      </c>
      <c r="I8" s="171">
        <f t="shared" si="0"/>
        <v>0</v>
      </c>
      <c r="J8" s="41" t="s">
        <v>242</v>
      </c>
    </row>
    <row r="9" spans="1:10" ht="12.75">
      <c r="A9" s="84"/>
      <c r="B9" s="170">
        <v>0</v>
      </c>
      <c r="C9" s="170">
        <v>0</v>
      </c>
      <c r="D9" s="171">
        <v>0</v>
      </c>
      <c r="E9" s="171">
        <v>0</v>
      </c>
      <c r="F9" s="170">
        <v>0</v>
      </c>
      <c r="G9" s="170">
        <v>0</v>
      </c>
      <c r="H9" s="171">
        <f t="shared" si="0"/>
        <v>0</v>
      </c>
      <c r="I9" s="171">
        <f t="shared" si="0"/>
        <v>0</v>
      </c>
      <c r="J9" s="41" t="s">
        <v>243</v>
      </c>
    </row>
    <row r="10" spans="1:10" ht="12.75">
      <c r="A10" s="84" t="s">
        <v>112</v>
      </c>
      <c r="B10" s="105">
        <v>0</v>
      </c>
      <c r="C10" s="105">
        <v>0</v>
      </c>
      <c r="D10" s="106">
        <v>0</v>
      </c>
      <c r="E10" s="106">
        <v>0</v>
      </c>
      <c r="F10" s="105">
        <v>0.005</v>
      </c>
      <c r="G10" s="105">
        <v>0</v>
      </c>
      <c r="H10" s="106">
        <f t="shared" si="0"/>
        <v>0.0008366309267785901</v>
      </c>
      <c r="I10" s="106">
        <f t="shared" si="0"/>
        <v>0</v>
      </c>
      <c r="J10" s="41" t="s">
        <v>217</v>
      </c>
    </row>
    <row r="11" spans="1:9" ht="12.75">
      <c r="A11" s="84"/>
      <c r="B11" s="105">
        <v>0.005</v>
      </c>
      <c r="C11" s="105">
        <v>0.003</v>
      </c>
      <c r="D11" s="106">
        <v>0.016</v>
      </c>
      <c r="E11" s="106">
        <v>0.002</v>
      </c>
      <c r="F11" s="105">
        <v>0.016</v>
      </c>
      <c r="G11" s="105">
        <v>0.003</v>
      </c>
      <c r="H11" s="106">
        <f t="shared" si="0"/>
        <v>0.0026772189656914885</v>
      </c>
      <c r="I11" s="106">
        <f t="shared" si="0"/>
        <v>0.0005019785560671541</v>
      </c>
    </row>
    <row r="12" spans="1:11" ht="12.75">
      <c r="A12" s="84" t="s">
        <v>113</v>
      </c>
      <c r="B12" s="170">
        <v>0.01</v>
      </c>
      <c r="C12" s="170">
        <v>0.01</v>
      </c>
      <c r="D12" s="171">
        <v>0.062</v>
      </c>
      <c r="E12" s="171">
        <v>0.025</v>
      </c>
      <c r="F12" s="170">
        <f>SQRT(D12^2-B12^2)</f>
        <v>0.06118823416311342</v>
      </c>
      <c r="G12" s="170">
        <f>SQRT(E12^2-C12^2)</f>
        <v>0.022912878474779203</v>
      </c>
      <c r="H12" s="171">
        <f t="shared" si="0"/>
        <v>0.010238393811166193</v>
      </c>
      <c r="I12" s="171">
        <f t="shared" si="0"/>
        <v>0.0038339245507039467</v>
      </c>
      <c r="J12" s="41" t="s">
        <v>181</v>
      </c>
      <c r="K12" s="101" t="s">
        <v>302</v>
      </c>
    </row>
    <row r="13" spans="1:11" ht="12.75">
      <c r="A13" s="84"/>
      <c r="B13" s="170">
        <v>0.01</v>
      </c>
      <c r="C13" s="170">
        <v>0.01</v>
      </c>
      <c r="D13" s="171">
        <v>0.062</v>
      </c>
      <c r="E13" s="171">
        <v>0.025</v>
      </c>
      <c r="F13" s="170">
        <f>SQRT(D13^2-B13^2)</f>
        <v>0.06118823416311342</v>
      </c>
      <c r="G13" s="170">
        <f>SQRT(E13^2-C13^2)</f>
        <v>0.022912878474779203</v>
      </c>
      <c r="H13" s="171">
        <f t="shared" si="0"/>
        <v>0.010238393811166193</v>
      </c>
      <c r="I13" s="171">
        <f t="shared" si="0"/>
        <v>0.0038339245507039467</v>
      </c>
      <c r="J13" s="41" t="s">
        <v>182</v>
      </c>
      <c r="K13" s="101" t="s">
        <v>303</v>
      </c>
    </row>
    <row r="14" spans="1:10" ht="12.75">
      <c r="A14" s="84" t="s">
        <v>114</v>
      </c>
      <c r="B14" s="85">
        <v>0.05</v>
      </c>
      <c r="C14" s="85">
        <v>0.05</v>
      </c>
      <c r="D14" s="86">
        <v>0.05</v>
      </c>
      <c r="E14" s="86">
        <v>0.05</v>
      </c>
      <c r="F14" s="85">
        <v>0.05</v>
      </c>
      <c r="G14" s="85">
        <v>0.05</v>
      </c>
      <c r="H14" s="171">
        <f t="shared" si="0"/>
        <v>0.008366309267785902</v>
      </c>
      <c r="I14" s="171">
        <f t="shared" si="0"/>
        <v>0.008366309267785902</v>
      </c>
      <c r="J14" s="41" t="s">
        <v>115</v>
      </c>
    </row>
    <row r="15" spans="1:9" ht="12.75">
      <c r="A15" s="84"/>
      <c r="B15" s="85">
        <v>0.05</v>
      </c>
      <c r="C15" s="85">
        <v>0.05</v>
      </c>
      <c r="D15" s="86">
        <v>0.05</v>
      </c>
      <c r="E15" s="86">
        <v>0.05</v>
      </c>
      <c r="F15" s="85">
        <v>0.05</v>
      </c>
      <c r="G15" s="85">
        <v>0.05</v>
      </c>
      <c r="H15" s="171">
        <f t="shared" si="0"/>
        <v>0.008366309267785902</v>
      </c>
      <c r="I15" s="171">
        <f t="shared" si="0"/>
        <v>0.008366309267785902</v>
      </c>
    </row>
    <row r="16" spans="1:10" ht="12.75">
      <c r="A16" s="84" t="s">
        <v>116</v>
      </c>
      <c r="B16" s="170">
        <v>0.06</v>
      </c>
      <c r="C16" s="170">
        <v>0.06</v>
      </c>
      <c r="D16" s="171">
        <v>0.06</v>
      </c>
      <c r="E16" s="171">
        <v>0.06</v>
      </c>
      <c r="F16" s="170">
        <v>0</v>
      </c>
      <c r="G16" s="170">
        <v>0</v>
      </c>
      <c r="H16" s="171">
        <f t="shared" si="0"/>
        <v>0</v>
      </c>
      <c r="I16" s="171">
        <f t="shared" si="0"/>
        <v>0</v>
      </c>
      <c r="J16" s="41" t="s">
        <v>184</v>
      </c>
    </row>
    <row r="17" spans="1:9" ht="12.75">
      <c r="A17" s="84"/>
      <c r="B17" s="170">
        <v>0.06</v>
      </c>
      <c r="C17" s="170">
        <v>0.06</v>
      </c>
      <c r="D17" s="171">
        <v>0.06</v>
      </c>
      <c r="E17" s="171">
        <v>0.06</v>
      </c>
      <c r="F17" s="170">
        <v>0</v>
      </c>
      <c r="G17" s="170">
        <v>0</v>
      </c>
      <c r="H17" s="171">
        <f t="shared" si="0"/>
        <v>0</v>
      </c>
      <c r="I17" s="171">
        <f t="shared" si="0"/>
        <v>0</v>
      </c>
    </row>
    <row r="18" spans="1:10" ht="12.75">
      <c r="A18" s="84" t="s">
        <v>117</v>
      </c>
      <c r="B18" s="105">
        <v>0</v>
      </c>
      <c r="C18" s="105">
        <v>0</v>
      </c>
      <c r="D18" s="106">
        <v>0</v>
      </c>
      <c r="E18" s="106">
        <v>0</v>
      </c>
      <c r="F18" s="105">
        <v>0</v>
      </c>
      <c r="G18" s="105">
        <v>0</v>
      </c>
      <c r="H18" s="106">
        <f t="shared" si="0"/>
        <v>0</v>
      </c>
      <c r="I18" s="106">
        <f t="shared" si="0"/>
        <v>0</v>
      </c>
      <c r="J18" s="41" t="s">
        <v>183</v>
      </c>
    </row>
    <row r="19" spans="1:9" ht="12.75">
      <c r="A19" s="84"/>
      <c r="B19" s="105">
        <v>0</v>
      </c>
      <c r="C19" s="105">
        <v>0</v>
      </c>
      <c r="D19" s="106">
        <v>0</v>
      </c>
      <c r="E19" s="106">
        <v>0</v>
      </c>
      <c r="F19" s="105">
        <v>0</v>
      </c>
      <c r="G19" s="105">
        <v>0</v>
      </c>
      <c r="H19" s="106">
        <f t="shared" si="0"/>
        <v>0</v>
      </c>
      <c r="I19" s="106">
        <f t="shared" si="0"/>
        <v>0</v>
      </c>
    </row>
    <row r="20" spans="1:10" ht="12.75">
      <c r="A20" s="84" t="s">
        <v>118</v>
      </c>
      <c r="B20" s="105">
        <v>0.03</v>
      </c>
      <c r="C20" s="105">
        <v>0.03</v>
      </c>
      <c r="D20" s="107">
        <v>0.03</v>
      </c>
      <c r="E20" s="107">
        <v>0.03</v>
      </c>
      <c r="F20" s="105">
        <v>0.03</v>
      </c>
      <c r="G20" s="105">
        <v>0.03</v>
      </c>
      <c r="H20" s="106">
        <f t="shared" si="0"/>
        <v>0.00501978556067154</v>
      </c>
      <c r="I20" s="106">
        <f t="shared" si="0"/>
        <v>0.00501978556067154</v>
      </c>
      <c r="J20" s="41" t="s">
        <v>119</v>
      </c>
    </row>
    <row r="21" spans="1:9" ht="12.75">
      <c r="A21" s="84"/>
      <c r="B21" s="105">
        <v>0.03</v>
      </c>
      <c r="C21" s="105">
        <v>0.03</v>
      </c>
      <c r="D21" s="107">
        <v>0.03</v>
      </c>
      <c r="E21" s="107">
        <v>0.03</v>
      </c>
      <c r="F21" s="105">
        <v>0.03</v>
      </c>
      <c r="G21" s="105">
        <v>0.03</v>
      </c>
      <c r="H21" s="106">
        <f t="shared" si="0"/>
        <v>0.00501978556067154</v>
      </c>
      <c r="I21" s="106">
        <f t="shared" si="0"/>
        <v>0.00501978556067154</v>
      </c>
    </row>
    <row r="22" spans="1:7" ht="12.75">
      <c r="A22" s="84"/>
      <c r="B22" s="42"/>
      <c r="C22" s="42"/>
      <c r="D22" s="42"/>
      <c r="E22" s="42"/>
      <c r="F22" s="42"/>
      <c r="G22" s="42"/>
    </row>
    <row r="23" spans="1:12" ht="12.75">
      <c r="A23" s="89" t="s">
        <v>120</v>
      </c>
      <c r="B23" s="90">
        <f aca="true" t="shared" si="1" ref="B23:G24">SQRT(B8*B8+B10*B10+B12*B12+B16*B16)</f>
        <v>0.0608276253029822</v>
      </c>
      <c r="C23" s="90">
        <f t="shared" si="1"/>
        <v>0.0608276253029822</v>
      </c>
      <c r="D23" s="90">
        <f t="shared" si="1"/>
        <v>0.08627861844049196</v>
      </c>
      <c r="E23" s="90">
        <f t="shared" si="1"/>
        <v>0.065</v>
      </c>
      <c r="F23" s="90">
        <f t="shared" si="1"/>
        <v>0.061392181912683315</v>
      </c>
      <c r="G23" s="90">
        <f t="shared" si="1"/>
        <v>0.022912878474779203</v>
      </c>
      <c r="H23" s="90">
        <f>SQRT(H8*H8+H10*H10+H12*H12)</f>
        <v>0.010272519610113606</v>
      </c>
      <c r="I23" s="90">
        <f>SQRT(I8*I8+I10*I10+I12*I12)</f>
        <v>0.0038339245507039467</v>
      </c>
      <c r="J23" s="91" t="s">
        <v>121</v>
      </c>
      <c r="K23" s="91"/>
      <c r="L23" s="91"/>
    </row>
    <row r="24" spans="1:12" ht="12.75">
      <c r="A24" s="89"/>
      <c r="B24" s="90">
        <f t="shared" si="1"/>
        <v>0.06103277807866851</v>
      </c>
      <c r="C24" s="90">
        <f t="shared" si="1"/>
        <v>0.06090155991434045</v>
      </c>
      <c r="D24" s="90">
        <f t="shared" si="1"/>
        <v>0.08774964387392122</v>
      </c>
      <c r="E24" s="90">
        <f t="shared" si="1"/>
        <v>0.06503076195155644</v>
      </c>
      <c r="F24" s="90">
        <f t="shared" si="1"/>
        <v>0.06324555320336758</v>
      </c>
      <c r="G24" s="90">
        <f t="shared" si="1"/>
        <v>0.02310844001658269</v>
      </c>
      <c r="H24" s="90">
        <f>SQRT(H9*H9+H11*H11+H13*H13)</f>
        <v>0.01058263715823161</v>
      </c>
      <c r="I24" s="90">
        <f>SQRT(I9*I9+I11*I11+I13*I13)</f>
        <v>0.0038666471174962067</v>
      </c>
      <c r="J24" s="91"/>
      <c r="K24" s="91"/>
      <c r="L24" s="91"/>
    </row>
    <row r="25" spans="1:12" ht="12.75">
      <c r="A25" s="89" t="s">
        <v>122</v>
      </c>
      <c r="B25" s="90">
        <f aca="true" t="shared" si="2" ref="B25:G26">SQRT(B2*B2+B4*B4+B6*B6+B8*B8+B10*B10+B12*B12+B14*B14+B16*B16+B20*B20)</f>
        <v>0.11090536506409417</v>
      </c>
      <c r="C25" s="90">
        <f t="shared" si="2"/>
        <v>0.1216552506059644</v>
      </c>
      <c r="D25" s="90">
        <f t="shared" si="2"/>
        <v>0.12666491226855212</v>
      </c>
      <c r="E25" s="90">
        <f t="shared" si="2"/>
        <v>0.12379418403139947</v>
      </c>
      <c r="F25" s="90">
        <f t="shared" si="2"/>
        <v>0.09202716990106781</v>
      </c>
      <c r="G25" s="90">
        <f t="shared" si="2"/>
        <v>0.08789197915623473</v>
      </c>
      <c r="H25" s="90">
        <f>SQRT(H2*H2+H4*H4+H6*H6+H8*H8+H10*H10+H12*H12+H14*H14+H20*H20)</f>
        <v>0.015398555288628225</v>
      </c>
      <c r="I25" s="90">
        <f>SQRT(I2*I2+I4*I4+I6*I6+I8*I8+I10*I10+I12*I12+I14*I14+I20*I20)</f>
        <v>0.014706629595577038</v>
      </c>
      <c r="J25" s="91" t="s">
        <v>123</v>
      </c>
      <c r="K25" s="91"/>
      <c r="L25" s="91"/>
    </row>
    <row r="26" spans="1:12" ht="12.75">
      <c r="A26" s="89"/>
      <c r="B26" s="90">
        <f t="shared" si="2"/>
        <v>0.1297112177107285</v>
      </c>
      <c r="C26" s="90">
        <f t="shared" si="2"/>
        <v>0.13895682782792648</v>
      </c>
      <c r="D26" s="90">
        <f t="shared" si="2"/>
        <v>0.1442220510185596</v>
      </c>
      <c r="E26" s="90">
        <f t="shared" si="2"/>
        <v>0.14081548210335398</v>
      </c>
      <c r="F26" s="90">
        <f t="shared" si="2"/>
        <v>0.10677078252031312</v>
      </c>
      <c r="G26" s="90">
        <f t="shared" si="2"/>
        <v>0.10214695296483396</v>
      </c>
      <c r="H26" s="90">
        <f>SQRT(H3*H3+H5*H5+H7*H7+H9*H9+H11*H11+H13*H13+H15*H15+H21*H21)</f>
        <v>0.01786554774656897</v>
      </c>
      <c r="I26" s="90">
        <f>SQRT(I3*I3+I5*I5+I7*I7+I9*I9+I11*I11+I13*I13+I15*I15+I21*I21)</f>
        <v>0.017091859985315618</v>
      </c>
      <c r="J26" s="91"/>
      <c r="K26" s="91"/>
      <c r="L26" s="91"/>
    </row>
    <row r="27" spans="1:10" ht="12.75">
      <c r="A27" s="89" t="s">
        <v>124</v>
      </c>
      <c r="B27" s="90">
        <f aca="true" t="shared" si="3" ref="B27:I28">SQRT(B2*B2+B4*B4+B6*B6+B8*B8+B10*B10+B12*B12+B14*B14+B16*B16+B18*B18+B20*B20)</f>
        <v>0.11090536506409417</v>
      </c>
      <c r="C27" s="90">
        <f t="shared" si="3"/>
        <v>0.1216552506059644</v>
      </c>
      <c r="D27" s="90">
        <f t="shared" si="3"/>
        <v>0.12666491226855212</v>
      </c>
      <c r="E27" s="90">
        <f t="shared" si="3"/>
        <v>0.12379418403139947</v>
      </c>
      <c r="F27" s="90">
        <f t="shared" si="3"/>
        <v>0.09202716990106781</v>
      </c>
      <c r="G27" s="90">
        <f t="shared" si="3"/>
        <v>0.08789197915623473</v>
      </c>
      <c r="H27" s="90">
        <f t="shared" si="3"/>
        <v>0.015398555288628225</v>
      </c>
      <c r="I27" s="90">
        <f t="shared" si="3"/>
        <v>0.014706629595577038</v>
      </c>
      <c r="J27" s="92" t="s">
        <v>125</v>
      </c>
    </row>
    <row r="28" spans="1:9" ht="12.75">
      <c r="A28" s="91"/>
      <c r="B28" s="90">
        <f t="shared" si="3"/>
        <v>0.1297112177107285</v>
      </c>
      <c r="C28" s="90">
        <f t="shared" si="3"/>
        <v>0.13895682782792648</v>
      </c>
      <c r="D28" s="90">
        <f t="shared" si="3"/>
        <v>0.1442220510185596</v>
      </c>
      <c r="E28" s="90">
        <f t="shared" si="3"/>
        <v>0.14081548210335398</v>
      </c>
      <c r="F28" s="90">
        <f t="shared" si="3"/>
        <v>0.10677078252031312</v>
      </c>
      <c r="G28" s="90">
        <f t="shared" si="3"/>
        <v>0.10214695296483396</v>
      </c>
      <c r="H28" s="90">
        <f t="shared" si="3"/>
        <v>0.01786554774656897</v>
      </c>
      <c r="I28" s="90">
        <f t="shared" si="3"/>
        <v>0.017091859985315618</v>
      </c>
    </row>
    <row r="30" spans="1:5" ht="12.75">
      <c r="A30" s="40" t="s">
        <v>126</v>
      </c>
      <c r="B30" s="40" t="s">
        <v>127</v>
      </c>
      <c r="C30" s="40" t="s">
        <v>128</v>
      </c>
      <c r="D30" s="40" t="s">
        <v>129</v>
      </c>
      <c r="E30" s="40" t="s">
        <v>130</v>
      </c>
    </row>
    <row r="31" spans="1:6" ht="12.75">
      <c r="A31" s="41" t="s">
        <v>131</v>
      </c>
      <c r="B31" s="41">
        <v>0</v>
      </c>
      <c r="C31" s="41">
        <v>0</v>
      </c>
      <c r="D31" s="41">
        <v>0</v>
      </c>
      <c r="E31" s="41">
        <v>0</v>
      </c>
      <c r="F31" s="101" t="s">
        <v>259</v>
      </c>
    </row>
    <row r="32" spans="1:6" ht="12.75">
      <c r="A32" s="41" t="s">
        <v>72</v>
      </c>
      <c r="B32" s="41">
        <v>0</v>
      </c>
      <c r="C32" s="41">
        <v>0</v>
      </c>
      <c r="D32" s="41">
        <v>0</v>
      </c>
      <c r="E32" s="41">
        <v>0</v>
      </c>
      <c r="F32" s="101" t="s">
        <v>259</v>
      </c>
    </row>
    <row r="33" spans="1:6" ht="12.75">
      <c r="A33" s="41" t="s">
        <v>301</v>
      </c>
      <c r="B33" s="41">
        <v>0.1</v>
      </c>
      <c r="C33" s="41">
        <v>0.04</v>
      </c>
      <c r="D33" s="41">
        <v>0.04</v>
      </c>
      <c r="E33" s="41">
        <v>0.035</v>
      </c>
      <c r="F33" s="101" t="s">
        <v>302</v>
      </c>
    </row>
    <row r="34" spans="1:5" ht="12.75">
      <c r="A34" s="41" t="s">
        <v>132</v>
      </c>
      <c r="B34" s="205">
        <f>SQRT(B31^2+B32^2+$F$23^2+B33^2-$F$12^2)</f>
        <v>0.10012492197250393</v>
      </c>
      <c r="C34" s="205">
        <f>SQRT(C31^2+C32^2+$F$23^2+C33^2-$F$12^2)</f>
        <v>0.04031128874149275</v>
      </c>
      <c r="D34" s="205">
        <f>SQRT(D31^2+D32^2+$F$23^2+D33^2-$F$12^2)</f>
        <v>0.04031128874149275</v>
      </c>
      <c r="E34" s="205">
        <f>SQRT(E31^2+E32^2+$F$23^2+E33^2-$F$12^2)</f>
        <v>0.035355339059327376</v>
      </c>
    </row>
    <row r="35" spans="1:6" ht="12.75">
      <c r="A35" s="41" t="s">
        <v>133</v>
      </c>
      <c r="B35" s="205">
        <f>SQRT(B31^2+B32^2+B33^2+$F$25^2-$F$12^2)</f>
        <v>0.12134661099511598</v>
      </c>
      <c r="C35" s="205">
        <f>SQRT(C31^2+C32^2+C33^2+$F$25^2-$F$12^2)</f>
        <v>0.07952986860293433</v>
      </c>
      <c r="D35" s="205">
        <f>SQRT(D31^2+D32^2+D33^2+$F$25^2-$F$12^2)</f>
        <v>0.07952986860293433</v>
      </c>
      <c r="E35" s="205">
        <f>SQRT(E31^2+E32^2+E33^2+$F$25^2-$F$12^2)</f>
        <v>0.07713624310270757</v>
      </c>
      <c r="F35" s="101" t="s">
        <v>260</v>
      </c>
    </row>
    <row r="36" spans="2:6" ht="12.75">
      <c r="B36" s="205">
        <f>SQRT(B31^2+B32^2+B33^2+$F$26^2-$F$13^2)</f>
        <v>0.13287588193498473</v>
      </c>
      <c r="C36" s="205">
        <f>SQRT(C31^2+C32^2+C33^2+$F$26^2-$F$13^2)</f>
        <v>0.09620810776644556</v>
      </c>
      <c r="D36" s="205">
        <f>SQRT(D31^2+D32^2+D33^2+$F$26^2-$F$13^2)</f>
        <v>0.09620810776644556</v>
      </c>
      <c r="E36" s="205">
        <f>SQRT(E31^2+E32^2+E33^2+$F$26^2-$F$13^2)</f>
        <v>0.09423905772024677</v>
      </c>
      <c r="F36" s="101"/>
    </row>
    <row r="37" spans="1:10" ht="12.75">
      <c r="A37" s="160" t="s">
        <v>300</v>
      </c>
      <c r="B37" s="171">
        <v>0.03</v>
      </c>
      <c r="C37" s="171">
        <v>0.025</v>
      </c>
      <c r="D37" s="171">
        <v>0.015</v>
      </c>
      <c r="E37" s="171">
        <v>0.01</v>
      </c>
      <c r="F37" s="101" t="s">
        <v>302</v>
      </c>
      <c r="J37" s="101" t="s">
        <v>304</v>
      </c>
    </row>
    <row r="38" spans="1:6" ht="12.75">
      <c r="A38" s="41" t="s">
        <v>134</v>
      </c>
      <c r="B38" s="205">
        <f>SQRT(B31^2+B32^2+$G$23^2+B37^2-$G$12^2)</f>
        <v>0.03</v>
      </c>
      <c r="C38" s="205">
        <f>SQRT(C31^2+C32^2+$G$23^2+C37^2-$G$12^2)</f>
        <v>0.025000000000000005</v>
      </c>
      <c r="D38" s="205">
        <f>SQRT(D31^2+D32^2+$G$23^2+D37^2-$G$12^2)</f>
        <v>0.015000000000000001</v>
      </c>
      <c r="E38" s="205">
        <f>SQRT(E31^2+E32^2+$G$23^2+E37^2-$G$12^2)</f>
        <v>0.010000000000000002</v>
      </c>
      <c r="F38" s="101" t="s">
        <v>261</v>
      </c>
    </row>
    <row r="39" spans="1:6" ht="12.75">
      <c r="A39" s="41" t="s">
        <v>135</v>
      </c>
      <c r="B39" s="205">
        <f>SQRT(B31^2+B32^2+B37^2+$G$25^2-$G$12^2)</f>
        <v>0.09000000000000001</v>
      </c>
      <c r="C39" s="205">
        <f>SQRT(C31^2+C32^2+C37^2+$G$25^2-$G$12^2)</f>
        <v>0.08845903006477067</v>
      </c>
      <c r="D39" s="205">
        <f>SQRT(D31^2+D32^2+D37^2+$G$25^2-$G$12^2)</f>
        <v>0.08616843969807043</v>
      </c>
      <c r="E39" s="205">
        <f>SQRT(E31^2+E32^2+E37^2+$G$25^2-$G$12^2)</f>
        <v>0.08544003745317531</v>
      </c>
      <c r="F39" s="101"/>
    </row>
    <row r="40" spans="2:5" ht="12.75">
      <c r="B40" s="205">
        <f>SQRT(B31^2+B32^2+B37^2+$G$26^2-$G$13^2)</f>
        <v>0.10396634070698076</v>
      </c>
      <c r="C40" s="205">
        <f>SQRT(C31^2+C32^2+C37^2+$G$26^2-$G$13^2)</f>
        <v>0.10263527658656162</v>
      </c>
      <c r="D40" s="205">
        <f>SQRT(D31^2+D32^2+D37^2+$G$26^2-$G$13^2)</f>
        <v>0.10066777041337512</v>
      </c>
      <c r="E40" s="205">
        <f>SQRT(E31^2+E32^2+E37^2+$G$26^2-$G$13^2)</f>
        <v>0.1000449898795537</v>
      </c>
    </row>
    <row r="41" spans="1:5" ht="12.75">
      <c r="A41" s="41" t="s">
        <v>136</v>
      </c>
      <c r="B41" s="42">
        <f>SQRT(B35*B35-B34*B34)</f>
        <v>0.06855654600401047</v>
      </c>
      <c r="C41" s="42">
        <f>SQRT(C35*C35-C34*C34)</f>
        <v>0.06855654600401044</v>
      </c>
      <c r="D41" s="42">
        <f>SQRT(D35*D35-D34*D34)</f>
        <v>0.06855654600401044</v>
      </c>
      <c r="E41" s="42">
        <f>SQRT(E35*E35-E34*E34)</f>
        <v>0.06855654600401045</v>
      </c>
    </row>
    <row r="42" spans="2:5" ht="12.75">
      <c r="B42" s="42">
        <f>SQRT(B36*B36-B34*B34)</f>
        <v>0.08735559512704381</v>
      </c>
      <c r="C42" s="42">
        <f>SQRT(C36*C36-C34*C34)</f>
        <v>0.08735559512704383</v>
      </c>
      <c r="D42" s="42">
        <f>SQRT(D36*D36-D34*D34)</f>
        <v>0.08735559512704383</v>
      </c>
      <c r="E42" s="42">
        <f>SQRT(E36*E36-E34*E34)</f>
        <v>0.08735559512704381</v>
      </c>
    </row>
    <row r="43" spans="1:5" ht="12.75">
      <c r="A43" s="41" t="s">
        <v>137</v>
      </c>
      <c r="B43" s="42">
        <f>SQRT(B39*B39-B38*B38)</f>
        <v>0.08485281374238571</v>
      </c>
      <c r="C43" s="42">
        <f>SQRT(C39*C39-C38*C38)</f>
        <v>0.08485281374238571</v>
      </c>
      <c r="D43" s="42">
        <f>SQRT(D39*D39-D38*D38)</f>
        <v>0.08485281374238571</v>
      </c>
      <c r="E43" s="42">
        <f>SQRT(E39*E39-E38*E38)</f>
        <v>0.08485281374238571</v>
      </c>
    </row>
    <row r="44" spans="2:5" ht="12.75">
      <c r="B44" s="42">
        <f>SQRT(B40*B40-B38*B38)</f>
        <v>0.09954396013822238</v>
      </c>
      <c r="C44" s="42">
        <f>SQRT(C40*C40-C38*C38)</f>
        <v>0.09954396013822236</v>
      </c>
      <c r="D44" s="42">
        <f>SQRT(D40*D40-D38*D38)</f>
        <v>0.09954396013822236</v>
      </c>
      <c r="E44" s="42">
        <f>SQRT(E40*E40-E38*E38)</f>
        <v>0.09954396013822235</v>
      </c>
    </row>
    <row r="45" spans="6:8" ht="12.75">
      <c r="F45" s="84"/>
      <c r="G45" s="84"/>
      <c r="H45" s="84"/>
    </row>
    <row r="46" spans="1:8" ht="12.75">
      <c r="A46" s="40"/>
      <c r="B46" s="40"/>
      <c r="C46" s="40"/>
      <c r="D46" s="40"/>
      <c r="E46" s="40"/>
      <c r="F46" s="40"/>
      <c r="G46" s="40"/>
      <c r="H46" s="40"/>
    </row>
    <row r="47" spans="2:8" ht="12.75">
      <c r="B47" s="42"/>
      <c r="C47" s="42"/>
      <c r="D47" s="42"/>
      <c r="E47" s="42"/>
      <c r="F47" s="42"/>
      <c r="G47" s="42"/>
      <c r="H47" s="42"/>
    </row>
    <row r="48" spans="2:8" ht="12.75">
      <c r="B48" s="42"/>
      <c r="C48" s="42"/>
      <c r="D48" s="42"/>
      <c r="E48" s="42"/>
      <c r="F48" s="42"/>
      <c r="G48" s="42"/>
      <c r="H48" s="4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&amp;L&amp;F&amp;C&amp;D  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1:N59"/>
  <sheetViews>
    <sheetView workbookViewId="0" topLeftCell="A18">
      <selection activeCell="N37" sqref="N37"/>
    </sheetView>
  </sheetViews>
  <sheetFormatPr defaultColWidth="9.140625" defaultRowHeight="12.75"/>
  <cols>
    <col min="1" max="16384" width="9.140625" style="41" customWidth="1"/>
  </cols>
  <sheetData>
    <row r="1" spans="1:14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N1" s="40" t="s">
        <v>139</v>
      </c>
    </row>
    <row r="2" spans="1:14" ht="12.75">
      <c r="A2" s="41">
        <v>-2.2</v>
      </c>
      <c r="B2" s="41">
        <v>-1.2</v>
      </c>
      <c r="C2" s="41">
        <v>190512</v>
      </c>
      <c r="D2" s="41">
        <v>16403</v>
      </c>
      <c r="E2" s="41">
        <v>11647</v>
      </c>
      <c r="F2" s="41">
        <v>6240</v>
      </c>
      <c r="G2" s="41">
        <v>0.128</v>
      </c>
      <c r="H2" s="42">
        <f>D2/C2/G2</f>
        <v>0.6726528381414294</v>
      </c>
      <c r="I2" s="42">
        <f>E2/D2</f>
        <v>0.7100530390782174</v>
      </c>
      <c r="J2" s="42">
        <f>F2/D2</f>
        <v>0.3804182161799671</v>
      </c>
      <c r="K2" s="42">
        <f>(I2*$L$2+J2*$L$3)/($L$2+$L$3)</f>
        <v>0.5681302644194798</v>
      </c>
      <c r="L2" s="41">
        <v>1.566</v>
      </c>
      <c r="M2" s="41" t="s">
        <v>51</v>
      </c>
      <c r="N2" s="93">
        <f>H2*K2/(simDau!$H2*simDau!$K2)</f>
        <v>0.945900152904733</v>
      </c>
    </row>
    <row r="3" spans="8:13" ht="12.75">
      <c r="H3" s="42"/>
      <c r="I3" s="42">
        <f>SQRT(1/E2)*I2</f>
        <v>0.006579361555702577</v>
      </c>
      <c r="J3" s="42">
        <f>SQRT(1/F2)*J2</f>
        <v>0.004815806293514966</v>
      </c>
      <c r="K3" s="42">
        <f>($L$2*I3+$L$3*J3)/($L$2+$L$3)</f>
        <v>0.005820070853727984</v>
      </c>
      <c r="L3" s="41">
        <v>1.184</v>
      </c>
      <c r="M3" s="41" t="s">
        <v>52</v>
      </c>
    </row>
    <row r="4" spans="1:14" ht="12.75">
      <c r="A4" s="41">
        <v>-2.2</v>
      </c>
      <c r="B4" s="41">
        <v>-1.7</v>
      </c>
      <c r="C4" s="41">
        <v>83422</v>
      </c>
      <c r="D4" s="41">
        <v>7389</v>
      </c>
      <c r="E4" s="41">
        <v>5363</v>
      </c>
      <c r="F4" s="41">
        <v>2940</v>
      </c>
      <c r="G4" s="41">
        <f>G2</f>
        <v>0.128</v>
      </c>
      <c r="H4" s="42">
        <f>D4/C4/G4</f>
        <v>0.6919824806405984</v>
      </c>
      <c r="I4" s="42">
        <f>E4/D4</f>
        <v>0.7258086344566247</v>
      </c>
      <c r="J4" s="42">
        <f>F4/D4</f>
        <v>0.39788875355257813</v>
      </c>
      <c r="K4" s="42">
        <f>(I4*$L$2+J4*$L$3)/($L$2+$L$3)</f>
        <v>0.5846242202783006</v>
      </c>
      <c r="N4" s="93">
        <f>H4*K4/(simDau!$H4*simDau!$K4)</f>
        <v>0.9528476282528846</v>
      </c>
    </row>
    <row r="5" spans="8:11" ht="12.75">
      <c r="H5" s="42"/>
      <c r="I5" s="42">
        <f>SQRT(1/E4)*I4</f>
        <v>0.00991101724773564</v>
      </c>
      <c r="J5" s="42">
        <f>SQRT(1/F4)*J4</f>
        <v>0.00733817388643982</v>
      </c>
      <c r="K5" s="42">
        <f>($L$2*I5+$L$3*J5)/($L$2+$L$3)</f>
        <v>0.008803291233272276</v>
      </c>
    </row>
    <row r="6" spans="1:14" ht="12.75">
      <c r="A6" s="41">
        <v>-1.7</v>
      </c>
      <c r="B6" s="41">
        <v>-1.2</v>
      </c>
      <c r="C6" s="41">
        <v>107090</v>
      </c>
      <c r="D6" s="41">
        <v>9014</v>
      </c>
      <c r="E6" s="41">
        <v>6284</v>
      </c>
      <c r="F6" s="41">
        <v>3301</v>
      </c>
      <c r="G6" s="41">
        <f>G2</f>
        <v>0.128</v>
      </c>
      <c r="H6" s="42">
        <f>D6/C6/G6</f>
        <v>0.6575952469885143</v>
      </c>
      <c r="I6" s="42">
        <f>E6/D6</f>
        <v>0.6971377856667407</v>
      </c>
      <c r="J6" s="42">
        <f>F6/D6</f>
        <v>0.36620812070113157</v>
      </c>
      <c r="K6" s="42">
        <f>(I6*$L$2+J6*$L$3)/($L$2+$L$3)</f>
        <v>0.5546575226415474</v>
      </c>
      <c r="N6" s="93">
        <f>H6*K6/(simDau!$H6*simDau!$K6)</f>
        <v>0.940003677368905</v>
      </c>
    </row>
    <row r="7" spans="8:11" ht="12.75">
      <c r="H7" s="42"/>
      <c r="I7" s="42">
        <f>SQRT(1/E6)*I6</f>
        <v>0.008794284971203202</v>
      </c>
      <c r="J7" s="42">
        <f>SQRT(1/F6)*J6</f>
        <v>0.006373899455168948</v>
      </c>
      <c r="K7" s="42">
        <f>($L$2*I7+$L$3*J7)/($L$2+$L$3)</f>
        <v>0.007752198989027</v>
      </c>
    </row>
    <row r="8" spans="1:14" ht="12.75">
      <c r="A8" s="41">
        <v>1.2</v>
      </c>
      <c r="B8" s="41">
        <v>2.4</v>
      </c>
      <c r="C8" s="41">
        <v>214275</v>
      </c>
      <c r="D8" s="41">
        <v>21483</v>
      </c>
      <c r="E8" s="41">
        <v>16423</v>
      </c>
      <c r="F8" s="41">
        <v>11283</v>
      </c>
      <c r="G8" s="41">
        <v>0.127</v>
      </c>
      <c r="H8" s="42">
        <f>D8/C8/G8</f>
        <v>0.7894410468554923</v>
      </c>
      <c r="I8" s="42">
        <f>E8/D8</f>
        <v>0.7644649257552484</v>
      </c>
      <c r="J8" s="42">
        <f>F8/D8</f>
        <v>0.52520597681888</v>
      </c>
      <c r="K8" s="42">
        <f>(I8*$L$8+J8*$L$9)/($L$8+$L$9)</f>
        <v>0.6506263388379139</v>
      </c>
      <c r="L8" s="41">
        <v>1.711</v>
      </c>
      <c r="M8" s="41" t="s">
        <v>51</v>
      </c>
      <c r="N8" s="93">
        <f>H8*K8/(simDau!$H8*simDau!$K8)</f>
        <v>0.953917320023757</v>
      </c>
    </row>
    <row r="9" spans="8:13" ht="12.75">
      <c r="H9" s="42"/>
      <c r="I9" s="42">
        <f>SQRT(1/E8)*I8</f>
        <v>0.005965286654521048</v>
      </c>
      <c r="J9" s="42">
        <f>SQRT(1/F8)*J8</f>
        <v>0.0049444428970330115</v>
      </c>
      <c r="K9" s="42">
        <f>($L$2*I9+$L$3*J9)/($L$2+$L$3)</f>
        <v>0.005525767014933472</v>
      </c>
      <c r="L9" s="41">
        <v>1.553</v>
      </c>
      <c r="M9" s="41" t="s">
        <v>52</v>
      </c>
    </row>
    <row r="10" spans="1:14" ht="12.75">
      <c r="A10" s="41">
        <v>1.2</v>
      </c>
      <c r="B10" s="41">
        <v>1.7</v>
      </c>
      <c r="C10" s="41">
        <v>107306</v>
      </c>
      <c r="D10" s="41">
        <v>9485</v>
      </c>
      <c r="E10" s="41">
        <v>7172</v>
      </c>
      <c r="F10" s="41">
        <v>4588</v>
      </c>
      <c r="G10" s="41">
        <f>G8</f>
        <v>0.127</v>
      </c>
      <c r="H10" s="42">
        <f>D10/C10/G10</f>
        <v>0.6960005905548501</v>
      </c>
      <c r="I10" s="42">
        <f>E10/D10</f>
        <v>0.7561412756984712</v>
      </c>
      <c r="J10" s="42">
        <f>F10/D10</f>
        <v>0.483711122825514</v>
      </c>
      <c r="K10" s="42">
        <f>(I10*$L$8+J10*$L$9)/($L$8+$L$9)</f>
        <v>0.6265199437708663</v>
      </c>
      <c r="N10" s="93">
        <f>H10*K10/(simDau!$H10*simDau!$K10)</f>
        <v>0.9436759559180015</v>
      </c>
    </row>
    <row r="11" spans="8:11" ht="12.75">
      <c r="H11" s="42"/>
      <c r="I11" s="42">
        <f>SQRT(1/E10)*I10</f>
        <v>0.008928588449020614</v>
      </c>
      <c r="J11" s="42">
        <f>SQRT(1/F10)*J10</f>
        <v>0.007141252175804365</v>
      </c>
      <c r="K11" s="42">
        <f>($L$2*I11+$L$3*J11)/($L$2+$L$3)</f>
        <v>0.008159058940843145</v>
      </c>
    </row>
    <row r="12" spans="1:14" ht="12.75">
      <c r="A12" s="41">
        <v>1.7</v>
      </c>
      <c r="B12" s="41">
        <v>2.4</v>
      </c>
      <c r="C12" s="41">
        <v>106968</v>
      </c>
      <c r="D12" s="41">
        <v>11997</v>
      </c>
      <c r="E12" s="41">
        <v>9252</v>
      </c>
      <c r="F12" s="41">
        <v>6694</v>
      </c>
      <c r="G12" s="41">
        <f>G8</f>
        <v>0.127</v>
      </c>
      <c r="H12" s="42">
        <f>D12/C12/G12</f>
        <v>0.8831105277198213</v>
      </c>
      <c r="I12" s="42">
        <f>E12/D12</f>
        <v>0.7711927981995499</v>
      </c>
      <c r="J12" s="42">
        <f>F12/D12</f>
        <v>0.5579728265399684</v>
      </c>
      <c r="K12" s="42">
        <f>(I12*$L$8+J12*$L$9)/($L$8+$L$9)</f>
        <v>0.6697434673210787</v>
      </c>
      <c r="N12" s="93">
        <f>H12*K12/(simDau!$H12*simDau!$K12)</f>
        <v>0.9638703774684343</v>
      </c>
    </row>
    <row r="13" spans="8:11" ht="12.75">
      <c r="H13" s="42"/>
      <c r="I13" s="42">
        <f>SQRT(1/E12)*I12</f>
        <v>0.00801761417448432</v>
      </c>
      <c r="J13" s="42">
        <f>SQRT(1/F12)*J12</f>
        <v>0.006819777334027761</v>
      </c>
      <c r="K13" s="42">
        <f>($L$2*I13+$L$3*J13)/($L$2+$L$3)</f>
        <v>0.00750189096753866</v>
      </c>
    </row>
    <row r="14" spans="1:11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</row>
    <row r="15" ht="12.75">
      <c r="J15" s="42"/>
    </row>
    <row r="18" spans="1:14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  <c r="N18" s="40" t="s">
        <v>139</v>
      </c>
    </row>
    <row r="19" spans="1:14" ht="12.75">
      <c r="A19" s="41" t="s">
        <v>60</v>
      </c>
      <c r="B19" s="43" t="s">
        <v>38</v>
      </c>
      <c r="C19" s="41">
        <v>35736</v>
      </c>
      <c r="D19" s="41">
        <v>3270</v>
      </c>
      <c r="E19" s="41">
        <v>2505</v>
      </c>
      <c r="F19" s="41">
        <v>1319</v>
      </c>
      <c r="G19" s="41">
        <v>0.128</v>
      </c>
      <c r="H19" s="42">
        <f>D19/C19/G19</f>
        <v>0.7148778542646071</v>
      </c>
      <c r="I19" s="42">
        <f>E19/D19</f>
        <v>0.7660550458715596</v>
      </c>
      <c r="J19" s="42">
        <f>F19/D19</f>
        <v>0.40336391437308866</v>
      </c>
      <c r="K19" s="42">
        <f>(I19*$L$2+J19*$L$3)/($L$2+$L$3)</f>
        <v>0.6099000278009452</v>
      </c>
      <c r="N19" s="93">
        <f>H19*K19/(simDauDJ!$H19*simDauDJ!$K19)</f>
        <v>0.9901439544420072</v>
      </c>
    </row>
    <row r="20" spans="2:11" ht="12.75">
      <c r="B20" s="43"/>
      <c r="I20" s="42">
        <f>SQRT(1/E19)*I19</f>
        <v>0.015305802759929293</v>
      </c>
      <c r="J20" s="42">
        <f>SQRT(1/F19+1/C19)*J19</f>
        <v>0.011309543729853565</v>
      </c>
      <c r="K20" s="42">
        <f>($L$2*I20+$L$3*J20)/($L$2+$L$3)</f>
        <v>0.013585231599343961</v>
      </c>
    </row>
    <row r="21" spans="2:14" ht="12.75">
      <c r="B21" s="43" t="s">
        <v>39</v>
      </c>
      <c r="C21" s="41">
        <v>79632</v>
      </c>
      <c r="D21" s="41">
        <v>6541</v>
      </c>
      <c r="E21" s="41">
        <v>4959</v>
      </c>
      <c r="F21" s="41">
        <v>2617</v>
      </c>
      <c r="G21" s="41">
        <v>0.128</v>
      </c>
      <c r="H21" s="42">
        <f>D21/C21/G21</f>
        <v>0.6417214499196303</v>
      </c>
      <c r="I21" s="42">
        <f>E21/D21</f>
        <v>0.7581409570402079</v>
      </c>
      <c r="J21" s="42">
        <f>F21/D21</f>
        <v>0.4000917290934108</v>
      </c>
      <c r="K21" s="42">
        <f>(I21*$L$2+J21*$L$3)/($L$2+$L$3)</f>
        <v>0.603984489444205</v>
      </c>
      <c r="N21" s="93">
        <f>H21*K21/(simDauDJ!$H21*simDauDJ!$K21)</f>
        <v>0.9957170891734533</v>
      </c>
    </row>
    <row r="22" spans="2:11" ht="12.75">
      <c r="B22" s="43"/>
      <c r="I22" s="42">
        <f>SQRT(1/E21)*I21</f>
        <v>0.01076596354775004</v>
      </c>
      <c r="J22" s="42">
        <f>SQRT(1/F21+1/C21)*J21</f>
        <v>0.007948390831023581</v>
      </c>
      <c r="K22" s="42">
        <f>($L$2*I22+$L$3*J22)/($L$2+$L$3)</f>
        <v>0.009552870421712175</v>
      </c>
    </row>
    <row r="23" spans="2:14" ht="12.75">
      <c r="B23" s="43" t="s">
        <v>40</v>
      </c>
      <c r="C23" s="41">
        <v>54365</v>
      </c>
      <c r="D23" s="41">
        <v>3583</v>
      </c>
      <c r="E23" s="41">
        <v>2760</v>
      </c>
      <c r="F23" s="41">
        <v>1483</v>
      </c>
      <c r="G23" s="41">
        <v>0.128</v>
      </c>
      <c r="H23" s="42">
        <f>D23/C23/G23</f>
        <v>0.5148935436402097</v>
      </c>
      <c r="I23" s="42">
        <f>E23/D23</f>
        <v>0.7703042143455205</v>
      </c>
      <c r="J23" s="42">
        <f>F23/D23</f>
        <v>0.4138989673457996</v>
      </c>
      <c r="K23" s="42">
        <f>(I23*$L$2+J23*$L$3)/($L$2+$L$3)</f>
        <v>0.6168555552736407</v>
      </c>
      <c r="N23" s="93">
        <f>H23*K23/(simDauDJ!$H23*simDauDJ!$K23)</f>
        <v>1.0176506845095592</v>
      </c>
    </row>
    <row r="24" spans="2:11" ht="12.75">
      <c r="B24" s="43"/>
      <c r="I24" s="42">
        <f>SQRT(1/E23)*I23</f>
        <v>0.014662490132920678</v>
      </c>
      <c r="J24" s="42">
        <f>SQRT(1/F23+1/C23)*J23</f>
        <v>0.01089351118513663</v>
      </c>
      <c r="K24" s="42">
        <f>($L$2*I24+$L$3*J24)/($L$2+$L$3)</f>
        <v>0.013039773378674745</v>
      </c>
    </row>
    <row r="25" spans="2:14" ht="12.75">
      <c r="B25" s="43" t="s">
        <v>41</v>
      </c>
      <c r="C25" s="41">
        <v>16728</v>
      </c>
      <c r="D25" s="41">
        <v>1351</v>
      </c>
      <c r="E25" s="41">
        <v>1115</v>
      </c>
      <c r="F25" s="41">
        <v>621</v>
      </c>
      <c r="G25" s="41">
        <v>0.128</v>
      </c>
      <c r="H25" s="42">
        <f>D25/C25/G25</f>
        <v>0.6309593197034912</v>
      </c>
      <c r="I25" s="42">
        <f>E25/D25</f>
        <v>0.8253145817912657</v>
      </c>
      <c r="J25" s="42">
        <f>F25/D25</f>
        <v>0.45965951147298295</v>
      </c>
      <c r="K25" s="42">
        <f>(I25*$L$2+J25*$L$3)/($L$2+$L$3)</f>
        <v>0.6678834533342305</v>
      </c>
      <c r="N25" s="93">
        <f>H25*K25/(simDauDJ!$H25*simDauDJ!$K25)</f>
        <v>1.004361019176924</v>
      </c>
    </row>
    <row r="26" spans="9:11" ht="12.75">
      <c r="I26" s="42">
        <f>SQRT(1/E25)*I25</f>
        <v>0.024716221846134714</v>
      </c>
      <c r="J26" s="42">
        <f>SQRT(1/F25+1/C25)*J25</f>
        <v>0.018784760602135624</v>
      </c>
      <c r="K26" s="42">
        <f>($L$2*I26+$L$3*J26)/($L$2+$L$3)</f>
        <v>0.02216245816871838</v>
      </c>
    </row>
    <row r="27" spans="2:14" ht="12.75">
      <c r="B27" s="43" t="s">
        <v>42</v>
      </c>
      <c r="C27" s="41">
        <v>3130</v>
      </c>
      <c r="D27" s="41">
        <v>299</v>
      </c>
      <c r="E27" s="41">
        <v>241</v>
      </c>
      <c r="F27" s="41">
        <v>141</v>
      </c>
      <c r="G27" s="41">
        <v>0.128</v>
      </c>
      <c r="H27" s="42">
        <f>D27/C27/G27</f>
        <v>0.746305910543131</v>
      </c>
      <c r="I27" s="42">
        <f>E27/D27</f>
        <v>0.8060200668896321</v>
      </c>
      <c r="J27" s="42">
        <f>F27/D27</f>
        <v>0.47157190635451507</v>
      </c>
      <c r="K27" s="42">
        <f>(I27*$L$2+J27*$L$3)/($L$2+$L$3)</f>
        <v>0.662024931590149</v>
      </c>
      <c r="N27" s="93">
        <f>H27*K27/(simDauDJ!$H27*simDauDJ!$K27)</f>
        <v>1.0247815496734083</v>
      </c>
    </row>
    <row r="28" spans="9:11" ht="12.75">
      <c r="I28" s="42">
        <f>SQRT(1/E27)*I27</f>
        <v>0.051920316709899744</v>
      </c>
      <c r="J28" s="42">
        <f>SQRT(1/F27+1/C27)*J27</f>
        <v>0.04059817126188957</v>
      </c>
      <c r="K28" s="42">
        <f>($L$2*I28+$L$3*J28)/($L$2+$L$3)</f>
        <v>0.047045618451556456</v>
      </c>
    </row>
    <row r="29" spans="1:14" ht="12.75">
      <c r="A29" s="41" t="s">
        <v>61</v>
      </c>
      <c r="B29" s="43" t="s">
        <v>38</v>
      </c>
      <c r="C29" s="41">
        <v>40430</v>
      </c>
      <c r="D29" s="41">
        <v>4267</v>
      </c>
      <c r="E29" s="41">
        <v>3559</v>
      </c>
      <c r="F29" s="41">
        <v>2374</v>
      </c>
      <c r="G29" s="41">
        <v>0.127</v>
      </c>
      <c r="H29" s="42">
        <f>D29/C29/G29</f>
        <v>0.8310270887175463</v>
      </c>
      <c r="I29" s="42">
        <f>E29/D29</f>
        <v>0.8340754628544645</v>
      </c>
      <c r="J29" s="42">
        <f>F29/D29</f>
        <v>0.5563627841574877</v>
      </c>
      <c r="K29" s="42">
        <f>(I29*$L$8+J29*$L$9)/($L$8+$L$9)</f>
        <v>0.7019407232661052</v>
      </c>
      <c r="N29" s="93">
        <f>H29*K29/(simDauDJ!$H29*simDauDJ!$K29)</f>
        <v>0.9947409075786686</v>
      </c>
    </row>
    <row r="30" spans="2:11" ht="12.75">
      <c r="B30" s="43"/>
      <c r="I30" s="42">
        <f>SQRT(1/E29)*I29</f>
        <v>0.013981100293672047</v>
      </c>
      <c r="J30" s="42">
        <f>SQRT(1/F29+1/C29)*J29</f>
        <v>0.01174919255652102</v>
      </c>
      <c r="K30" s="42">
        <f>($L$2*I30+$L$3*J30)/($L$2+$L$3)</f>
        <v>0.013020162562476843</v>
      </c>
    </row>
    <row r="31" spans="2:14" ht="12.75">
      <c r="B31" s="43" t="s">
        <v>39</v>
      </c>
      <c r="C31" s="41">
        <v>90477</v>
      </c>
      <c r="D31" s="41">
        <v>8561</v>
      </c>
      <c r="E31" s="41">
        <v>7137</v>
      </c>
      <c r="F31" s="41">
        <v>4872</v>
      </c>
      <c r="G31" s="41">
        <v>0.127</v>
      </c>
      <c r="H31" s="42">
        <f>D31/C31/G31</f>
        <v>0.7450451365418574</v>
      </c>
      <c r="I31" s="42">
        <f>E31/D31</f>
        <v>0.8336642915547249</v>
      </c>
      <c r="J31" s="42">
        <f>F31/D31</f>
        <v>0.5690923957481603</v>
      </c>
      <c r="K31" s="42">
        <f>(I31*$L$8+J31*$L$9)/($L$8+$L$9)</f>
        <v>0.7077818913747018</v>
      </c>
      <c r="N31" s="93">
        <f>H31*K31/(simDauDJ!$H31*simDauDJ!$K31)</f>
        <v>0.9853301719742139</v>
      </c>
    </row>
    <row r="32" spans="2:11" ht="12.75">
      <c r="B32" s="43"/>
      <c r="I32" s="42">
        <f>SQRT(1/E31)*I31</f>
        <v>0.00986809567129685</v>
      </c>
      <c r="J32" s="42">
        <f>SQRT(1/F31+1/C31)*J31</f>
        <v>0.00836985854158818</v>
      </c>
      <c r="K32" s="42">
        <f>($L$2*I32+$L$3*J32)/($L$2+$L$3)</f>
        <v>0.009223036485269554</v>
      </c>
    </row>
    <row r="33" spans="2:14" ht="12.75">
      <c r="B33" s="43" t="s">
        <v>40</v>
      </c>
      <c r="C33" s="41">
        <v>61550</v>
      </c>
      <c r="D33" s="41">
        <v>4787</v>
      </c>
      <c r="E33" s="41">
        <v>4069</v>
      </c>
      <c r="F33" s="41">
        <v>2847</v>
      </c>
      <c r="G33" s="41">
        <v>0.127</v>
      </c>
      <c r="H33" s="42">
        <f>D33/C33/G33</f>
        <v>0.6123950184537249</v>
      </c>
      <c r="I33" s="42">
        <f>E33/D33</f>
        <v>0.8500104449550867</v>
      </c>
      <c r="J33" s="42">
        <f>F33/D33</f>
        <v>0.5947357426363067</v>
      </c>
      <c r="K33" s="42">
        <f>(I33*$L$8+J33*$L$9)/($L$8+$L$9)</f>
        <v>0.7285516175344171</v>
      </c>
      <c r="N33" s="93">
        <f>H33*K33/(simDauDJ!$H33*simDauDJ!$K33)</f>
        <v>0.993962009723415</v>
      </c>
    </row>
    <row r="34" spans="2:11" ht="12.75">
      <c r="B34" s="43"/>
      <c r="I34" s="42">
        <f>SQRT(1/E33)*I33</f>
        <v>0.013325405000056037</v>
      </c>
      <c r="J34" s="42">
        <f>SQRT(1/F33+1/C33)*J33</f>
        <v>0.011401161441001652</v>
      </c>
      <c r="K34" s="42">
        <f>($L$2*I34+$L$3*J34)/($L$2+$L$3)</f>
        <v>0.012496930682266804</v>
      </c>
    </row>
    <row r="35" spans="2:14" ht="12.75">
      <c r="B35" s="43" t="s">
        <v>41</v>
      </c>
      <c r="C35" s="41">
        <v>17777</v>
      </c>
      <c r="D35" s="41">
        <v>1584</v>
      </c>
      <c r="E35" s="41">
        <v>1317</v>
      </c>
      <c r="F35" s="41">
        <v>968</v>
      </c>
      <c r="G35" s="41">
        <v>0.127</v>
      </c>
      <c r="H35" s="42">
        <f>D35/C35/G35</f>
        <v>0.7016054983901608</v>
      </c>
      <c r="I35" s="42">
        <f>E35/D35</f>
        <v>0.8314393939393939</v>
      </c>
      <c r="J35" s="42">
        <f>F35/D35</f>
        <v>0.6111111111111112</v>
      </c>
      <c r="K35" s="42">
        <f>(I35*$L$8+J35*$L$9)/($L$8+$L$9)</f>
        <v>0.7266079529981183</v>
      </c>
      <c r="N35" s="93">
        <f>H35*K35/(simDauDJ!$H35*simDauDJ!$K35)</f>
        <v>1.0035771068371848</v>
      </c>
    </row>
    <row r="36" spans="2:11" ht="12.75">
      <c r="B36" s="43"/>
      <c r="H36" s="42"/>
      <c r="I36" s="42">
        <f>SQRT(1/E35)*I35</f>
        <v>0.02291066579750512</v>
      </c>
      <c r="J36" s="42">
        <f>SQRT(1/F35+1/C35)*J35</f>
        <v>0.020169539723907354</v>
      </c>
      <c r="K36" s="42">
        <f>($L$2*I36+$L$3*J36)/($L$2+$L$3)</f>
        <v>0.021730486426181573</v>
      </c>
    </row>
    <row r="37" spans="2:14" ht="12.75">
      <c r="B37" s="43" t="s">
        <v>42</v>
      </c>
      <c r="C37" s="41">
        <v>3205</v>
      </c>
      <c r="D37" s="41">
        <v>315</v>
      </c>
      <c r="E37" s="41">
        <v>253</v>
      </c>
      <c r="F37" s="41">
        <v>162</v>
      </c>
      <c r="G37" s="41">
        <v>0.127</v>
      </c>
      <c r="H37" s="42">
        <f>D37/C37/G37</f>
        <v>0.7738892232854668</v>
      </c>
      <c r="I37" s="42">
        <f>E37/D37</f>
        <v>0.8031746031746032</v>
      </c>
      <c r="J37" s="42">
        <f>F37/D37</f>
        <v>0.5142857142857142</v>
      </c>
      <c r="K37" s="42">
        <f>(I37*$L$8+J37*$L$9)/($L$8+$L$9)</f>
        <v>0.6657222611266729</v>
      </c>
      <c r="N37" s="93">
        <f>H37*K37/(simDauDJ!$H37*simDauDJ!$K37)</f>
        <v>0.995782035227915</v>
      </c>
    </row>
    <row r="38" spans="2:11" ht="12.75">
      <c r="B38" s="43"/>
      <c r="H38" s="42"/>
      <c r="I38" s="42">
        <f>SQRT(1/E37)*I37</f>
        <v>0.05049515466852973</v>
      </c>
      <c r="J38" s="42">
        <f>SQRT(1/F37+1/C37)*J37</f>
        <v>0.041414697614683985</v>
      </c>
      <c r="K38" s="42">
        <f>($L$2*I38+$L$3*J38)/($L$2+$L$3)</f>
        <v>0.04658560515880123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3"/>
  </sheetPr>
  <dimension ref="A1:N59"/>
  <sheetViews>
    <sheetView workbookViewId="0" topLeftCell="A1">
      <selection activeCell="N19" sqref="N19"/>
    </sheetView>
  </sheetViews>
  <sheetFormatPr defaultColWidth="9.140625" defaultRowHeight="12.75"/>
  <cols>
    <col min="1" max="16384" width="9.140625" style="41" customWidth="1"/>
  </cols>
  <sheetData>
    <row r="1" spans="1:14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 t="s">
        <v>56</v>
      </c>
      <c r="K1" s="40" t="s">
        <v>57</v>
      </c>
      <c r="L1" s="40" t="s">
        <v>58</v>
      </c>
      <c r="N1" s="40" t="s">
        <v>139</v>
      </c>
    </row>
    <row r="2" spans="1:14" ht="12.75">
      <c r="A2" s="41">
        <v>-2.2</v>
      </c>
      <c r="B2" s="41">
        <v>-1.2</v>
      </c>
      <c r="C2" s="41">
        <v>102023</v>
      </c>
      <c r="D2" s="41">
        <v>8887</v>
      </c>
      <c r="E2" s="41">
        <v>6426</v>
      </c>
      <c r="F2" s="41">
        <v>3398</v>
      </c>
      <c r="G2" s="41">
        <v>0.128</v>
      </c>
      <c r="H2" s="42">
        <f>D2/C2/G2</f>
        <v>0.680529757995746</v>
      </c>
      <c r="I2" s="42">
        <f>E2/D2</f>
        <v>0.7230786542140205</v>
      </c>
      <c r="J2" s="42">
        <f>F2/D2</f>
        <v>0.38235625070327445</v>
      </c>
      <c r="K2" s="42">
        <f>(I2*$L$2+J2*$L$3)/($L$2+$L$3)</f>
        <v>0.5763821721206666</v>
      </c>
      <c r="L2" s="41">
        <v>1.566</v>
      </c>
      <c r="M2" s="41" t="s">
        <v>51</v>
      </c>
      <c r="N2" s="93">
        <f>H2*K2/(simDauDJ!$H2*simDauDJ!$K2)</f>
        <v>1.0050118319549175</v>
      </c>
    </row>
    <row r="3" spans="8:13" ht="12.75">
      <c r="H3" s="42"/>
      <c r="I3" s="42">
        <f>SQRT(1/E2)*I2</f>
        <v>0.009020179508869621</v>
      </c>
      <c r="J3" s="42">
        <f>SQRT(1/F2)*J2</f>
        <v>0.006559285086886316</v>
      </c>
      <c r="K3" s="42">
        <f>($L$2*I3+$L$3*J3)/($L$2+$L$3)</f>
        <v>0.007960652601368447</v>
      </c>
      <c r="L3" s="41">
        <v>1.184</v>
      </c>
      <c r="M3" s="41" t="s">
        <v>52</v>
      </c>
    </row>
    <row r="4" spans="1:14" ht="12.75">
      <c r="A4" s="41">
        <v>-2.2</v>
      </c>
      <c r="B4" s="41">
        <v>-1.7</v>
      </c>
      <c r="C4" s="41">
        <v>44872</v>
      </c>
      <c r="D4" s="41">
        <v>4069</v>
      </c>
      <c r="E4" s="41">
        <v>2990</v>
      </c>
      <c r="F4" s="41">
        <v>1622</v>
      </c>
      <c r="G4" s="41">
        <f>G2</f>
        <v>0.128</v>
      </c>
      <c r="H4" s="42">
        <f>D4/C4/G4</f>
        <v>0.7084387257086825</v>
      </c>
      <c r="I4" s="42">
        <f>E4/D4</f>
        <v>0.7348242811501597</v>
      </c>
      <c r="J4" s="42">
        <f>F4/D4</f>
        <v>0.3986237404767756</v>
      </c>
      <c r="K4" s="42">
        <f>(I4*$L$2+J4*$L$3)/($L$2+$L$3)</f>
        <v>0.59007466654751</v>
      </c>
      <c r="N4" s="93">
        <f>H4*K4/(simDauDJ!$H4*simDauDJ!$K4)</f>
        <v>0.9984032054962659</v>
      </c>
    </row>
    <row r="5" spans="8:11" ht="12.75">
      <c r="H5" s="42"/>
      <c r="I5" s="42">
        <f>SQRT(1/E4)*I4</f>
        <v>0.01343841053280149</v>
      </c>
      <c r="J5" s="42">
        <f>SQRT(1/F4)*J4</f>
        <v>0.009897778601918048</v>
      </c>
      <c r="K5" s="42">
        <f>($L$2*I5+$L$3*J5)/($L$2+$L$3)</f>
        <v>0.011914007548741128</v>
      </c>
    </row>
    <row r="6" spans="1:14" ht="12.75">
      <c r="A6" s="41">
        <v>-1.7</v>
      </c>
      <c r="B6" s="41">
        <v>-1.2</v>
      </c>
      <c r="C6" s="41">
        <v>57152</v>
      </c>
      <c r="D6" s="41">
        <v>4818</v>
      </c>
      <c r="E6" s="41">
        <v>3436</v>
      </c>
      <c r="F6" s="41">
        <v>1776</v>
      </c>
      <c r="G6" s="41">
        <f>G2</f>
        <v>0.128</v>
      </c>
      <c r="H6" s="42">
        <f>D6/C6/G6</f>
        <v>0.6586055606103024</v>
      </c>
      <c r="I6" s="42">
        <f>E6/D6</f>
        <v>0.7131589871315899</v>
      </c>
      <c r="J6" s="42">
        <f>F6/D6</f>
        <v>0.3686176836861768</v>
      </c>
      <c r="K6" s="42">
        <f>(I6*$L$2+J6*$L$3)/($L$2+$L$3)</f>
        <v>0.5648182950300011</v>
      </c>
      <c r="N6" s="93">
        <f>H6*K6/(simDauDJ!$H6*simDauDJ!$K6)</f>
        <v>1.010904328058193</v>
      </c>
    </row>
    <row r="7" spans="8:11" ht="12.75">
      <c r="H7" s="42"/>
      <c r="I7" s="42">
        <f>SQRT(1/E6)*I6</f>
        <v>0.012166335317353961</v>
      </c>
      <c r="J7" s="42">
        <f>SQRT(1/F6)*J6</f>
        <v>0.008746910546162506</v>
      </c>
      <c r="K7" s="42">
        <f>($L$2*I7+$L$3*J7)/($L$2+$L$3)</f>
        <v>0.010694117524957348</v>
      </c>
    </row>
    <row r="8" spans="1:14" ht="12.75">
      <c r="A8" s="41">
        <v>1.2</v>
      </c>
      <c r="B8" s="41">
        <v>2.4</v>
      </c>
      <c r="C8" s="41">
        <v>115308</v>
      </c>
      <c r="D8" s="41">
        <v>11704</v>
      </c>
      <c r="E8" s="41">
        <v>9158</v>
      </c>
      <c r="F8" s="41">
        <v>6246</v>
      </c>
      <c r="G8" s="41">
        <v>0.127</v>
      </c>
      <c r="H8" s="42">
        <f>D8/C8/G8</f>
        <v>0.7992288506865146</v>
      </c>
      <c r="I8" s="42">
        <f>E8/D8</f>
        <v>0.7824675324675324</v>
      </c>
      <c r="J8" s="42">
        <f>F8/D8</f>
        <v>0.5336637047163363</v>
      </c>
      <c r="K8" s="42">
        <f>(I8*$L$8+J8*$L$9)/($L$8+$L$9)</f>
        <v>0.6640875249621379</v>
      </c>
      <c r="L8" s="41">
        <v>1.711</v>
      </c>
      <c r="M8" s="41" t="s">
        <v>51</v>
      </c>
      <c r="N8" s="93">
        <f>H8*K8/(simDauDJ!$H8*simDauDJ!$K8)</f>
        <v>0.9982471212910946</v>
      </c>
    </row>
    <row r="9" spans="8:13" ht="12.75">
      <c r="H9" s="42"/>
      <c r="I9" s="42">
        <f>SQRT(1/E8)*I8</f>
        <v>0.00817647299061534</v>
      </c>
      <c r="J9" s="42">
        <f>SQRT(1/F8)*J8</f>
        <v>0.0067525324020776606</v>
      </c>
      <c r="K9" s="42">
        <f>($L$2*I9+$L$3*J9)/($L$2+$L$3)</f>
        <v>0.007563401842677662</v>
      </c>
      <c r="L9" s="41">
        <v>1.553</v>
      </c>
      <c r="M9" s="41" t="s">
        <v>52</v>
      </c>
    </row>
    <row r="10" spans="1:14" ht="12.75">
      <c r="A10" s="41">
        <v>1.2</v>
      </c>
      <c r="B10" s="41">
        <v>1.7</v>
      </c>
      <c r="C10" s="41">
        <v>57271</v>
      </c>
      <c r="D10" s="41">
        <v>5099</v>
      </c>
      <c r="E10" s="41">
        <v>3953</v>
      </c>
      <c r="F10" s="41">
        <v>2498</v>
      </c>
      <c r="G10" s="41">
        <f>G8</f>
        <v>0.127</v>
      </c>
      <c r="H10" s="42">
        <f>D10/C10/G10</f>
        <v>0.7010460145485953</v>
      </c>
      <c r="I10" s="42">
        <f>E10/D10</f>
        <v>0.7752500490292215</v>
      </c>
      <c r="J10" s="42">
        <f>F10/D10</f>
        <v>0.48989998038831145</v>
      </c>
      <c r="K10" s="42">
        <f>(I10*$L$8+J10*$L$9)/($L$8+$L$9)</f>
        <v>0.6394814655122688</v>
      </c>
      <c r="N10" s="93">
        <f>H10*K10/(simDauDJ!$H10*simDauDJ!$K10)</f>
        <v>0.9983833848603217</v>
      </c>
    </row>
    <row r="11" spans="8:11" ht="12.75">
      <c r="H11" s="42"/>
      <c r="I11" s="42">
        <f>SQRT(1/E10)*I10</f>
        <v>0.012330434916350774</v>
      </c>
      <c r="J11" s="42">
        <f>SQRT(1/F10)*J10</f>
        <v>0.009801921160698019</v>
      </c>
      <c r="K11" s="42">
        <f>($L$2*I11+$L$3*J11)/($L$2+$L$3)</f>
        <v>0.011241794812098825</v>
      </c>
    </row>
    <row r="12" spans="1:14" ht="12.75">
      <c r="A12" s="41">
        <v>1.7</v>
      </c>
      <c r="B12" s="41">
        <v>2.4</v>
      </c>
      <c r="C12" s="41">
        <v>58036</v>
      </c>
      <c r="D12" s="41">
        <v>6605</v>
      </c>
      <c r="E12" s="41">
        <v>5205</v>
      </c>
      <c r="F12" s="41">
        <v>3748</v>
      </c>
      <c r="G12" s="41">
        <f>G8</f>
        <v>0.127</v>
      </c>
      <c r="H12" s="42">
        <f>D12/C12/G12</f>
        <v>0.8961312636251297</v>
      </c>
      <c r="I12" s="42">
        <f>E12/D12</f>
        <v>0.7880393641180924</v>
      </c>
      <c r="J12" s="42">
        <f>F12/D12</f>
        <v>0.5674489023467071</v>
      </c>
      <c r="K12" s="42">
        <f>(I12*$L$8+J12*$L$9)/($L$8+$L$9)</f>
        <v>0.6830831793353224</v>
      </c>
      <c r="N12" s="93">
        <f>H12*K12/(simDauDJ!$H12*simDauDJ!$K12)</f>
        <v>0.9981141750100333</v>
      </c>
    </row>
    <row r="13" spans="8:11" ht="12.75">
      <c r="H13" s="42"/>
      <c r="I13" s="42">
        <f>SQRT(1/E12)*I12</f>
        <v>0.01092288962024391</v>
      </c>
      <c r="J13" s="42">
        <f>SQRT(1/F12)*J12</f>
        <v>0.009268873801673865</v>
      </c>
      <c r="K13" s="42">
        <f>($L$2*I13+$L$3*J13)/($L$2+$L$3)</f>
        <v>0.010210760627812298</v>
      </c>
    </row>
    <row r="14" spans="1:11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40" t="s">
        <v>56</v>
      </c>
      <c r="K14" s="40" t="s">
        <v>57</v>
      </c>
    </row>
    <row r="15" ht="12.75">
      <c r="J15" s="42"/>
    </row>
    <row r="18" spans="1:11" ht="12.75">
      <c r="A18" s="40" t="s">
        <v>59</v>
      </c>
      <c r="B18" s="40" t="s">
        <v>37</v>
      </c>
      <c r="C18" s="40" t="s">
        <v>49</v>
      </c>
      <c r="D18" s="40" t="s">
        <v>50</v>
      </c>
      <c r="E18" s="40" t="s">
        <v>51</v>
      </c>
      <c r="F18" s="40" t="s">
        <v>52</v>
      </c>
      <c r="G18" s="40" t="s">
        <v>53</v>
      </c>
      <c r="H18" s="40" t="s">
        <v>54</v>
      </c>
      <c r="I18" s="40" t="s">
        <v>55</v>
      </c>
      <c r="J18" s="40" t="s">
        <v>56</v>
      </c>
      <c r="K18" s="40" t="s">
        <v>57</v>
      </c>
    </row>
    <row r="19" spans="1:14" ht="12.75">
      <c r="A19" s="41" t="s">
        <v>60</v>
      </c>
      <c r="B19" s="43" t="s">
        <v>38</v>
      </c>
      <c r="C19" s="41">
        <v>0</v>
      </c>
      <c r="D19" s="41">
        <v>3441</v>
      </c>
      <c r="E19" s="41">
        <v>2624</v>
      </c>
      <c r="F19" s="41">
        <v>1362</v>
      </c>
      <c r="G19" s="41">
        <v>0.128</v>
      </c>
      <c r="H19" s="42" t="e">
        <f>D19/C19/G19</f>
        <v>#DIV/0!</v>
      </c>
      <c r="I19" s="42">
        <f>E19/D19</f>
        <v>0.7625690206335367</v>
      </c>
      <c r="J19" s="42">
        <f>F19/D19</f>
        <v>0.3958151700087184</v>
      </c>
      <c r="K19" s="42">
        <f>(I19*$L$2+J19*$L$3)/($L$2+$L$3)</f>
        <v>0.6046648173099786</v>
      </c>
      <c r="N19" s="93" t="e">
        <f>H19*K19/(simDau!$H19*simDau!$K19)</f>
        <v>#DIV/0!</v>
      </c>
    </row>
    <row r="20" spans="2:11" ht="12.75">
      <c r="B20" s="43"/>
      <c r="I20" s="42">
        <f>SQRT(1/E19)*I19</f>
        <v>0.014886659081506187</v>
      </c>
      <c r="J20" s="42" t="e">
        <f>SQRT(1/F19+1/C19)*J19</f>
        <v>#DIV/0!</v>
      </c>
      <c r="K20" s="42" t="e">
        <f>($L$2*I20+$L$3*J20)/($L$2+$L$3)</f>
        <v>#DIV/0!</v>
      </c>
    </row>
    <row r="21" spans="2:14" ht="12.75">
      <c r="B21" s="43" t="s">
        <v>39</v>
      </c>
      <c r="C21" s="41">
        <v>0</v>
      </c>
      <c r="D21" s="41">
        <v>6901</v>
      </c>
      <c r="E21" s="41">
        <v>5218</v>
      </c>
      <c r="F21" s="41">
        <v>2750</v>
      </c>
      <c r="G21" s="41">
        <v>0.128</v>
      </c>
      <c r="H21" s="42" t="e">
        <f>D21/C21/G21</f>
        <v>#DIV/0!</v>
      </c>
      <c r="I21" s="42">
        <f>E21/D21</f>
        <v>0.7561223011157803</v>
      </c>
      <c r="J21" s="42">
        <f>F21/D21</f>
        <v>0.3984929720330387</v>
      </c>
      <c r="K21" s="42">
        <f>(I21*$L$2+J21*$L$3)/($L$2+$L$3)</f>
        <v>0.6021466190670653</v>
      </c>
      <c r="N21" s="93" t="e">
        <f>H21*K21/(simDau!$H21*simDau!$K21)</f>
        <v>#DIV/0!</v>
      </c>
    </row>
    <row r="22" spans="2:11" ht="12.75">
      <c r="B22" s="43"/>
      <c r="I22" s="42">
        <f>SQRT(1/E21)*I21</f>
        <v>0.01046742866735731</v>
      </c>
      <c r="J22" s="42" t="e">
        <f>SQRT(1/F21+1/C21)*J21</f>
        <v>#DIV/0!</v>
      </c>
      <c r="K22" s="42" t="e">
        <f>($L$2*I22+$L$3*J22)/($L$2+$L$3)</f>
        <v>#DIV/0!</v>
      </c>
    </row>
    <row r="23" spans="2:14" ht="12.75">
      <c r="B23" s="43" t="s">
        <v>40</v>
      </c>
      <c r="C23" s="41">
        <v>0</v>
      </c>
      <c r="D23" s="41">
        <v>3911</v>
      </c>
      <c r="E23" s="41">
        <v>2972</v>
      </c>
      <c r="F23" s="41">
        <v>1626</v>
      </c>
      <c r="G23" s="41">
        <v>0.128</v>
      </c>
      <c r="H23" s="42" t="e">
        <f>D23/C23/G23</f>
        <v>#DIV/0!</v>
      </c>
      <c r="I23" s="42">
        <f>E23/D23</f>
        <v>0.7599079519304526</v>
      </c>
      <c r="J23" s="42">
        <f>F23/D23</f>
        <v>0.4157504474558936</v>
      </c>
      <c r="K23" s="42">
        <f>(I23*$L$2+J23*$L$3)/($L$2+$L$3)</f>
        <v>0.6117325027312244</v>
      </c>
      <c r="N23" s="93" t="e">
        <f>H23*K23/(simDau!$H23*simDau!$K23)</f>
        <v>#DIV/0!</v>
      </c>
    </row>
    <row r="24" spans="2:11" ht="12.75">
      <c r="B24" s="43"/>
      <c r="I24" s="42">
        <f>SQRT(1/E23)*I23</f>
        <v>0.01393915946861571</v>
      </c>
      <c r="J24" s="42" t="e">
        <f>SQRT(1/F23+1/C23)*J23</f>
        <v>#DIV/0!</v>
      </c>
      <c r="K24" s="42" t="e">
        <f>($L$2*I24+$L$3*J24)/($L$2+$L$3)</f>
        <v>#DIV/0!</v>
      </c>
    </row>
    <row r="25" spans="2:14" ht="12.75">
      <c r="B25" s="43" t="s">
        <v>41</v>
      </c>
      <c r="C25" s="41">
        <v>0</v>
      </c>
      <c r="D25" s="41">
        <v>1507</v>
      </c>
      <c r="E25" s="41">
        <v>1238</v>
      </c>
      <c r="F25" s="41">
        <v>659</v>
      </c>
      <c r="G25" s="41">
        <v>0.128</v>
      </c>
      <c r="H25" s="42" t="e">
        <f>D25/C25/G25</f>
        <v>#DIV/0!</v>
      </c>
      <c r="I25" s="42">
        <f>E25/D25</f>
        <v>0.8214996682149966</v>
      </c>
      <c r="J25" s="42">
        <f>F25/D25</f>
        <v>0.43729263437292637</v>
      </c>
      <c r="K25" s="42">
        <f>(I25*$L$2+J25*$L$3)/($L$2+$L$3)</f>
        <v>0.6560810761899017</v>
      </c>
      <c r="N25" s="93" t="e">
        <f>H25*K25/(simDau!$H25*simDau!$K25)</f>
        <v>#DIV/0!</v>
      </c>
    </row>
    <row r="26" spans="9:11" ht="12.75">
      <c r="I26" s="42">
        <f>SQRT(1/E25)*I25</f>
        <v>0.023347859436973033</v>
      </c>
      <c r="J26" s="42" t="e">
        <f>SQRT(1/F25+1/C25)*J25</f>
        <v>#DIV/0!</v>
      </c>
      <c r="K26" s="42" t="e">
        <f>($L$2*I26+$L$3*J26)/($L$2+$L$3)</f>
        <v>#DIV/0!</v>
      </c>
    </row>
    <row r="27" spans="2:14" ht="12.75">
      <c r="B27" s="43" t="s">
        <v>42</v>
      </c>
      <c r="C27" s="41">
        <v>0</v>
      </c>
      <c r="D27" s="41">
        <v>300</v>
      </c>
      <c r="E27" s="41">
        <v>244</v>
      </c>
      <c r="F27" s="41">
        <v>153</v>
      </c>
      <c r="G27" s="41">
        <v>0.128</v>
      </c>
      <c r="H27" s="42" t="e">
        <f>D27/C27/G27</f>
        <v>#DIV/0!</v>
      </c>
      <c r="I27" s="42">
        <f>E27/D27</f>
        <v>0.8133333333333334</v>
      </c>
      <c r="J27" s="42">
        <f>F27/D27</f>
        <v>0.51</v>
      </c>
      <c r="K27" s="42">
        <f>(I27*$L$2+J27*$L$3)/($L$2+$L$3)</f>
        <v>0.6827345454545455</v>
      </c>
      <c r="N27" s="93" t="e">
        <f>H27*K27/(simDau!$H27*simDau!$K27)</f>
        <v>#DIV/0!</v>
      </c>
    </row>
    <row r="28" spans="9:11" ht="12.75">
      <c r="I28" s="42">
        <f>SQRT(1/E27)*I27</f>
        <v>0.05206833117271103</v>
      </c>
      <c r="J28" s="42" t="e">
        <f>SQRT(1/F27+1/C27)*J27</f>
        <v>#DIV/0!</v>
      </c>
      <c r="K28" s="42" t="e">
        <f>($L$2*I28+$L$3*J28)/($L$2+$L$3)</f>
        <v>#DIV/0!</v>
      </c>
    </row>
    <row r="29" spans="1:14" ht="12.75">
      <c r="A29" s="41" t="s">
        <v>61</v>
      </c>
      <c r="B29" s="43" t="s">
        <v>38</v>
      </c>
      <c r="C29" s="41">
        <v>0</v>
      </c>
      <c r="D29" s="41">
        <v>4495</v>
      </c>
      <c r="E29" s="41">
        <v>3753</v>
      </c>
      <c r="F29" s="41">
        <v>2511</v>
      </c>
      <c r="G29" s="41">
        <v>0.127</v>
      </c>
      <c r="H29" s="42" t="e">
        <f>D29/C29/G29</f>
        <v>#DIV/0!</v>
      </c>
      <c r="I29" s="42">
        <f>E29/D29</f>
        <v>0.8349276974416018</v>
      </c>
      <c r="J29" s="42">
        <f>F29/D29</f>
        <v>0.5586206896551724</v>
      </c>
      <c r="K29" s="42">
        <f>(I29*$L$8+J29*$L$9)/($L$8+$L$9)</f>
        <v>0.7034617712491003</v>
      </c>
      <c r="N29" s="93" t="e">
        <f>H29*K29/(simDau!$H29*simDau!$K29)</f>
        <v>#DIV/0!</v>
      </c>
    </row>
    <row r="30" spans="2:11" ht="12.75">
      <c r="B30" s="43"/>
      <c r="I30" s="42">
        <f>SQRT(1/E29)*I29</f>
        <v>0.013628861750831238</v>
      </c>
      <c r="J30" s="42" t="e">
        <f>SQRT(1/F29+1/C29)*J29</f>
        <v>#DIV/0!</v>
      </c>
      <c r="K30" s="42" t="e">
        <f>($L$2*I30+$L$3*J30)/($L$2+$L$3)</f>
        <v>#DIV/0!</v>
      </c>
    </row>
    <row r="31" spans="2:14" ht="12.75">
      <c r="B31" s="43" t="s">
        <v>39</v>
      </c>
      <c r="C31" s="41">
        <v>0</v>
      </c>
      <c r="D31" s="41">
        <v>9180</v>
      </c>
      <c r="E31" s="41">
        <v>7626</v>
      </c>
      <c r="F31" s="41">
        <v>5161</v>
      </c>
      <c r="G31" s="41">
        <v>0.127</v>
      </c>
      <c r="H31" s="42" t="e">
        <f>D31/C31/G31</f>
        <v>#DIV/0!</v>
      </c>
      <c r="I31" s="42">
        <f>E31/D31</f>
        <v>0.8307189542483661</v>
      </c>
      <c r="J31" s="42">
        <f>F31/D31</f>
        <v>0.5622004357298475</v>
      </c>
      <c r="K31" s="42">
        <f>(I31*$L$8+J31*$L$9)/($L$8+$L$9)</f>
        <v>0.7029587645243282</v>
      </c>
      <c r="N31" s="93" t="e">
        <f>H31*K31/(simDau!$H31*simDau!$K31)</f>
        <v>#DIV/0!</v>
      </c>
    </row>
    <row r="32" spans="2:11" ht="12.75">
      <c r="B32" s="43"/>
      <c r="I32" s="42">
        <f>SQRT(1/E31)*I31</f>
        <v>0.009512742023799913</v>
      </c>
      <c r="J32" s="42" t="e">
        <f>SQRT(1/F31+1/C31)*J31</f>
        <v>#DIV/0!</v>
      </c>
      <c r="K32" s="42" t="e">
        <f>($L$2*I32+$L$3*J32)/($L$2+$L$3)</f>
        <v>#DIV/0!</v>
      </c>
    </row>
    <row r="33" spans="2:14" ht="12.75">
      <c r="B33" s="43" t="s">
        <v>40</v>
      </c>
      <c r="C33" s="41">
        <v>0</v>
      </c>
      <c r="D33" s="41">
        <v>5234</v>
      </c>
      <c r="E33" s="41">
        <v>4450</v>
      </c>
      <c r="F33" s="41">
        <v>3074</v>
      </c>
      <c r="G33" s="41">
        <v>0.127</v>
      </c>
      <c r="H33" s="42" t="e">
        <f>D33/C33/G33</f>
        <v>#DIV/0!</v>
      </c>
      <c r="I33" s="42">
        <f>E33/D33</f>
        <v>0.850210164310279</v>
      </c>
      <c r="J33" s="42">
        <f>F33/D33</f>
        <v>0.5873137179977073</v>
      </c>
      <c r="K33" s="42">
        <f>(I33*$L$8+J33*$L$9)/($L$8+$L$9)</f>
        <v>0.7251249372504064</v>
      </c>
      <c r="N33" s="93" t="e">
        <f>H33*K33/(simDau!$H33*simDau!$K33)</f>
        <v>#DIV/0!</v>
      </c>
    </row>
    <row r="34" spans="2:11" ht="12.75">
      <c r="B34" s="43"/>
      <c r="I34" s="42">
        <f>SQRT(1/E33)*I33</f>
        <v>0.012745189209138646</v>
      </c>
      <c r="J34" s="42" t="e">
        <f>SQRT(1/F33+1/C33)*J33</f>
        <v>#DIV/0!</v>
      </c>
      <c r="K34" s="42" t="e">
        <f>($L$2*I34+$L$3*J34)/($L$2+$L$3)</f>
        <v>#DIV/0!</v>
      </c>
    </row>
    <row r="35" spans="2:14" ht="12.75">
      <c r="B35" s="43" t="s">
        <v>41</v>
      </c>
      <c r="C35" s="41">
        <v>0</v>
      </c>
      <c r="D35" s="41">
        <v>1721</v>
      </c>
      <c r="E35" s="41">
        <v>1421</v>
      </c>
      <c r="F35" s="41">
        <v>1054</v>
      </c>
      <c r="G35" s="41">
        <v>0.127</v>
      </c>
      <c r="H35" s="42" t="e">
        <f>D35/C35/G35</f>
        <v>#DIV/0!</v>
      </c>
      <c r="I35" s="42">
        <f>E35/D35</f>
        <v>0.8256827425915165</v>
      </c>
      <c r="J35" s="42">
        <f>F35/D35</f>
        <v>0.6124346310284718</v>
      </c>
      <c r="K35" s="42">
        <f>(I35*$L$8+J35*$L$9)/($L$8+$L$9)</f>
        <v>0.7242200228435359</v>
      </c>
      <c r="N35" s="93" t="e">
        <f>H35*K35/(simDau!$H35*simDau!$K35)</f>
        <v>#DIV/0!</v>
      </c>
    </row>
    <row r="36" spans="2:11" ht="12.75">
      <c r="B36" s="43"/>
      <c r="H36" s="42"/>
      <c r="I36" s="42">
        <f>SQRT(1/E35)*I35</f>
        <v>0.02190363373035533</v>
      </c>
      <c r="J36" s="42" t="e">
        <f>SQRT(1/F35+1/C35)*J35</f>
        <v>#DIV/0!</v>
      </c>
      <c r="K36" s="42" t="e">
        <f>($L$2*I36+$L$3*J36)/($L$2+$L$3)</f>
        <v>#DIV/0!</v>
      </c>
    </row>
    <row r="37" spans="2:14" ht="12.75">
      <c r="B37" s="43" t="s">
        <v>42</v>
      </c>
      <c r="C37" s="41">
        <v>0</v>
      </c>
      <c r="D37" s="41">
        <v>389</v>
      </c>
      <c r="E37" s="41">
        <v>324</v>
      </c>
      <c r="F37" s="41">
        <v>217</v>
      </c>
      <c r="G37" s="41">
        <v>0.127</v>
      </c>
      <c r="H37" s="42" t="e">
        <f>D37/C37/G37</f>
        <v>#DIV/0!</v>
      </c>
      <c r="I37" s="42">
        <f>E37/D37</f>
        <v>0.8329048843187661</v>
      </c>
      <c r="J37" s="42">
        <f>F37/D37</f>
        <v>0.5578406169665809</v>
      </c>
      <c r="K37" s="42">
        <f>(I37*$L$8+J37*$L$9)/($L$8+$L$9)</f>
        <v>0.7020302497605726</v>
      </c>
      <c r="N37" s="93" t="e">
        <f>H37*K37/(simDau!$H37*simDau!$K37)</f>
        <v>#DIV/0!</v>
      </c>
    </row>
    <row r="38" spans="2:11" ht="12.75">
      <c r="B38" s="43"/>
      <c r="H38" s="42"/>
      <c r="I38" s="42">
        <f>SQRT(1/E37)*I37</f>
        <v>0.04627249357326478</v>
      </c>
      <c r="J38" s="42" t="e">
        <f>SQRT(1/F37+1/C37)*J37</f>
        <v>#DIV/0!</v>
      </c>
      <c r="K38" s="42" t="e">
        <f>($L$2*I38+$L$3*J38)/($L$2+$L$3)</f>
        <v>#DIV/0!</v>
      </c>
    </row>
    <row r="39" spans="1:11" ht="12.75">
      <c r="A39" s="40" t="s">
        <v>59</v>
      </c>
      <c r="B39" s="40" t="s">
        <v>37</v>
      </c>
      <c r="C39" s="40" t="s">
        <v>49</v>
      </c>
      <c r="D39" s="40" t="s">
        <v>50</v>
      </c>
      <c r="E39" s="40" t="s">
        <v>51</v>
      </c>
      <c r="F39" s="40" t="s">
        <v>52</v>
      </c>
      <c r="G39" s="40" t="s">
        <v>53</v>
      </c>
      <c r="H39" s="40" t="s">
        <v>54</v>
      </c>
      <c r="I39" s="40" t="s">
        <v>55</v>
      </c>
      <c r="J39" s="40" t="s">
        <v>56</v>
      </c>
      <c r="K39" s="40" t="s">
        <v>57</v>
      </c>
    </row>
    <row r="42" spans="1:11" ht="12.75">
      <c r="A42" s="40" t="s">
        <v>59</v>
      </c>
      <c r="B42" s="40" t="s">
        <v>62</v>
      </c>
      <c r="C42" s="40" t="s">
        <v>49</v>
      </c>
      <c r="D42" s="40" t="s">
        <v>50</v>
      </c>
      <c r="E42" s="40" t="s">
        <v>51</v>
      </c>
      <c r="F42" s="40" t="s">
        <v>52</v>
      </c>
      <c r="G42" s="40" t="s">
        <v>53</v>
      </c>
      <c r="H42" s="40" t="s">
        <v>54</v>
      </c>
      <c r="I42" s="40" t="s">
        <v>55</v>
      </c>
      <c r="J42" s="40" t="s">
        <v>56</v>
      </c>
      <c r="K42" s="40" t="s">
        <v>57</v>
      </c>
    </row>
    <row r="43" spans="1:11" ht="12.75">
      <c r="A43" s="41" t="s">
        <v>60</v>
      </c>
      <c r="B43" s="43" t="s">
        <v>63</v>
      </c>
      <c r="C43" s="41">
        <v>0</v>
      </c>
      <c r="D43" s="41">
        <v>1225</v>
      </c>
      <c r="E43" s="41">
        <v>1017</v>
      </c>
      <c r="F43" s="41">
        <v>1261</v>
      </c>
      <c r="G43" s="41">
        <v>0.128</v>
      </c>
      <c r="H43" s="42" t="e">
        <f>D43/C43/G43</f>
        <v>#DIV/0!</v>
      </c>
      <c r="I43" s="42">
        <f>E43/D43</f>
        <v>0.830204081632653</v>
      </c>
      <c r="J43" s="42">
        <f>F43/D43</f>
        <v>1.0293877551020407</v>
      </c>
      <c r="K43" s="42">
        <f>(I43*$L$2+J43*$L$3)/($L$2+$L$3)</f>
        <v>0.9159617068645638</v>
      </c>
    </row>
    <row r="44" spans="2:11" ht="12.75">
      <c r="B44" s="43"/>
      <c r="I44" s="42">
        <f>SQRT(1/E43)*I43</f>
        <v>0.026033010153635877</v>
      </c>
      <c r="J44" s="42" t="e">
        <f>SQRT(1/F43+1/C43)*J43</f>
        <v>#DIV/0!</v>
      </c>
      <c r="K44" s="42" t="e">
        <f>($L$2*I44+$L$3*J44)/($L$2+$L$3)</f>
        <v>#DIV/0!</v>
      </c>
    </row>
    <row r="45" spans="2:11" ht="12.75">
      <c r="B45" s="43" t="s">
        <v>64</v>
      </c>
      <c r="C45" s="41">
        <v>0</v>
      </c>
      <c r="D45" s="41">
        <v>2355</v>
      </c>
      <c r="E45" s="41">
        <v>1945</v>
      </c>
      <c r="F45" s="41">
        <v>1931</v>
      </c>
      <c r="G45" s="41">
        <v>0.128</v>
      </c>
      <c r="H45" s="42" t="e">
        <f>D45/C45/G45</f>
        <v>#DIV/0!</v>
      </c>
      <c r="I45" s="42">
        <f>E45/D45</f>
        <v>0.8259023354564756</v>
      </c>
      <c r="J45" s="42">
        <f>F45/D45</f>
        <v>0.8199575371549894</v>
      </c>
      <c r="K45" s="42">
        <f>(I45*$L$2+J45*$L$3)/($L$2+$L$3)</f>
        <v>0.8233428295695813</v>
      </c>
    </row>
    <row r="46" spans="2:11" ht="12.75">
      <c r="B46" s="43"/>
      <c r="I46" s="42">
        <f>SQRT(1/E45)*I45</f>
        <v>0.018727029359830106</v>
      </c>
      <c r="J46" s="42" t="e">
        <f>SQRT(1/F45+1/C45)*J45</f>
        <v>#DIV/0!</v>
      </c>
      <c r="K46" s="42" t="e">
        <f>($L$2*I46+$L$3*J46)/($L$2+$L$3)</f>
        <v>#DIV/0!</v>
      </c>
    </row>
    <row r="47" spans="2:11" ht="12.75">
      <c r="B47" s="43" t="s">
        <v>65</v>
      </c>
      <c r="C47" s="41">
        <v>0</v>
      </c>
      <c r="D47" s="41">
        <v>2330</v>
      </c>
      <c r="E47" s="41">
        <v>1914</v>
      </c>
      <c r="F47" s="41">
        <v>742</v>
      </c>
      <c r="G47" s="41">
        <v>0.128</v>
      </c>
      <c r="H47" s="42" t="e">
        <f>D47/C47/G47</f>
        <v>#DIV/0!</v>
      </c>
      <c r="I47" s="42">
        <f>E47/D47</f>
        <v>0.8214592274678112</v>
      </c>
      <c r="J47" s="42">
        <f>F47/D47</f>
        <v>0.3184549356223176</v>
      </c>
      <c r="K47" s="42">
        <f>(I47*$L$2+J47*$L$3)/($L$2+$L$3)</f>
        <v>0.6048930159968786</v>
      </c>
    </row>
    <row r="48" spans="2:11" ht="12.75">
      <c r="B48" s="43"/>
      <c r="I48" s="42">
        <f>SQRT(1/E47)*I47</f>
        <v>0.018776517471439793</v>
      </c>
      <c r="J48" s="42" t="e">
        <f>SQRT(1/F47+1/C47)*J47</f>
        <v>#DIV/0!</v>
      </c>
      <c r="K48" s="42" t="e">
        <f>($L$2*I48+$L$3*J48)/($L$2+$L$3)</f>
        <v>#DIV/0!</v>
      </c>
    </row>
    <row r="49" spans="2:11" ht="12.75">
      <c r="B49" s="43" t="s">
        <v>66</v>
      </c>
      <c r="C49" s="41">
        <v>0</v>
      </c>
      <c r="D49" s="41">
        <v>1076</v>
      </c>
      <c r="E49" s="41">
        <v>908</v>
      </c>
      <c r="F49" s="41">
        <v>185</v>
      </c>
      <c r="G49" s="41">
        <v>0.128</v>
      </c>
      <c r="H49" s="42" t="e">
        <f>D49/C49/G49</f>
        <v>#DIV/0!</v>
      </c>
      <c r="I49" s="42">
        <f>E49/D49</f>
        <v>0.8438661710037175</v>
      </c>
      <c r="J49" s="42">
        <f>F49/D49</f>
        <v>0.17193308550185873</v>
      </c>
      <c r="K49" s="42">
        <f>(I49*$L$2+J49*$L$3)/($L$2+$L$3)</f>
        <v>0.5545684352821899</v>
      </c>
    </row>
    <row r="50" spans="9:11" ht="12.75">
      <c r="I50" s="42">
        <f>SQRT(1/E49)*I49</f>
        <v>0.028004682478288783</v>
      </c>
      <c r="J50" s="42" t="e">
        <f>SQRT(1/F49+1/C49)*J49</f>
        <v>#DIV/0!</v>
      </c>
      <c r="K50" s="42" t="e">
        <f>($L$2*I50+$L$3*J50)/($L$2+$L$3)</f>
        <v>#DIV/0!</v>
      </c>
    </row>
    <row r="51" spans="1:11" ht="12.75">
      <c r="A51" s="41" t="s">
        <v>61</v>
      </c>
      <c r="B51" s="43" t="s">
        <v>63</v>
      </c>
      <c r="C51" s="41">
        <v>0</v>
      </c>
      <c r="D51" s="41">
        <v>1762</v>
      </c>
      <c r="E51" s="41">
        <v>1529</v>
      </c>
      <c r="F51" s="41">
        <v>2317</v>
      </c>
      <c r="G51" s="41">
        <v>0.127</v>
      </c>
      <c r="H51" s="42" t="e">
        <f>D51/C51/G51</f>
        <v>#DIV/0!</v>
      </c>
      <c r="I51" s="42">
        <f>E51/D51</f>
        <v>0.8677639046538025</v>
      </c>
      <c r="J51" s="42">
        <f>F51/D51</f>
        <v>1.314982973893303</v>
      </c>
      <c r="K51" s="42">
        <f>(I51*$L$8+J51*$L$9)/($L$8+$L$9)</f>
        <v>1.080549203222719</v>
      </c>
    </row>
    <row r="52" spans="2:11" ht="12.75">
      <c r="B52" s="43"/>
      <c r="I52" s="42">
        <f>SQRT(1/E51)*I51</f>
        <v>0.022192071278112544</v>
      </c>
      <c r="J52" s="42" t="e">
        <f>SQRT(1/F51+1/C51)*J51</f>
        <v>#DIV/0!</v>
      </c>
      <c r="K52" s="42" t="e">
        <f>($L$2*I52+$L$3*J52)/($L$2+$L$3)</f>
        <v>#DIV/0!</v>
      </c>
    </row>
    <row r="53" spans="2:11" ht="12.75">
      <c r="B53" s="43" t="s">
        <v>64</v>
      </c>
      <c r="C53" s="41">
        <v>0</v>
      </c>
      <c r="D53" s="41">
        <v>3288</v>
      </c>
      <c r="E53" s="41">
        <v>2888</v>
      </c>
      <c r="F53" s="41">
        <v>3608</v>
      </c>
      <c r="G53" s="41">
        <v>0.127</v>
      </c>
      <c r="H53" s="42" t="e">
        <f>D53/C53/G53</f>
        <v>#DIV/0!</v>
      </c>
      <c r="I53" s="42">
        <f>E53/D53</f>
        <v>0.878345498783455</v>
      </c>
      <c r="J53" s="42">
        <f>F53/D53</f>
        <v>1.0973236009732361</v>
      </c>
      <c r="K53" s="42">
        <f>(I53*$L$8+J53*$L$9)/($L$8+$L$9)</f>
        <v>0.9825345284099041</v>
      </c>
    </row>
    <row r="54" spans="2:11" ht="12.75">
      <c r="B54" s="43"/>
      <c r="I54" s="42">
        <f>SQRT(1/E53)*I53</f>
        <v>0.016344317326696355</v>
      </c>
      <c r="J54" s="42" t="e">
        <f>SQRT(1/F53+1/C53)*J53</f>
        <v>#DIV/0!</v>
      </c>
      <c r="K54" s="42" t="e">
        <f>($L$2*I54+$L$3*J54)/($L$2+$L$3)</f>
        <v>#DIV/0!</v>
      </c>
    </row>
    <row r="55" spans="2:11" ht="12.75">
      <c r="B55" s="43" t="s">
        <v>65</v>
      </c>
      <c r="C55" s="41">
        <v>0</v>
      </c>
      <c r="D55" s="41">
        <v>3351</v>
      </c>
      <c r="E55" s="41">
        <v>2965</v>
      </c>
      <c r="F55" s="41">
        <v>1457</v>
      </c>
      <c r="G55" s="41">
        <v>0.127</v>
      </c>
      <c r="H55" s="42" t="e">
        <f>D55/C55/G55</f>
        <v>#DIV/0!</v>
      </c>
      <c r="I55" s="42">
        <f>E55/D55</f>
        <v>0.8848105043270665</v>
      </c>
      <c r="J55" s="42">
        <f>F55/D55</f>
        <v>0.43479558340793795</v>
      </c>
      <c r="K55" s="42">
        <f>(I55*$L$8+J55*$L$9)/($L$8+$L$9)</f>
        <v>0.6706949491225914</v>
      </c>
    </row>
    <row r="56" spans="2:11" ht="12.75">
      <c r="B56" s="43"/>
      <c r="I56" s="42">
        <f>SQRT(1/E55)*I55</f>
        <v>0.016249422130781236</v>
      </c>
      <c r="J56" s="42" t="e">
        <f>SQRT(1/F55+1/C55)*J55</f>
        <v>#DIV/0!</v>
      </c>
      <c r="K56" s="42" t="e">
        <f>($L$2*I56+$L$3*J56)/($L$2+$L$3)</f>
        <v>#DIV/0!</v>
      </c>
    </row>
    <row r="57" spans="2:11" ht="12.75">
      <c r="B57" s="43" t="s">
        <v>66</v>
      </c>
      <c r="C57" s="41">
        <v>0</v>
      </c>
      <c r="D57" s="41">
        <v>1878</v>
      </c>
      <c r="E57" s="41">
        <v>1632</v>
      </c>
      <c r="F57" s="41">
        <v>311</v>
      </c>
      <c r="G57" s="41">
        <v>0.127</v>
      </c>
      <c r="H57" s="42" t="e">
        <f>D57/C57/G57</f>
        <v>#DIV/0!</v>
      </c>
      <c r="I57" s="42">
        <f>E57/D57</f>
        <v>0.8690095846645367</v>
      </c>
      <c r="J57" s="42">
        <f>F57/D57</f>
        <v>0.16560170394036208</v>
      </c>
      <c r="K57" s="42">
        <f>(I57*$L$8+J57*$L$9)/($L$8+$L$9)</f>
        <v>0.5343305286704672</v>
      </c>
    </row>
    <row r="58" spans="8:11" ht="12.75">
      <c r="H58" s="42"/>
      <c r="I58" s="42">
        <f>SQRT(1/E57)*I57</f>
        <v>0.02151119262696928</v>
      </c>
      <c r="J58" s="42" t="e">
        <f>SQRT(1/F57+1/C57)*J57</f>
        <v>#DIV/0!</v>
      </c>
      <c r="K58" s="42" t="e">
        <f>($L$2*I58+$L$3*J58)/($L$2+$L$3)</f>
        <v>#DIV/0!</v>
      </c>
    </row>
    <row r="59" spans="1:11" ht="12.75">
      <c r="A59" s="40" t="s">
        <v>59</v>
      </c>
      <c r="B59" s="40" t="s">
        <v>62</v>
      </c>
      <c r="C59" s="40" t="s">
        <v>49</v>
      </c>
      <c r="D59" s="40" t="s">
        <v>50</v>
      </c>
      <c r="E59" s="40" t="s">
        <v>51</v>
      </c>
      <c r="F59" s="40" t="s">
        <v>52</v>
      </c>
      <c r="G59" s="40" t="s">
        <v>53</v>
      </c>
      <c r="H59" s="40" t="s">
        <v>54</v>
      </c>
      <c r="I59" s="40" t="s">
        <v>55</v>
      </c>
      <c r="J59" s="40" t="s">
        <v>56</v>
      </c>
      <c r="K59" s="40" t="s">
        <v>57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D7" sqref="D7"/>
    </sheetView>
  </sheetViews>
  <sheetFormatPr defaultColWidth="9.140625" defaultRowHeight="12.75"/>
  <cols>
    <col min="1" max="16384" width="9.140625" style="41" customWidth="1"/>
  </cols>
  <sheetData>
    <row r="1" spans="1:12" ht="12.75">
      <c r="A1" s="40" t="s">
        <v>47</v>
      </c>
      <c r="B1" s="40" t="s">
        <v>48</v>
      </c>
      <c r="C1" s="40" t="s">
        <v>49</v>
      </c>
      <c r="D1" s="40" t="s">
        <v>50</v>
      </c>
      <c r="E1" s="40" t="s">
        <v>51</v>
      </c>
      <c r="F1" s="40" t="s">
        <v>52</v>
      </c>
      <c r="G1" s="40" t="s">
        <v>53</v>
      </c>
      <c r="H1" s="40" t="s">
        <v>54</v>
      </c>
      <c r="I1" s="40" t="s">
        <v>55</v>
      </c>
      <c r="J1" s="40"/>
      <c r="K1" s="40" t="s">
        <v>288</v>
      </c>
      <c r="L1" s="40"/>
    </row>
    <row r="2" spans="1:12" ht="12.75">
      <c r="A2" s="41">
        <v>-2.2</v>
      </c>
      <c r="B2" s="41">
        <v>-1.2</v>
      </c>
      <c r="C2" s="41">
        <v>224854</v>
      </c>
      <c r="D2" s="41">
        <v>15807</v>
      </c>
      <c r="E2" s="41">
        <v>8491</v>
      </c>
      <c r="G2" s="41">
        <v>0.128</v>
      </c>
      <c r="H2" s="42">
        <f>D2/C2/G2</f>
        <v>0.5492105432858655</v>
      </c>
      <c r="I2" s="42">
        <f>E2/D2</f>
        <v>0.53716707787689</v>
      </c>
      <c r="J2" s="42"/>
      <c r="K2" s="42">
        <f>(H2*I2)/(simPp!H2*simPp!I2)</f>
        <v>1.019989033314974</v>
      </c>
      <c r="L2" s="42"/>
    </row>
    <row r="3" spans="8:11" ht="12.75">
      <c r="H3" s="42"/>
      <c r="I3" s="42">
        <f>SQRT(1/E2)*I2</f>
        <v>0.00582948202017791</v>
      </c>
      <c r="J3" s="42"/>
      <c r="K3" s="42">
        <f>SQRT((I3/I2)^2+(simPp!I3/simPp!I2)^2)*K2</f>
        <v>0.015080968336792677</v>
      </c>
    </row>
    <row r="4" spans="1:12" ht="12.75">
      <c r="A4" s="41">
        <v>-2.2</v>
      </c>
      <c r="B4" s="41">
        <v>-1.7</v>
      </c>
      <c r="C4" s="41">
        <v>98290</v>
      </c>
      <c r="D4" s="41">
        <v>7587</v>
      </c>
      <c r="E4" s="41">
        <v>4168</v>
      </c>
      <c r="G4" s="41">
        <f>G2</f>
        <v>0.128</v>
      </c>
      <c r="H4" s="42">
        <f>D4/C4/G4</f>
        <v>0.6030464696306846</v>
      </c>
      <c r="I4" s="42">
        <f>E4/D4</f>
        <v>0.5493607486490049</v>
      </c>
      <c r="J4" s="42"/>
      <c r="K4" s="42">
        <f>(H4*I4)/(simPp!H4*simPp!I4)</f>
        <v>1.053387232830188</v>
      </c>
      <c r="L4" s="42"/>
    </row>
    <row r="5" spans="8:11" ht="12.75">
      <c r="H5" s="42"/>
      <c r="I5" s="42">
        <f>SQRT(1/E4)*I4</f>
        <v>0.008509298743413192</v>
      </c>
      <c r="J5" s="42"/>
      <c r="K5" s="42">
        <f>SQRT((I5/I4)^2+(simPp!I5/simPp!I4)^2)*K4</f>
        <v>0.022392283369114852</v>
      </c>
    </row>
    <row r="6" spans="1:12" ht="12.75">
      <c r="A6" s="41">
        <v>-1.7</v>
      </c>
      <c r="B6" s="41">
        <v>-1.2</v>
      </c>
      <c r="C6" s="41">
        <v>126564</v>
      </c>
      <c r="D6" s="41">
        <v>8221</v>
      </c>
      <c r="E6" s="41">
        <v>4324</v>
      </c>
      <c r="G6" s="41">
        <f>G2</f>
        <v>0.128</v>
      </c>
      <c r="H6" s="42">
        <f>D6/C6/G6</f>
        <v>0.5074631214247337</v>
      </c>
      <c r="I6" s="42">
        <f>E6/D6</f>
        <v>0.525970076633013</v>
      </c>
      <c r="J6" s="42"/>
      <c r="K6" s="42">
        <f>(H6*I6)/(simPp!H6*simPp!I6)</f>
        <v>0.990081473939101</v>
      </c>
      <c r="L6" s="42"/>
    </row>
    <row r="7" spans="8:11" ht="12.75">
      <c r="H7" s="42"/>
      <c r="I7" s="42">
        <f>SQRT(1/E6)*I6</f>
        <v>0.007998677641539276</v>
      </c>
      <c r="J7" s="42"/>
      <c r="K7" s="42">
        <f>SQRT((I7/I6)^2+(simPp!I7/simPp!I6)^2)*K6</f>
        <v>0.020377695812205006</v>
      </c>
    </row>
    <row r="8" spans="1:12" ht="12.75">
      <c r="A8" s="41">
        <v>1.2</v>
      </c>
      <c r="B8" s="41">
        <v>2.4</v>
      </c>
      <c r="C8" s="41">
        <v>254962</v>
      </c>
      <c r="D8" s="41">
        <v>25900</v>
      </c>
      <c r="E8" s="41">
        <v>20232</v>
      </c>
      <c r="G8" s="41">
        <v>0.127</v>
      </c>
      <c r="H8" s="42">
        <f>D8/C8/G8</f>
        <v>0.7998721686918668</v>
      </c>
      <c r="I8" s="42">
        <f>E8/D8</f>
        <v>0.7811583011583012</v>
      </c>
      <c r="J8" s="42"/>
      <c r="K8" s="42">
        <f>(H8*I8)/(simPp!H8*simPp!I8)</f>
        <v>0.9986781378852493</v>
      </c>
      <c r="L8" s="42"/>
    </row>
    <row r="9" spans="8:11" ht="12.75">
      <c r="H9" s="42"/>
      <c r="I9" s="42">
        <f>SQRT(1/E8)*I8</f>
        <v>0.005491862358824571</v>
      </c>
      <c r="J9" s="42"/>
      <c r="K9" s="42">
        <f>SQRT((I9/I8)^2+(simPp!I9/simPp!I8)^2)*K8</f>
        <v>0.009519194652122944</v>
      </c>
    </row>
    <row r="10" spans="1:12" ht="12.75">
      <c r="A10" s="41">
        <v>1.2</v>
      </c>
      <c r="B10" s="41">
        <v>1.7</v>
      </c>
      <c r="C10" s="41">
        <v>126544</v>
      </c>
      <c r="D10" s="41">
        <v>11915</v>
      </c>
      <c r="E10" s="41">
        <v>9200</v>
      </c>
      <c r="G10" s="41">
        <f>G8</f>
        <v>0.127</v>
      </c>
      <c r="H10" s="42">
        <f>D10/C10/G10</f>
        <v>0.7413934887295744</v>
      </c>
      <c r="I10" s="42">
        <f>E10/D10</f>
        <v>0.7721359630717582</v>
      </c>
      <c r="J10" s="42"/>
      <c r="K10" s="42">
        <f>(H10*I10)/(simPp!H10*simPp!I10)</f>
        <v>1.0249891746871362</v>
      </c>
      <c r="L10" s="42"/>
    </row>
    <row r="11" spans="8:11" ht="12.75">
      <c r="H11" s="42"/>
      <c r="I11" s="42">
        <f>SQRT(1/E10)*I10</f>
        <v>0.008050073895615139</v>
      </c>
      <c r="J11" s="42"/>
      <c r="K11" s="42">
        <f>SQRT((I11/I10)^2+(simPp!I11/simPp!I10)^2)*K10</f>
        <v>0.014576521715193027</v>
      </c>
    </row>
    <row r="12" spans="1:12" ht="12.75">
      <c r="A12" s="41">
        <v>1.7</v>
      </c>
      <c r="B12" s="41">
        <v>2.4</v>
      </c>
      <c r="C12" s="41">
        <v>128418</v>
      </c>
      <c r="D12" s="41">
        <v>13985</v>
      </c>
      <c r="E12" s="41">
        <v>11032</v>
      </c>
      <c r="G12" s="41">
        <f>G8</f>
        <v>0.127</v>
      </c>
      <c r="H12" s="42">
        <f>D12/C12/G12</f>
        <v>0.8574974710416022</v>
      </c>
      <c r="I12" s="42">
        <f>E12/D12</f>
        <v>0.7888451912763675</v>
      </c>
      <c r="J12" s="42"/>
      <c r="K12" s="42">
        <f>(H12*I12)/(simPp!H12*simPp!I12)</f>
        <v>0.9778240913130491</v>
      </c>
      <c r="L12" s="42"/>
    </row>
    <row r="13" spans="8:11" ht="12.75">
      <c r="H13" s="42"/>
      <c r="I13" s="42">
        <f>SQRT(1/E12)*I12</f>
        <v>0.007510427461137437</v>
      </c>
      <c r="J13" s="42"/>
      <c r="K13" s="42">
        <f>SQRT((I13/I12)^2+(simPp!I13/simPp!I12)^2)*K12</f>
        <v>0.012560602242778086</v>
      </c>
    </row>
    <row r="14" spans="1:10" ht="12.75">
      <c r="A14" s="40" t="s">
        <v>47</v>
      </c>
      <c r="B14" s="40" t="s">
        <v>48</v>
      </c>
      <c r="C14" s="40" t="s">
        <v>49</v>
      </c>
      <c r="D14" s="40" t="s">
        <v>50</v>
      </c>
      <c r="E14" s="40" t="s">
        <v>51</v>
      </c>
      <c r="F14" s="40" t="s">
        <v>52</v>
      </c>
      <c r="G14" s="40" t="s">
        <v>53</v>
      </c>
      <c r="H14" s="40" t="s">
        <v>54</v>
      </c>
      <c r="I14" s="40" t="s">
        <v>55</v>
      </c>
      <c r="J14" s="155"/>
    </row>
    <row r="15" ht="12.75">
      <c r="A15" s="180">
        <v>38266</v>
      </c>
    </row>
    <row r="16" ht="12.75">
      <c r="A16" s="101" t="s">
        <v>249</v>
      </c>
    </row>
    <row r="17" spans="1:9" ht="12.75">
      <c r="A17" s="40" t="s">
        <v>59</v>
      </c>
      <c r="B17" s="40" t="s">
        <v>37</v>
      </c>
      <c r="C17" s="40" t="s">
        <v>49</v>
      </c>
      <c r="D17" s="40" t="s">
        <v>50</v>
      </c>
      <c r="E17" s="40" t="s">
        <v>51</v>
      </c>
      <c r="G17" s="40" t="s">
        <v>53</v>
      </c>
      <c r="H17" s="40" t="s">
        <v>54</v>
      </c>
      <c r="I17" s="40" t="s">
        <v>55</v>
      </c>
    </row>
    <row r="18" spans="1:12" ht="12.75">
      <c r="A18" s="41" t="s">
        <v>60</v>
      </c>
      <c r="B18" s="43" t="s">
        <v>38</v>
      </c>
      <c r="C18" s="41">
        <v>65050</v>
      </c>
      <c r="D18" s="41">
        <v>4730</v>
      </c>
      <c r="E18" s="41">
        <v>2760</v>
      </c>
      <c r="G18" s="41">
        <v>0.128</v>
      </c>
      <c r="H18" s="42">
        <f>D18/C18/G18</f>
        <v>0.5680726364335126</v>
      </c>
      <c r="I18" s="42">
        <f>E18/D18</f>
        <v>0.5835095137420718</v>
      </c>
      <c r="K18" s="42">
        <f>(H18*I18)/(simPp!H18*simPp!I18)</f>
        <v>1.0207607236683605</v>
      </c>
      <c r="L18" s="42"/>
    </row>
    <row r="19" spans="2:11" ht="12.75">
      <c r="B19" s="43"/>
      <c r="I19" s="42">
        <f>SQRT(1/E18)*I18</f>
        <v>0.011106913772992555</v>
      </c>
      <c r="K19" s="42">
        <f>SQRT((I19/I18)^2+(simPp!I19/simPp!I18)^2)*K18</f>
        <v>0.02648601889026215</v>
      </c>
    </row>
    <row r="20" spans="2:12" ht="12.75">
      <c r="B20" s="43" t="s">
        <v>39</v>
      </c>
      <c r="C20" s="41">
        <v>104659</v>
      </c>
      <c r="D20" s="41">
        <v>6978</v>
      </c>
      <c r="E20" s="41">
        <v>3946</v>
      </c>
      <c r="G20" s="41">
        <v>0.128</v>
      </c>
      <c r="H20" s="42">
        <f>D20/C20/G20</f>
        <v>0.5208880746041907</v>
      </c>
      <c r="I20" s="42">
        <f>E20/D20</f>
        <v>0.5654915448552594</v>
      </c>
      <c r="K20" s="42">
        <f>(H20*I20)/(simPp!H20*simPp!I20)</f>
        <v>1.0212183360716818</v>
      </c>
      <c r="L20" s="42"/>
    </row>
    <row r="21" spans="2:11" ht="12.75">
      <c r="B21" s="43"/>
      <c r="I21" s="42">
        <f>SQRT(1/E20)*I20</f>
        <v>0.009002177572106283</v>
      </c>
      <c r="K21" s="42">
        <f>SQRT((I21/I20)^2+(simPp!I21/simPp!I20)^2)*K20</f>
        <v>0.022154168953283964</v>
      </c>
    </row>
    <row r="22" spans="2:12" ht="12.75">
      <c r="B22" s="43" t="s">
        <v>40</v>
      </c>
      <c r="C22" s="41">
        <v>45136</v>
      </c>
      <c r="D22" s="41">
        <v>2523</v>
      </c>
      <c r="E22" s="41">
        <v>1425</v>
      </c>
      <c r="G22" s="41">
        <v>0.128</v>
      </c>
      <c r="H22" s="42">
        <f>D22/C22/G22</f>
        <v>0.4367010257887274</v>
      </c>
      <c r="I22" s="42">
        <f>E22/D22</f>
        <v>0.5648038049940547</v>
      </c>
      <c r="K22" s="42">
        <f>(H22*I22)/(simPp!H22*simPp!I22)</f>
        <v>0.9951341204164744</v>
      </c>
      <c r="L22" s="42"/>
    </row>
    <row r="23" spans="2:11" ht="12.75">
      <c r="B23" s="43"/>
      <c r="I23" s="42">
        <f>SQRT(1/E22)*I22</f>
        <v>0.014962018302161612</v>
      </c>
      <c r="K23" s="42">
        <f>SQRT((I23/I22)^2+(simPp!I23/simPp!I22)^2)*K22</f>
        <v>0.035848343688556605</v>
      </c>
    </row>
    <row r="24" spans="2:12" ht="12.75">
      <c r="B24" s="43" t="s">
        <v>41</v>
      </c>
      <c r="C24" s="41">
        <v>8667</v>
      </c>
      <c r="D24" s="41">
        <v>530</v>
      </c>
      <c r="E24" s="41">
        <v>297</v>
      </c>
      <c r="G24" s="41">
        <v>0.128</v>
      </c>
      <c r="H24" s="42">
        <f>D24/C24/G24</f>
        <v>0.47774604822891426</v>
      </c>
      <c r="I24" s="42">
        <f>E24/D24</f>
        <v>0.560377358490566</v>
      </c>
      <c r="K24" s="42">
        <f>(H24*I24)/(simPp!H24*simPp!I24)</f>
        <v>1.0165818273227574</v>
      </c>
      <c r="L24" s="42"/>
    </row>
    <row r="25" spans="9:11" ht="12.75">
      <c r="I25" s="42">
        <f>SQRT(1/E24)*I24</f>
        <v>0.0325163923388945</v>
      </c>
      <c r="K25" s="42">
        <f>SQRT((I25/I24)^2+(simPp!I25/simPp!I24)^2)*K24</f>
        <v>0.08036044139032478</v>
      </c>
    </row>
    <row r="26" spans="2:12" ht="12.75">
      <c r="B26" s="43" t="s">
        <v>42</v>
      </c>
      <c r="C26" s="41">
        <v>1094</v>
      </c>
      <c r="D26" s="41">
        <v>79</v>
      </c>
      <c r="E26" s="41">
        <v>45</v>
      </c>
      <c r="G26" s="41">
        <v>0.128</v>
      </c>
      <c r="H26" s="42">
        <f>D26/C26/G26</f>
        <v>0.56415676416819</v>
      </c>
      <c r="I26" s="42">
        <f>E26/D26</f>
        <v>0.569620253164557</v>
      </c>
      <c r="K26" s="42">
        <f>(H26*I26)/(simPp!H26*simPp!I26)</f>
        <v>1.038619744058501</v>
      </c>
      <c r="L26" s="42"/>
    </row>
    <row r="27" spans="9:11" ht="12.75">
      <c r="I27" s="42">
        <f>SQRT(1/E26)*I26</f>
        <v>0.08491397382910594</v>
      </c>
      <c r="K27" s="42">
        <f>SQRT((I27/I26)^2+(simPp!I27/simPp!I26)^2)*K26</f>
        <v>0.211463060115487</v>
      </c>
    </row>
    <row r="28" spans="1:12" ht="12.75">
      <c r="A28" s="41" t="s">
        <v>61</v>
      </c>
      <c r="B28" s="43" t="s">
        <v>38</v>
      </c>
      <c r="C28" s="41">
        <v>74068</v>
      </c>
      <c r="D28" s="41">
        <v>7741</v>
      </c>
      <c r="E28" s="41">
        <v>6486</v>
      </c>
      <c r="G28" s="41">
        <v>0.127</v>
      </c>
      <c r="H28" s="42">
        <f>D28/C28/G28</f>
        <v>0.8229296849585761</v>
      </c>
      <c r="I28" s="42">
        <f>E28/D28</f>
        <v>0.8378762433794084</v>
      </c>
      <c r="K28" s="42">
        <f>(H28*I28)/(simPp!H28*simPp!I28)</f>
        <v>0.9971713719184769</v>
      </c>
      <c r="L28" s="42"/>
    </row>
    <row r="29" spans="2:11" ht="12.75">
      <c r="B29" s="43"/>
      <c r="I29" s="42">
        <f>SQRT(1/E28)*I28</f>
        <v>0.01040378586317059</v>
      </c>
      <c r="K29" s="42">
        <f>SQRT((I29/I28)^2+(simPp!I29/simPp!I28)^2)*K28</f>
        <v>0.01677632917216039</v>
      </c>
    </row>
    <row r="30" spans="2:12" ht="12.75">
      <c r="B30" s="43" t="s">
        <v>39</v>
      </c>
      <c r="C30" s="41">
        <v>118837</v>
      </c>
      <c r="D30" s="41">
        <v>11440</v>
      </c>
      <c r="E30" s="41">
        <v>9473</v>
      </c>
      <c r="G30" s="41">
        <v>0.127</v>
      </c>
      <c r="H30" s="42">
        <f>D30/C30/G30</f>
        <v>0.7580024753021392</v>
      </c>
      <c r="I30" s="42">
        <f>E30/D30</f>
        <v>0.8280594405594406</v>
      </c>
      <c r="K30" s="42">
        <f>(H30*I30)/(simPp!H30*simPp!I30)</f>
        <v>0.9967412721354709</v>
      </c>
      <c r="L30" s="42"/>
    </row>
    <row r="31" spans="2:11" ht="12.75">
      <c r="B31" s="43"/>
      <c r="I31" s="42">
        <f>SQRT(1/E30)*I30</f>
        <v>0.008507809249784596</v>
      </c>
      <c r="K31" s="42">
        <f>SQRT((I31/I30)^2+(simPp!I31/simPp!I30)^2)*K30</f>
        <v>0.01387978619035945</v>
      </c>
    </row>
    <row r="32" spans="2:12" ht="12.75">
      <c r="B32" s="43" t="s">
        <v>40</v>
      </c>
      <c r="C32" s="41">
        <v>51257</v>
      </c>
      <c r="D32" s="41">
        <v>4110</v>
      </c>
      <c r="E32" s="41">
        <v>3440</v>
      </c>
      <c r="G32" s="41">
        <v>0.127</v>
      </c>
      <c r="H32" s="42">
        <f>D32/C32/G32</f>
        <v>0.6313714170632195</v>
      </c>
      <c r="I32" s="42">
        <f>E32/D32</f>
        <v>0.8369829683698297</v>
      </c>
      <c r="K32" s="42">
        <f>(H32*I32)/(simPp!H32*simPp!I32)</f>
        <v>1.0015216718032935</v>
      </c>
      <c r="L32" s="42"/>
    </row>
    <row r="33" spans="2:11" ht="12.75">
      <c r="B33" s="43"/>
      <c r="I33" s="42">
        <f>SQRT(1/E32)*I32</f>
        <v>0.014270441166535454</v>
      </c>
      <c r="K33" s="42">
        <f>SQRT((I33/I32)^2+(simPp!I33/simPp!I32)^2)*K32</f>
        <v>0.02317081039258541</v>
      </c>
    </row>
    <row r="34" spans="2:12" ht="12.75">
      <c r="B34" s="43" t="s">
        <v>41</v>
      </c>
      <c r="C34" s="41">
        <v>9454</v>
      </c>
      <c r="D34" s="41">
        <v>840</v>
      </c>
      <c r="E34" s="41">
        <v>720</v>
      </c>
      <c r="G34" s="41">
        <v>0.127</v>
      </c>
      <c r="H34" s="42">
        <f>D34/C34/G34</f>
        <v>0.6996163770199341</v>
      </c>
      <c r="I34" s="42">
        <f>E34/D34</f>
        <v>0.8571428571428571</v>
      </c>
      <c r="K34" s="42">
        <f>(H34*I34)/(simPp!H34*simPp!I34)</f>
        <v>1.0185148239800585</v>
      </c>
      <c r="L34" s="42"/>
    </row>
    <row r="35" spans="2:11" ht="12.75">
      <c r="B35" s="43"/>
      <c r="H35" s="42"/>
      <c r="I35" s="42">
        <f>SQRT(1/E34)*I34</f>
        <v>0.031943828249996996</v>
      </c>
      <c r="K35" s="42">
        <f>SQRT((I35/I34)^2+(simPp!I35/simPp!I34)^2)*K34</f>
        <v>0.05168527219785863</v>
      </c>
    </row>
    <row r="36" spans="2:12" ht="12.75">
      <c r="B36" s="43" t="s">
        <v>42</v>
      </c>
      <c r="C36" s="41">
        <v>1130</v>
      </c>
      <c r="D36" s="41">
        <v>118</v>
      </c>
      <c r="E36" s="41">
        <v>97</v>
      </c>
      <c r="G36" s="41">
        <v>0.127</v>
      </c>
      <c r="H36" s="42">
        <f>D36/C36/G36</f>
        <v>0.8222423524493067</v>
      </c>
      <c r="I36" s="42">
        <f>E36/D36</f>
        <v>0.8220338983050848</v>
      </c>
      <c r="K36" s="42">
        <f>(H36*I36)/(simPp!H36*simPp!I36)</f>
        <v>1.039452936444087</v>
      </c>
      <c r="L36" s="42"/>
    </row>
    <row r="37" spans="2:11" ht="12.75">
      <c r="B37" s="43"/>
      <c r="H37" s="42"/>
      <c r="I37" s="42">
        <f>SQRT(1/E36)*I36</f>
        <v>0.08346489662539072</v>
      </c>
      <c r="K37" s="42">
        <f>SQRT((I37/I36)^2+(simPp!I37/simPp!I36)^2)*K36</f>
        <v>0.1447797403672493</v>
      </c>
    </row>
    <row r="38" spans="1:9" ht="12.75">
      <c r="A38" s="40" t="s">
        <v>59</v>
      </c>
      <c r="B38" s="40" t="s">
        <v>37</v>
      </c>
      <c r="C38" s="40" t="s">
        <v>49</v>
      </c>
      <c r="D38" s="40" t="s">
        <v>50</v>
      </c>
      <c r="E38" s="40" t="s">
        <v>51</v>
      </c>
      <c r="G38" s="40" t="s">
        <v>53</v>
      </c>
      <c r="H38" s="40" t="s">
        <v>54</v>
      </c>
      <c r="I38" s="40" t="s">
        <v>55</v>
      </c>
    </row>
    <row r="41" spans="1:9" ht="12.75">
      <c r="A41" s="40" t="s">
        <v>59</v>
      </c>
      <c r="B41" s="40" t="s">
        <v>62</v>
      </c>
      <c r="C41" s="40" t="s">
        <v>49</v>
      </c>
      <c r="D41" s="40" t="s">
        <v>50</v>
      </c>
      <c r="E41" s="40" t="s">
        <v>51</v>
      </c>
      <c r="G41" s="40" t="s">
        <v>53</v>
      </c>
      <c r="H41" s="40" t="s">
        <v>54</v>
      </c>
      <c r="I41" s="40" t="s">
        <v>55</v>
      </c>
    </row>
    <row r="42" spans="1:9" ht="12.75">
      <c r="A42" s="41" t="s">
        <v>60</v>
      </c>
      <c r="B42" s="43" t="s">
        <v>63</v>
      </c>
      <c r="C42" s="41">
        <v>0</v>
      </c>
      <c r="D42" s="41">
        <v>851</v>
      </c>
      <c r="E42" s="41">
        <v>577</v>
      </c>
      <c r="G42" s="41">
        <v>0.128</v>
      </c>
      <c r="H42" s="42" t="e">
        <f>D42/C42/G42</f>
        <v>#DIV/0!</v>
      </c>
      <c r="I42" s="42">
        <f>E42/D42</f>
        <v>0.6780258519388954</v>
      </c>
    </row>
    <row r="43" spans="2:9" ht="12.75">
      <c r="B43" s="43"/>
      <c r="I43" s="42">
        <f>SQRT(1/E42)*I42</f>
        <v>0.028226585545157022</v>
      </c>
    </row>
    <row r="44" spans="2:9" ht="12.75">
      <c r="B44" s="43" t="s">
        <v>64</v>
      </c>
      <c r="C44" s="41">
        <v>0</v>
      </c>
      <c r="D44" s="41">
        <v>1628</v>
      </c>
      <c r="E44" s="41">
        <v>1094</v>
      </c>
      <c r="G44" s="41">
        <v>0.128</v>
      </c>
      <c r="H44" s="42" t="e">
        <f>D44/C44/G44</f>
        <v>#DIV/0!</v>
      </c>
      <c r="I44" s="42">
        <f>E44/D44</f>
        <v>0.671990171990172</v>
      </c>
    </row>
    <row r="45" spans="2:9" ht="12.75">
      <c r="B45" s="43"/>
      <c r="I45" s="42">
        <f>SQRT(1/E44)*I44</f>
        <v>0.020316751116144015</v>
      </c>
    </row>
    <row r="46" spans="2:9" ht="12.75">
      <c r="B46" s="43" t="s">
        <v>65</v>
      </c>
      <c r="C46" s="41">
        <v>0</v>
      </c>
      <c r="D46" s="41">
        <v>1683</v>
      </c>
      <c r="E46" s="41">
        <v>1142</v>
      </c>
      <c r="G46" s="41">
        <v>0.128</v>
      </c>
      <c r="H46" s="42" t="e">
        <f>D46/C46/G46</f>
        <v>#DIV/0!</v>
      </c>
      <c r="I46" s="42">
        <f>E46/D46</f>
        <v>0.6785502079619726</v>
      </c>
    </row>
    <row r="47" spans="2:9" ht="12.75">
      <c r="B47" s="43"/>
      <c r="I47" s="42">
        <f>SQRT(1/E46)*I46</f>
        <v>0.02007931699193797</v>
      </c>
    </row>
    <row r="48" spans="2:9" ht="12.75">
      <c r="B48" s="43" t="s">
        <v>66</v>
      </c>
      <c r="C48" s="41">
        <v>0</v>
      </c>
      <c r="D48" s="41">
        <v>743</v>
      </c>
      <c r="E48" s="41">
        <v>526</v>
      </c>
      <c r="G48" s="41">
        <v>0.128</v>
      </c>
      <c r="H48" s="42" t="e">
        <f>D48/C48/G48</f>
        <v>#DIV/0!</v>
      </c>
      <c r="I48" s="42">
        <f>E48/D48</f>
        <v>0.7079407806191117</v>
      </c>
    </row>
    <row r="49" ht="12.75">
      <c r="I49" s="42">
        <f>SQRT(1/E48)*I48</f>
        <v>0.030867684902233416</v>
      </c>
    </row>
    <row r="50" spans="1:9" ht="12.75">
      <c r="A50" s="41" t="s">
        <v>61</v>
      </c>
      <c r="B50" s="43" t="s">
        <v>63</v>
      </c>
      <c r="C50" s="41">
        <v>0</v>
      </c>
      <c r="D50" s="41">
        <v>1860</v>
      </c>
      <c r="E50" s="41">
        <v>1530</v>
      </c>
      <c r="G50" s="41">
        <v>0.127</v>
      </c>
      <c r="H50" s="42" t="e">
        <f>D50/C50/G50</f>
        <v>#DIV/0!</v>
      </c>
      <c r="I50" s="42">
        <f>E50/D50</f>
        <v>0.8225806451612904</v>
      </c>
    </row>
    <row r="51" spans="2:9" ht="12.75">
      <c r="B51" s="43"/>
      <c r="I51" s="42">
        <f>SQRT(1/E50)*I50</f>
        <v>0.02102968517807306</v>
      </c>
    </row>
    <row r="52" spans="2:9" ht="12.75">
      <c r="B52" s="43" t="s">
        <v>64</v>
      </c>
      <c r="C52" s="41">
        <v>0</v>
      </c>
      <c r="D52" s="41">
        <v>3233</v>
      </c>
      <c r="E52" s="41">
        <v>2831</v>
      </c>
      <c r="G52" s="41">
        <v>0.127</v>
      </c>
      <c r="H52" s="42" t="e">
        <f>D52/C52/G52</f>
        <v>#DIV/0!</v>
      </c>
      <c r="I52" s="42">
        <f>E52/D52</f>
        <v>0.8756572842561089</v>
      </c>
    </row>
    <row r="53" spans="2:9" ht="12.75">
      <c r="B53" s="43"/>
      <c r="I53" s="42">
        <f>SQRT(1/E52)*I52</f>
        <v>0.016457513881129635</v>
      </c>
    </row>
    <row r="54" spans="2:9" ht="12.75">
      <c r="B54" s="43" t="s">
        <v>65</v>
      </c>
      <c r="C54" s="41">
        <v>0</v>
      </c>
      <c r="D54" s="41">
        <v>3204</v>
      </c>
      <c r="E54" s="41">
        <v>2826</v>
      </c>
      <c r="G54" s="41">
        <v>0.127</v>
      </c>
      <c r="H54" s="42" t="e">
        <f>D54/C54/G54</f>
        <v>#DIV/0!</v>
      </c>
      <c r="I54" s="42">
        <f>E54/D54</f>
        <v>0.8820224719101124</v>
      </c>
    </row>
    <row r="55" spans="2:9" ht="12.75">
      <c r="B55" s="43"/>
      <c r="I55" s="42">
        <f>SQRT(1/E54)*I54</f>
        <v>0.016591802571787783</v>
      </c>
    </row>
    <row r="56" spans="2:9" ht="12.75">
      <c r="B56" s="43" t="s">
        <v>66</v>
      </c>
      <c r="C56" s="41">
        <v>0</v>
      </c>
      <c r="D56" s="41">
        <v>1860</v>
      </c>
      <c r="E56" s="41">
        <v>1627</v>
      </c>
      <c r="G56" s="41">
        <v>0.127</v>
      </c>
      <c r="H56" s="42" t="e">
        <f>D56/C56/G56</f>
        <v>#DIV/0!</v>
      </c>
      <c r="I56" s="42">
        <f>E56/D56</f>
        <v>0.874731182795699</v>
      </c>
    </row>
    <row r="57" spans="8:9" ht="12.75">
      <c r="H57" s="42"/>
      <c r="I57" s="42">
        <f>SQRT(1/E56)*I56</f>
        <v>0.021686068849568498</v>
      </c>
    </row>
    <row r="58" spans="1:9" ht="12.75">
      <c r="A58" s="40" t="s">
        <v>59</v>
      </c>
      <c r="B58" s="40" t="s">
        <v>62</v>
      </c>
      <c r="C58" s="40" t="s">
        <v>49</v>
      </c>
      <c r="D58" s="40" t="s">
        <v>50</v>
      </c>
      <c r="E58" s="40" t="s">
        <v>51</v>
      </c>
      <c r="G58" s="40" t="s">
        <v>53</v>
      </c>
      <c r="H58" s="40" t="s">
        <v>54</v>
      </c>
      <c r="I58" s="40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P42"/>
  <sheetViews>
    <sheetView workbookViewId="0" topLeftCell="A1">
      <selection activeCell="L32" sqref="L32:L33"/>
    </sheetView>
  </sheetViews>
  <sheetFormatPr defaultColWidth="9.140625" defaultRowHeight="12.75"/>
  <cols>
    <col min="1" max="2" width="9.140625" style="41" customWidth="1"/>
    <col min="3" max="3" width="10.140625" style="41" customWidth="1"/>
    <col min="4" max="16384" width="9.140625" style="41" customWidth="1"/>
  </cols>
  <sheetData>
    <row r="3" spans="5:16" s="84" customFormat="1" ht="12.75">
      <c r="E3" s="84" t="s">
        <v>270</v>
      </c>
      <c r="F3" s="84" t="s">
        <v>275</v>
      </c>
      <c r="K3" s="84" t="s">
        <v>291</v>
      </c>
      <c r="M3" s="84" t="s">
        <v>291</v>
      </c>
      <c r="O3" s="84" t="s">
        <v>271</v>
      </c>
      <c r="P3" s="84" t="s">
        <v>271</v>
      </c>
    </row>
    <row r="4" spans="4:16" s="84" customFormat="1" ht="12.75">
      <c r="D4" s="84" t="s">
        <v>270</v>
      </c>
      <c r="E4" s="84" t="s">
        <v>184</v>
      </c>
      <c r="F4" s="84" t="s">
        <v>274</v>
      </c>
      <c r="H4" s="84" t="s">
        <v>292</v>
      </c>
      <c r="K4" s="84" t="s">
        <v>142</v>
      </c>
      <c r="L4" s="84" t="s">
        <v>148</v>
      </c>
      <c r="M4" s="84" t="s">
        <v>142</v>
      </c>
      <c r="N4" s="84" t="s">
        <v>271</v>
      </c>
      <c r="O4" s="84" t="s">
        <v>272</v>
      </c>
      <c r="P4" s="84" t="s">
        <v>272</v>
      </c>
    </row>
    <row r="5" spans="1:16" ht="12.75">
      <c r="A5" s="40" t="s">
        <v>150</v>
      </c>
      <c r="B5" s="40" t="s">
        <v>268</v>
      </c>
      <c r="C5" s="40" t="s">
        <v>197</v>
      </c>
      <c r="D5" s="40" t="s">
        <v>269</v>
      </c>
      <c r="E5" s="40" t="s">
        <v>269</v>
      </c>
      <c r="F5" s="40" t="s">
        <v>269</v>
      </c>
      <c r="G5" s="40" t="s">
        <v>291</v>
      </c>
      <c r="H5" s="40" t="s">
        <v>293</v>
      </c>
      <c r="I5" s="40" t="s">
        <v>294</v>
      </c>
      <c r="J5" s="40"/>
      <c r="K5" s="40" t="s">
        <v>305</v>
      </c>
      <c r="L5" s="40" t="s">
        <v>305</v>
      </c>
      <c r="M5" s="40" t="s">
        <v>306</v>
      </c>
      <c r="N5" s="40" t="s">
        <v>273</v>
      </c>
      <c r="O5" s="40" t="s">
        <v>147</v>
      </c>
      <c r="P5" s="40" t="s">
        <v>146</v>
      </c>
    </row>
    <row r="6" spans="1:16" ht="12.75">
      <c r="A6" s="41" t="s">
        <v>143</v>
      </c>
      <c r="B6" s="41" t="s">
        <v>144</v>
      </c>
      <c r="C6" s="43" t="s">
        <v>276</v>
      </c>
      <c r="D6" s="212">
        <v>-1.655</v>
      </c>
      <c r="E6" s="212" t="s">
        <v>110</v>
      </c>
      <c r="F6" s="212">
        <v>-1.654</v>
      </c>
      <c r="G6" s="212">
        <v>-1.657</v>
      </c>
      <c r="H6" s="212">
        <v>-1.682</v>
      </c>
      <c r="I6" s="212">
        <v>-1.6491</v>
      </c>
      <c r="J6" s="171"/>
      <c r="K6" s="216">
        <v>1.015</v>
      </c>
      <c r="L6" s="216">
        <v>1.015</v>
      </c>
      <c r="M6" s="216">
        <v>-1.728</v>
      </c>
      <c r="N6" s="214">
        <v>-1.692</v>
      </c>
      <c r="O6" s="214">
        <v>-1.69</v>
      </c>
      <c r="P6" s="214">
        <v>-1.68</v>
      </c>
    </row>
    <row r="7" spans="2:16" ht="12.75">
      <c r="B7" s="41" t="s">
        <v>154</v>
      </c>
      <c r="C7" s="43" t="s">
        <v>277</v>
      </c>
      <c r="D7" s="212">
        <v>-1.932</v>
      </c>
      <c r="E7" s="212" t="s">
        <v>110</v>
      </c>
      <c r="F7" s="212">
        <v>-1.936</v>
      </c>
      <c r="G7" s="212">
        <v>-1.936</v>
      </c>
      <c r="H7" s="212">
        <v>-1.944</v>
      </c>
      <c r="I7" s="212">
        <v>-1.933</v>
      </c>
      <c r="J7" s="171"/>
      <c r="K7" s="216">
        <v>1.0039</v>
      </c>
      <c r="L7" s="216">
        <v>1.004</v>
      </c>
      <c r="M7" s="216">
        <v>-1.955</v>
      </c>
      <c r="N7" s="214">
        <v>-1.882</v>
      </c>
      <c r="O7" s="214">
        <v>-1.881</v>
      </c>
      <c r="P7" s="214">
        <v>-1.879</v>
      </c>
    </row>
    <row r="8" spans="2:16" ht="12.75">
      <c r="B8" s="41" t="s">
        <v>155</v>
      </c>
      <c r="C8" s="43" t="s">
        <v>278</v>
      </c>
      <c r="D8" s="212">
        <v>-1.44</v>
      </c>
      <c r="E8" s="212" t="s">
        <v>110</v>
      </c>
      <c r="F8" s="212">
        <v>-1.44</v>
      </c>
      <c r="G8" s="212">
        <v>-1.442</v>
      </c>
      <c r="H8" s="212">
        <v>-1.447</v>
      </c>
      <c r="I8" s="212">
        <v>-1.44</v>
      </c>
      <c r="J8" s="171"/>
      <c r="K8" s="216">
        <v>1.0034</v>
      </c>
      <c r="L8" s="216">
        <v>1.003</v>
      </c>
      <c r="M8" s="216">
        <v>-1.455</v>
      </c>
      <c r="N8" s="214">
        <v>-1.521</v>
      </c>
      <c r="O8" s="214">
        <v>-1.52</v>
      </c>
      <c r="P8" s="214">
        <v>-1.513</v>
      </c>
    </row>
    <row r="9" spans="1:16" ht="12.75">
      <c r="A9" s="41" t="s">
        <v>145</v>
      </c>
      <c r="B9" s="41" t="s">
        <v>144</v>
      </c>
      <c r="C9" s="43" t="s">
        <v>279</v>
      </c>
      <c r="D9" s="212">
        <v>1.729</v>
      </c>
      <c r="E9" s="212">
        <v>1.698</v>
      </c>
      <c r="F9" s="212">
        <v>1.729</v>
      </c>
      <c r="G9" s="212">
        <v>1.73</v>
      </c>
      <c r="H9" s="212">
        <v>1.77</v>
      </c>
      <c r="I9" s="212">
        <v>1.719</v>
      </c>
      <c r="J9" s="171"/>
      <c r="K9" s="216">
        <v>1.022</v>
      </c>
      <c r="L9" s="216">
        <v>1.022</v>
      </c>
      <c r="M9" s="216">
        <v>1.835</v>
      </c>
      <c r="N9" s="214">
        <v>1.751</v>
      </c>
      <c r="O9" s="214">
        <v>1.773</v>
      </c>
      <c r="P9" s="214">
        <v>1.753</v>
      </c>
    </row>
    <row r="10" spans="2:16" ht="12.75">
      <c r="B10" s="41" t="s">
        <v>154</v>
      </c>
      <c r="C10" s="43" t="s">
        <v>280</v>
      </c>
      <c r="D10" s="212">
        <v>1.439</v>
      </c>
      <c r="E10" s="212">
        <v>1.437</v>
      </c>
      <c r="F10" s="212">
        <v>1.437</v>
      </c>
      <c r="G10" s="212">
        <v>1.442</v>
      </c>
      <c r="H10" s="212">
        <v>1.447</v>
      </c>
      <c r="I10" s="212">
        <v>1.44</v>
      </c>
      <c r="J10" s="171"/>
      <c r="K10" s="216">
        <v>1.003</v>
      </c>
      <c r="L10" s="216">
        <v>1.003</v>
      </c>
      <c r="M10" s="216">
        <v>1.46</v>
      </c>
      <c r="N10" s="214">
        <v>1.522</v>
      </c>
      <c r="O10" s="214">
        <v>1.532</v>
      </c>
      <c r="P10" s="214">
        <v>1.523</v>
      </c>
    </row>
    <row r="11" spans="2:16" ht="12.75">
      <c r="B11" s="41" t="s">
        <v>155</v>
      </c>
      <c r="C11" s="43" t="s">
        <v>281</v>
      </c>
      <c r="D11" s="212">
        <v>2.014</v>
      </c>
      <c r="E11" s="212">
        <v>2.004</v>
      </c>
      <c r="F11" s="212">
        <v>2.014</v>
      </c>
      <c r="G11" s="212">
        <v>2.018</v>
      </c>
      <c r="H11" s="212">
        <v>2.037</v>
      </c>
      <c r="I11" s="212">
        <v>2.014</v>
      </c>
      <c r="J11" s="171"/>
      <c r="K11" s="216">
        <v>1.007</v>
      </c>
      <c r="L11" s="216">
        <v>1.007</v>
      </c>
      <c r="M11" s="216">
        <v>2.059</v>
      </c>
      <c r="N11" s="214">
        <v>1.932</v>
      </c>
      <c r="O11" s="214">
        <v>1.938</v>
      </c>
      <c r="P11" s="214">
        <v>1.933</v>
      </c>
    </row>
    <row r="12" spans="3:16" ht="12.75">
      <c r="C12" s="43"/>
      <c r="D12" s="42"/>
      <c r="E12" s="171"/>
      <c r="F12" s="171"/>
      <c r="G12" s="171"/>
      <c r="H12" s="171"/>
      <c r="I12" s="171"/>
      <c r="J12" s="171"/>
      <c r="K12" s="171"/>
      <c r="L12" s="171"/>
      <c r="M12" s="171"/>
      <c r="N12" s="42"/>
      <c r="O12" s="42"/>
      <c r="P12" s="42"/>
    </row>
    <row r="13" spans="5:13" ht="12.75">
      <c r="E13" s="84" t="s">
        <v>270</v>
      </c>
      <c r="G13" s="84" t="s">
        <v>142</v>
      </c>
      <c r="H13" s="84" t="s">
        <v>148</v>
      </c>
      <c r="I13" s="84" t="s">
        <v>142</v>
      </c>
      <c r="J13" s="84" t="s">
        <v>148</v>
      </c>
      <c r="K13" s="84" t="s">
        <v>289</v>
      </c>
      <c r="L13" s="84" t="s">
        <v>289</v>
      </c>
      <c r="M13" s="84"/>
    </row>
    <row r="14" spans="4:14" ht="12.75">
      <c r="D14" s="84" t="s">
        <v>270</v>
      </c>
      <c r="E14" s="84" t="s">
        <v>184</v>
      </c>
      <c r="F14" s="84"/>
      <c r="G14" s="84" t="s">
        <v>289</v>
      </c>
      <c r="H14" s="84" t="s">
        <v>289</v>
      </c>
      <c r="I14" s="84" t="s">
        <v>289</v>
      </c>
      <c r="J14" s="84" t="s">
        <v>289</v>
      </c>
      <c r="K14" s="84" t="s">
        <v>142</v>
      </c>
      <c r="L14" s="84" t="s">
        <v>148</v>
      </c>
      <c r="M14" s="84" t="s">
        <v>142</v>
      </c>
      <c r="N14" s="84" t="s">
        <v>271</v>
      </c>
    </row>
    <row r="15" spans="3:14" ht="12.75">
      <c r="C15" s="40" t="s">
        <v>37</v>
      </c>
      <c r="D15" s="40" t="s">
        <v>269</v>
      </c>
      <c r="E15" s="40" t="s">
        <v>269</v>
      </c>
      <c r="F15" s="84"/>
      <c r="G15" s="40" t="s">
        <v>290</v>
      </c>
      <c r="H15" s="40" t="s">
        <v>290</v>
      </c>
      <c r="I15" s="40" t="s">
        <v>295</v>
      </c>
      <c r="J15" s="40" t="s">
        <v>295</v>
      </c>
      <c r="K15" s="40" t="s">
        <v>305</v>
      </c>
      <c r="L15" s="40" t="s">
        <v>305</v>
      </c>
      <c r="M15" s="40" t="s">
        <v>306</v>
      </c>
      <c r="N15" s="40" t="s">
        <v>273</v>
      </c>
    </row>
    <row r="16" spans="1:16" ht="12.75">
      <c r="A16" s="41" t="s">
        <v>143</v>
      </c>
      <c r="B16" s="41" t="s">
        <v>157</v>
      </c>
      <c r="C16" s="43" t="s">
        <v>282</v>
      </c>
      <c r="D16" s="211">
        <v>0.6461</v>
      </c>
      <c r="E16" s="211">
        <v>0.697</v>
      </c>
      <c r="F16" s="93"/>
      <c r="G16" s="213">
        <v>0.4604</v>
      </c>
      <c r="H16" s="213">
        <v>0.4741</v>
      </c>
      <c r="I16" s="211">
        <v>0.6337</v>
      </c>
      <c r="J16" s="211">
        <v>0.6454</v>
      </c>
      <c r="K16" s="217">
        <v>1.118</v>
      </c>
      <c r="L16" s="217">
        <v>1.078</v>
      </c>
      <c r="M16" s="217"/>
      <c r="N16" s="215">
        <v>0.633</v>
      </c>
      <c r="O16" s="93"/>
      <c r="P16" s="93"/>
    </row>
    <row r="17" spans="2:16" ht="12.75">
      <c r="B17" s="41">
        <v>2</v>
      </c>
      <c r="C17" s="43" t="s">
        <v>283</v>
      </c>
      <c r="D17" s="211">
        <v>1.472</v>
      </c>
      <c r="E17" s="211">
        <v>1.461</v>
      </c>
      <c r="F17" s="93"/>
      <c r="G17" s="213">
        <v>1.3987</v>
      </c>
      <c r="H17" s="213">
        <v>1.4301</v>
      </c>
      <c r="I17" s="211">
        <v>1.4528</v>
      </c>
      <c r="J17" s="211">
        <v>1.4854</v>
      </c>
      <c r="K17" s="217">
        <v>1.029</v>
      </c>
      <c r="L17" s="217">
        <v>1.037</v>
      </c>
      <c r="M17" s="217"/>
      <c r="N17" s="215">
        <v>1.462</v>
      </c>
      <c r="O17" s="93"/>
      <c r="P17" s="93"/>
    </row>
    <row r="18" spans="2:16" ht="12.75">
      <c r="B18" s="41">
        <v>3</v>
      </c>
      <c r="C18" s="43" t="s">
        <v>284</v>
      </c>
      <c r="D18" s="211">
        <v>2.39</v>
      </c>
      <c r="E18" s="211">
        <v>2.338</v>
      </c>
      <c r="F18" s="93"/>
      <c r="G18" s="213">
        <v>2.3688</v>
      </c>
      <c r="H18" s="213">
        <v>2.4025</v>
      </c>
      <c r="I18" s="211">
        <v>2.3994</v>
      </c>
      <c r="J18" s="211">
        <v>2.4346</v>
      </c>
      <c r="K18" s="217">
        <v>0.953</v>
      </c>
      <c r="L18" s="217">
        <v>0.992</v>
      </c>
      <c r="M18" s="217"/>
      <c r="N18" s="215">
        <v>2.396</v>
      </c>
      <c r="O18" s="93"/>
      <c r="P18" s="93"/>
    </row>
    <row r="19" spans="2:16" ht="12.75">
      <c r="B19" s="41">
        <v>4</v>
      </c>
      <c r="C19" s="43" t="s">
        <v>285</v>
      </c>
      <c r="D19" s="211">
        <v>3.341</v>
      </c>
      <c r="E19" s="211">
        <v>3.261</v>
      </c>
      <c r="F19" s="93"/>
      <c r="G19" s="213">
        <v>3.3615</v>
      </c>
      <c r="H19" s="213">
        <v>3.3901</v>
      </c>
      <c r="I19" s="211">
        <v>3.383</v>
      </c>
      <c r="J19" s="211">
        <v>3.4125</v>
      </c>
      <c r="K19" s="217">
        <v>0.92</v>
      </c>
      <c r="L19" s="217">
        <v>0.96</v>
      </c>
      <c r="M19" s="217"/>
      <c r="N19" s="215">
        <v>3.35</v>
      </c>
      <c r="O19" s="93"/>
      <c r="P19" s="93"/>
    </row>
    <row r="20" spans="2:16" ht="12.75">
      <c r="B20" s="41">
        <v>5</v>
      </c>
      <c r="C20" s="43" t="s">
        <v>286</v>
      </c>
      <c r="D20" s="211">
        <v>4.344</v>
      </c>
      <c r="E20" s="211">
        <v>4.264</v>
      </c>
      <c r="F20" s="93"/>
      <c r="G20" s="213">
        <v>4.3655</v>
      </c>
      <c r="H20" s="213">
        <v>4.3875</v>
      </c>
      <c r="I20" s="211">
        <v>4.3822</v>
      </c>
      <c r="J20" s="211">
        <v>4.4048</v>
      </c>
      <c r="K20" s="217">
        <v>0.914</v>
      </c>
      <c r="L20" s="217">
        <v>0.947</v>
      </c>
      <c r="M20" s="217"/>
      <c r="N20" s="215">
        <v>4.346</v>
      </c>
      <c r="O20" s="93"/>
      <c r="P20" s="93"/>
    </row>
    <row r="21" spans="1:16" ht="12.75">
      <c r="A21" s="41" t="s">
        <v>145</v>
      </c>
      <c r="B21" s="41" t="s">
        <v>157</v>
      </c>
      <c r="C21" s="43" t="s">
        <v>282</v>
      </c>
      <c r="D21" s="211">
        <v>0.6451</v>
      </c>
      <c r="E21" s="211">
        <v>0.6969</v>
      </c>
      <c r="F21" s="93"/>
      <c r="G21" s="213"/>
      <c r="H21" s="213">
        <v>0.4702</v>
      </c>
      <c r="I21" s="211"/>
      <c r="J21" s="211">
        <v>0.6421</v>
      </c>
      <c r="K21" s="217"/>
      <c r="L21" s="217">
        <v>1.089</v>
      </c>
      <c r="M21" s="217"/>
      <c r="N21" s="215">
        <v>0.638</v>
      </c>
      <c r="O21" s="93"/>
      <c r="P21" s="93"/>
    </row>
    <row r="22" spans="2:16" ht="12.75">
      <c r="B22" s="41">
        <v>2</v>
      </c>
      <c r="C22" s="43" t="s">
        <v>283</v>
      </c>
      <c r="D22" s="211">
        <v>1.471</v>
      </c>
      <c r="E22" s="211">
        <v>1.461</v>
      </c>
      <c r="F22" s="93"/>
      <c r="G22" s="213"/>
      <c r="H22" s="213">
        <v>1.4206</v>
      </c>
      <c r="I22" s="211"/>
      <c r="J22" s="211">
        <v>1.4757</v>
      </c>
      <c r="K22" s="217"/>
      <c r="L22" s="217">
        <v>1.036</v>
      </c>
      <c r="M22" s="217"/>
      <c r="N22" s="215">
        <v>1.466</v>
      </c>
      <c r="O22" s="93"/>
      <c r="P22" s="93"/>
    </row>
    <row r="23" spans="2:16" ht="12.75">
      <c r="B23" s="41">
        <v>3</v>
      </c>
      <c r="C23" s="43" t="s">
        <v>284</v>
      </c>
      <c r="D23" s="211">
        <v>2.387</v>
      </c>
      <c r="E23" s="211">
        <v>2.337</v>
      </c>
      <c r="F23" s="93"/>
      <c r="G23" s="213"/>
      <c r="H23" s="213">
        <v>2.3918</v>
      </c>
      <c r="I23" s="211"/>
      <c r="J23" s="211">
        <v>2.4235</v>
      </c>
      <c r="K23" s="217"/>
      <c r="L23" s="217">
        <v>0.98</v>
      </c>
      <c r="M23" s="217"/>
      <c r="N23" s="215">
        <v>2.388</v>
      </c>
      <c r="O23" s="93"/>
      <c r="P23" s="93"/>
    </row>
    <row r="24" spans="2:16" ht="12.75">
      <c r="B24" s="41">
        <v>4</v>
      </c>
      <c r="C24" s="43" t="s">
        <v>285</v>
      </c>
      <c r="D24" s="211">
        <v>3.342</v>
      </c>
      <c r="E24" s="211">
        <v>3.258</v>
      </c>
      <c r="F24" s="93"/>
      <c r="G24" s="213"/>
      <c r="H24" s="213">
        <v>3.3806</v>
      </c>
      <c r="I24" s="211"/>
      <c r="J24" s="211">
        <v>3.4027</v>
      </c>
      <c r="K24" s="217"/>
      <c r="L24" s="217">
        <v>0.948</v>
      </c>
      <c r="M24" s="217"/>
      <c r="N24" s="215">
        <v>3.339</v>
      </c>
      <c r="O24" s="93"/>
      <c r="P24" s="93"/>
    </row>
    <row r="25" spans="2:16" ht="12.75">
      <c r="B25" s="41">
        <v>5</v>
      </c>
      <c r="C25" s="43" t="s">
        <v>286</v>
      </c>
      <c r="D25" s="211">
        <v>4.33</v>
      </c>
      <c r="E25" s="211">
        <v>4.239</v>
      </c>
      <c r="F25" s="93"/>
      <c r="G25" s="213"/>
      <c r="H25" s="213">
        <v>4.38</v>
      </c>
      <c r="I25" s="211"/>
      <c r="J25" s="211">
        <v>4.3971</v>
      </c>
      <c r="K25" s="217"/>
      <c r="L25" s="217">
        <v>0.936</v>
      </c>
      <c r="M25" s="217"/>
      <c r="N25" s="215">
        <v>4.328</v>
      </c>
      <c r="O25" s="93"/>
      <c r="P25" s="93"/>
    </row>
    <row r="26" spans="4:16" ht="12.75"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10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6" ht="12.75">
      <c r="A28" s="219" t="s">
        <v>314</v>
      </c>
      <c r="E28" s="84" t="s">
        <v>312</v>
      </c>
      <c r="F28" s="84" t="s">
        <v>312</v>
      </c>
    </row>
    <row r="29" spans="1:6" ht="12.75">
      <c r="A29" s="40" t="s">
        <v>150</v>
      </c>
      <c r="B29" s="40" t="s">
        <v>268</v>
      </c>
      <c r="C29" s="40" t="s">
        <v>309</v>
      </c>
      <c r="D29" s="40" t="s">
        <v>310</v>
      </c>
      <c r="E29" s="40" t="s">
        <v>311</v>
      </c>
      <c r="F29" s="40" t="s">
        <v>313</v>
      </c>
    </row>
    <row r="30" spans="1:6" ht="12.75">
      <c r="A30" s="41" t="s">
        <v>143</v>
      </c>
      <c r="B30" s="41" t="s">
        <v>144</v>
      </c>
      <c r="C30" s="41">
        <v>1.015</v>
      </c>
      <c r="D30" s="41">
        <v>1.011</v>
      </c>
      <c r="E30" s="41">
        <v>1.012</v>
      </c>
      <c r="F30" s="41">
        <v>1.009</v>
      </c>
    </row>
    <row r="31" spans="2:6" ht="12.75">
      <c r="B31" s="41" t="s">
        <v>154</v>
      </c>
      <c r="C31" s="41">
        <v>1.004</v>
      </c>
      <c r="D31" s="41">
        <v>1.002</v>
      </c>
      <c r="E31" s="41">
        <v>1.003</v>
      </c>
      <c r="F31" s="41">
        <v>1.003</v>
      </c>
    </row>
    <row r="32" spans="2:6" ht="12.75">
      <c r="B32" s="41" t="s">
        <v>155</v>
      </c>
      <c r="C32" s="41">
        <v>1.003</v>
      </c>
      <c r="D32" s="41">
        <v>1.003</v>
      </c>
      <c r="E32" s="41">
        <v>1.003</v>
      </c>
      <c r="F32" s="41">
        <v>1.002</v>
      </c>
    </row>
    <row r="33" spans="1:6" ht="12.75">
      <c r="A33" s="41" t="s">
        <v>145</v>
      </c>
      <c r="B33" s="41" t="s">
        <v>144</v>
      </c>
      <c r="C33" s="41">
        <v>1.022</v>
      </c>
      <c r="D33" s="41">
        <v>1.015</v>
      </c>
      <c r="E33" s="41">
        <v>1.018</v>
      </c>
      <c r="F33" s="41">
        <v>1.015</v>
      </c>
    </row>
    <row r="34" spans="2:6" ht="12.75">
      <c r="B34" s="41" t="s">
        <v>154</v>
      </c>
      <c r="C34" s="41">
        <v>1.003</v>
      </c>
      <c r="D34" s="41">
        <v>1.003</v>
      </c>
      <c r="E34" s="41">
        <v>1.003</v>
      </c>
      <c r="F34" s="41">
        <v>1.002</v>
      </c>
    </row>
    <row r="35" spans="2:6" ht="12.75">
      <c r="B35" s="41" t="s">
        <v>155</v>
      </c>
      <c r="C35" s="41">
        <v>1.007</v>
      </c>
      <c r="D35" s="41">
        <v>1.004</v>
      </c>
      <c r="E35" s="41">
        <v>1.006</v>
      </c>
      <c r="F35" s="41">
        <v>1.006</v>
      </c>
    </row>
    <row r="37" spans="3:5" ht="12.75">
      <c r="C37" s="40" t="s">
        <v>142</v>
      </c>
      <c r="D37" s="40" t="s">
        <v>315</v>
      </c>
      <c r="E37" s="40" t="s">
        <v>316</v>
      </c>
    </row>
    <row r="38" spans="2:5" ht="12.75">
      <c r="B38" s="41" t="s">
        <v>157</v>
      </c>
      <c r="C38" s="41">
        <v>1.137</v>
      </c>
      <c r="D38" s="41">
        <v>1.08</v>
      </c>
      <c r="E38" s="41">
        <v>1.098</v>
      </c>
    </row>
    <row r="39" spans="2:5" ht="12.75">
      <c r="B39" s="41">
        <v>2</v>
      </c>
      <c r="C39" s="41">
        <v>1.102</v>
      </c>
      <c r="D39" s="41">
        <v>1.037</v>
      </c>
      <c r="E39" s="41">
        <v>1.035</v>
      </c>
    </row>
    <row r="40" spans="2:5" ht="12.75">
      <c r="B40" s="41">
        <v>3</v>
      </c>
      <c r="C40" s="41">
        <v>0.923</v>
      </c>
      <c r="D40" s="41">
        <v>0.988</v>
      </c>
      <c r="E40" s="41">
        <v>0.972</v>
      </c>
    </row>
    <row r="41" spans="2:5" ht="12.75">
      <c r="B41" s="41">
        <v>4</v>
      </c>
      <c r="C41" s="41">
        <v>0.902</v>
      </c>
      <c r="D41" s="41">
        <v>0.957</v>
      </c>
      <c r="E41" s="41">
        <v>0.939</v>
      </c>
    </row>
    <row r="42" spans="2:5" ht="12.75">
      <c r="B42" s="41">
        <v>5</v>
      </c>
      <c r="C42" s="41">
        <v>0.902</v>
      </c>
      <c r="D42" s="41">
        <v>0.944</v>
      </c>
      <c r="E42" s="41">
        <v>0.929</v>
      </c>
    </row>
  </sheetData>
  <printOptions/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4:M21"/>
  <sheetViews>
    <sheetView workbookViewId="0" topLeftCell="A1">
      <selection activeCell="K16" sqref="K16"/>
    </sheetView>
  </sheetViews>
  <sheetFormatPr defaultColWidth="9.140625" defaultRowHeight="12.75"/>
  <cols>
    <col min="1" max="1" width="9.140625" style="41" customWidth="1"/>
    <col min="2" max="2" width="18.28125" style="41" customWidth="1"/>
    <col min="3" max="16384" width="9.140625" style="41" customWidth="1"/>
  </cols>
  <sheetData>
    <row r="4" ht="12.75">
      <c r="B4" s="84" t="s">
        <v>317</v>
      </c>
    </row>
    <row r="5" spans="2:13" ht="12.75">
      <c r="B5" s="40" t="s">
        <v>290</v>
      </c>
      <c r="C5" s="40" t="s">
        <v>332</v>
      </c>
      <c r="D5" s="41" t="s">
        <v>328</v>
      </c>
      <c r="E5" s="41" t="s">
        <v>329</v>
      </c>
      <c r="I5" s="40" t="s">
        <v>330</v>
      </c>
      <c r="K5" s="40" t="s">
        <v>331</v>
      </c>
      <c r="M5" s="40" t="s">
        <v>297</v>
      </c>
    </row>
    <row r="6" spans="2:11" ht="12.75">
      <c r="B6" s="41" t="s">
        <v>296</v>
      </c>
      <c r="C6" s="41">
        <v>169.265</v>
      </c>
      <c r="F6" s="41" t="s">
        <v>24</v>
      </c>
      <c r="G6" s="41" t="s">
        <v>328</v>
      </c>
      <c r="H6" s="41" t="s">
        <v>251</v>
      </c>
      <c r="I6" s="42">
        <f>(C6-C$7)/C$7</f>
        <v>0.09843863565569504</v>
      </c>
      <c r="K6" s="41">
        <v>168.932</v>
      </c>
    </row>
    <row r="7" spans="2:13" ht="12.75">
      <c r="B7" s="41" t="s">
        <v>291</v>
      </c>
      <c r="C7" s="41">
        <v>154.096</v>
      </c>
      <c r="D7" s="41">
        <v>0.0757</v>
      </c>
      <c r="E7" s="41">
        <v>0.1</v>
      </c>
      <c r="F7" s="220">
        <f>C7</f>
        <v>154.096</v>
      </c>
      <c r="G7" s="220">
        <f>C7*D7</f>
        <v>11.665067200000001</v>
      </c>
      <c r="H7" s="220">
        <f>C7*E7</f>
        <v>15.409600000000001</v>
      </c>
      <c r="I7" s="42">
        <f>(C7-C$7)/C$7</f>
        <v>0</v>
      </c>
      <c r="K7" s="41">
        <v>154.991</v>
      </c>
      <c r="M7" s="221">
        <f>C7/0.059/1000</f>
        <v>2.611796610169492</v>
      </c>
    </row>
    <row r="8" spans="2:11" ht="12.75">
      <c r="B8" s="41" t="s">
        <v>294</v>
      </c>
      <c r="C8" s="41">
        <v>157.589</v>
      </c>
      <c r="I8" s="42">
        <f>(C8-C$7)/C$7</f>
        <v>0.022667687675215417</v>
      </c>
      <c r="K8" s="41">
        <v>157.293</v>
      </c>
    </row>
    <row r="9" spans="2:11" ht="12.75">
      <c r="B9" s="41" t="s">
        <v>298</v>
      </c>
      <c r="C9" s="41">
        <v>158.563</v>
      </c>
      <c r="I9" s="42">
        <f>(C9-C$7)/C$7</f>
        <v>0.028988422801370473</v>
      </c>
      <c r="K9" s="41">
        <v>158.227</v>
      </c>
    </row>
    <row r="10" spans="2:11" ht="12.75">
      <c r="B10" s="41" t="s">
        <v>299</v>
      </c>
      <c r="C10" s="41">
        <v>156.086</v>
      </c>
      <c r="I10" s="42">
        <f>(C10-C$7)/C$7</f>
        <v>0.012914027619146565</v>
      </c>
      <c r="K10" s="41">
        <v>155.709</v>
      </c>
    </row>
    <row r="15" ht="12.75">
      <c r="B15" s="84" t="s">
        <v>289</v>
      </c>
    </row>
    <row r="16" spans="2:7" ht="12.75">
      <c r="B16" s="84" t="s">
        <v>327</v>
      </c>
      <c r="C16" s="84" t="s">
        <v>323</v>
      </c>
      <c r="D16" s="84" t="s">
        <v>324</v>
      </c>
      <c r="E16" s="84" t="s">
        <v>325</v>
      </c>
      <c r="F16" s="84" t="s">
        <v>326</v>
      </c>
      <c r="G16" s="41" t="s">
        <v>16</v>
      </c>
    </row>
    <row r="17" spans="2:7" ht="12.75">
      <c r="B17" s="41" t="s">
        <v>318</v>
      </c>
      <c r="C17" s="41">
        <v>3.166</v>
      </c>
      <c r="D17" s="41">
        <v>0.13</v>
      </c>
      <c r="E17" s="42">
        <f>C17^2/4</f>
        <v>2.505889</v>
      </c>
      <c r="F17" s="42">
        <f>C17*D17/2</f>
        <v>0.20579</v>
      </c>
      <c r="G17" s="41">
        <v>3.808</v>
      </c>
    </row>
    <row r="18" spans="2:7" ht="12.75">
      <c r="B18" s="41" t="s">
        <v>319</v>
      </c>
      <c r="C18" s="41">
        <v>4.209</v>
      </c>
      <c r="D18" s="41">
        <v>0.098</v>
      </c>
      <c r="E18" s="42">
        <f>C18^2/4</f>
        <v>4.428920249999999</v>
      </c>
      <c r="F18" s="42">
        <f>C18*D18/2</f>
        <v>0.20624099999999998</v>
      </c>
      <c r="G18" s="41">
        <v>1000</v>
      </c>
    </row>
    <row r="19" spans="2:7" ht="12.75">
      <c r="B19" s="41" t="s">
        <v>320</v>
      </c>
      <c r="C19" s="41">
        <v>3.813</v>
      </c>
      <c r="D19" s="41">
        <v>0.126</v>
      </c>
      <c r="E19" s="42">
        <f>C19^2/4</f>
        <v>3.6347422500000004</v>
      </c>
      <c r="F19" s="42">
        <f>C19*D19/2</f>
        <v>0.24021900000000002</v>
      </c>
      <c r="G19" s="41">
        <v>812.9</v>
      </c>
    </row>
    <row r="20" spans="2:7" ht="12.75">
      <c r="B20" s="41" t="s">
        <v>321</v>
      </c>
      <c r="C20" s="41">
        <v>4.096</v>
      </c>
      <c r="D20" s="41">
        <v>0.374</v>
      </c>
      <c r="E20" s="42">
        <f>C20^2/4</f>
        <v>4.194304</v>
      </c>
      <c r="F20" s="42">
        <f>C20*D20/2</f>
        <v>0.765952</v>
      </c>
      <c r="G20" s="41">
        <v>3.449</v>
      </c>
    </row>
    <row r="21" spans="2:7" ht="12.75">
      <c r="B21" s="41" t="s">
        <v>322</v>
      </c>
      <c r="C21" s="41">
        <v>3.957</v>
      </c>
      <c r="D21" s="41">
        <v>0.143</v>
      </c>
      <c r="E21" s="42">
        <f>C21^2/4</f>
        <v>3.9144622499999997</v>
      </c>
      <c r="F21" s="42">
        <f>C21*D21/2</f>
        <v>0.28292549999999994</v>
      </c>
      <c r="G21" s="41">
        <v>1000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40">
      <selection activeCell="J42" sqref="J42"/>
    </sheetView>
  </sheetViews>
  <sheetFormatPr defaultColWidth="9.140625" defaultRowHeight="12.75"/>
  <cols>
    <col min="9" max="10" width="9.140625" style="41" customWidth="1"/>
    <col min="12" max="12" width="11.00390625" style="0" customWidth="1"/>
  </cols>
  <sheetData>
    <row r="1" ht="12.75">
      <c r="B1" t="s">
        <v>333</v>
      </c>
    </row>
    <row r="2" spans="1:10" ht="15.75">
      <c r="A2" s="187" t="s">
        <v>192</v>
      </c>
      <c r="B2" s="40"/>
      <c r="C2" s="40" t="s">
        <v>156</v>
      </c>
      <c r="D2" s="94" t="s">
        <v>153</v>
      </c>
      <c r="E2" s="94" t="s">
        <v>163</v>
      </c>
      <c r="F2" s="94" t="s">
        <v>166</v>
      </c>
      <c r="G2" s="94" t="s">
        <v>164</v>
      </c>
      <c r="H2" s="94" t="s">
        <v>165</v>
      </c>
      <c r="I2" s="94" t="s">
        <v>334</v>
      </c>
      <c r="J2" s="94" t="s">
        <v>333</v>
      </c>
    </row>
    <row r="3" spans="1:10" ht="15.75">
      <c r="A3" s="128" t="s">
        <v>143</v>
      </c>
      <c r="B3" s="124" t="s">
        <v>144</v>
      </c>
      <c r="C3" s="109">
        <v>-1.7</v>
      </c>
      <c r="D3" s="110">
        <f>rdaY!O3</f>
        <v>1.1768493658970551</v>
      </c>
      <c r="E3" s="110">
        <f>rdaY!N55</f>
        <v>28.113376812495414</v>
      </c>
      <c r="F3" s="110">
        <f>rdaY!N79</f>
        <v>25.110558940036107</v>
      </c>
      <c r="G3" s="111">
        <f>rdaY!N3</f>
        <v>11643.230074165434</v>
      </c>
      <c r="H3" s="112">
        <f>rdaY!P3</f>
        <v>1.0272475363584492</v>
      </c>
      <c r="I3" s="96">
        <v>1.75</v>
      </c>
      <c r="J3" s="42">
        <f>D3*D21</f>
        <v>0.9286879008017572</v>
      </c>
    </row>
    <row r="4" spans="1:10" ht="12.75">
      <c r="A4" s="84" t="s">
        <v>186</v>
      </c>
      <c r="B4" s="40"/>
      <c r="C4" s="40"/>
      <c r="D4" s="96">
        <f>rdaY!O4</f>
        <v>0.09270432965407835</v>
      </c>
      <c r="E4" s="96">
        <f>rdaY!N56</f>
        <v>2.916147168421226</v>
      </c>
      <c r="F4" s="96">
        <f>rdaY!N80</f>
        <v>1.6608204660050436</v>
      </c>
      <c r="G4" s="98">
        <f>rdaY!N4</f>
        <v>498.1742650948215</v>
      </c>
      <c r="H4" s="99">
        <f>rdaY!P4</f>
        <v>0.015511861846975901</v>
      </c>
      <c r="I4" s="222"/>
      <c r="J4" s="42">
        <f>SQRT((D4/D3)^2+(D22/D21)^2)*J3</f>
        <v>0.10256125660927833</v>
      </c>
    </row>
    <row r="5" spans="1:10" ht="12.75">
      <c r="A5" s="95" t="s">
        <v>189</v>
      </c>
      <c r="B5" s="95" t="s">
        <v>35</v>
      </c>
      <c r="C5" s="98"/>
      <c r="D5" s="96">
        <f>rdaY!O5</f>
        <v>0.11753323514363244</v>
      </c>
      <c r="E5" s="96">
        <f>rdaY!N57</f>
        <v>3.3805700028776426</v>
      </c>
      <c r="F5" s="96"/>
      <c r="G5" s="98">
        <f>rdaY!M5</f>
        <v>1121.3037137346137</v>
      </c>
      <c r="H5" s="96">
        <f>rdaY!P5</f>
        <v>0.019666387889100634</v>
      </c>
      <c r="I5" s="99"/>
      <c r="J5" s="42"/>
    </row>
    <row r="6" spans="1:10" ht="12.75">
      <c r="A6" s="95" t="s">
        <v>190</v>
      </c>
      <c r="B6" s="95" t="s">
        <v>35</v>
      </c>
      <c r="C6" s="98"/>
      <c r="D6" s="96">
        <f>rdaY!O6</f>
        <v>0.11888646035887027</v>
      </c>
      <c r="E6" s="96">
        <f>rdaY!N58</f>
        <v>3.3834911841544937</v>
      </c>
      <c r="F6" s="96"/>
      <c r="G6" s="98">
        <f>rdaY!M6</f>
        <v>1136.6734838617392</v>
      </c>
      <c r="H6" s="96">
        <f>rdaY!P6</f>
        <v>0.01989281790229355</v>
      </c>
      <c r="I6" s="96"/>
      <c r="J6" s="42"/>
    </row>
    <row r="7" spans="1:10" ht="12.75">
      <c r="A7" s="84"/>
      <c r="B7" s="95" t="s">
        <v>36</v>
      </c>
      <c r="C7" s="98"/>
      <c r="D7" s="96">
        <f>rdaY!S7</f>
        <v>0.14256030718396412</v>
      </c>
      <c r="E7" s="96">
        <f>rdaY!O57</f>
        <v>4.269117750103386</v>
      </c>
      <c r="F7" s="96"/>
      <c r="G7" s="98">
        <f>rdaY!N5</f>
        <v>1556.6564665495757</v>
      </c>
      <c r="H7" s="96">
        <f>rdaY!T7</f>
        <v>0.02385407238423208</v>
      </c>
      <c r="I7" s="96"/>
      <c r="J7" s="42">
        <f>SQRT((D7/D3)^2+(D25/D21)^2)*J3</f>
        <v>0.15647845956207512</v>
      </c>
    </row>
    <row r="8" spans="1:10" ht="12.75">
      <c r="A8" s="84"/>
      <c r="B8" s="95" t="s">
        <v>36</v>
      </c>
      <c r="C8" s="98"/>
      <c r="D8" s="96">
        <f>rdaY!S8</f>
        <v>0.15614993192042148</v>
      </c>
      <c r="E8" s="96">
        <f>rdaY!O58</f>
        <v>4.669234863898895</v>
      </c>
      <c r="F8" s="96"/>
      <c r="G8" s="98">
        <f>rdaY!N6</f>
        <v>1751.5494782762305</v>
      </c>
      <c r="H8" s="96">
        <f>rdaY!T8</f>
        <v>0.026127972451799195</v>
      </c>
      <c r="I8" s="96"/>
      <c r="J8" s="42">
        <f>SQRT((D8/D3)^2+(D26/D21)^2)*J3</f>
        <v>0.17131780284412657</v>
      </c>
    </row>
    <row r="9" spans="1:10" ht="12.75">
      <c r="A9" s="124"/>
      <c r="B9" s="124" t="s">
        <v>154</v>
      </c>
      <c r="C9" s="115">
        <v>-1.95</v>
      </c>
      <c r="D9" s="112">
        <f>rdaY!O11</f>
        <v>0.9855298565432399</v>
      </c>
      <c r="E9" s="112">
        <f>rdaY!N59</f>
        <v>20.799798167877125</v>
      </c>
      <c r="F9" s="116">
        <f>rdaY!N83</f>
        <v>18.803700519544766</v>
      </c>
      <c r="G9" s="119">
        <f>rdaY!N11</f>
        <v>7301.453660550545</v>
      </c>
      <c r="H9" s="116">
        <f>rdaY!P11</f>
        <v>0.9975610774473134</v>
      </c>
      <c r="I9" s="96">
        <v>2</v>
      </c>
      <c r="J9" s="42">
        <f>D9*D33</f>
        <v>0.6560266080185607</v>
      </c>
    </row>
    <row r="10" spans="1:10" ht="12.75">
      <c r="A10" s="84"/>
      <c r="B10" s="84"/>
      <c r="C10" s="41"/>
      <c r="D10" s="99">
        <f>rdaY!O12</f>
        <v>0.11194882920452735</v>
      </c>
      <c r="E10" s="99">
        <f>rdaY!N60</f>
        <v>2.712565273693941</v>
      </c>
      <c r="F10" s="42">
        <f>rdaY!N84</f>
        <v>1.5449368183372245</v>
      </c>
      <c r="G10" s="100">
        <f>rdaY!N12</f>
        <v>572.7235564127967</v>
      </c>
      <c r="H10" s="42">
        <f>rdaY!P12</f>
        <v>0.018731970545832363</v>
      </c>
      <c r="I10" s="171"/>
      <c r="J10" s="42">
        <f>SQRT((D10/D9)^2+(D34/D33)^2)*J9</f>
        <v>0.10112152215823135</v>
      </c>
    </row>
    <row r="11" spans="1:10" ht="12.75">
      <c r="A11" s="95" t="s">
        <v>189</v>
      </c>
      <c r="B11" s="95" t="s">
        <v>35</v>
      </c>
      <c r="C11" s="41"/>
      <c r="D11" s="96">
        <f>rdaY!O13</f>
        <v>0.12725271545686984</v>
      </c>
      <c r="E11" s="96">
        <f>rdaY!N61</f>
        <v>2.9931166529556874</v>
      </c>
      <c r="F11" s="42"/>
      <c r="G11" s="100">
        <f>rdaY!M13</f>
        <v>851.3877113969128</v>
      </c>
      <c r="H11" s="42">
        <f>rdaY!P13</f>
        <v>0.021292711453554644</v>
      </c>
      <c r="I11" s="42"/>
      <c r="J11" s="42"/>
    </row>
    <row r="12" spans="1:10" ht="12.75">
      <c r="A12" s="95" t="s">
        <v>190</v>
      </c>
      <c r="B12" s="95" t="s">
        <v>35</v>
      </c>
      <c r="C12" s="41"/>
      <c r="D12" s="96">
        <f>rdaY!O14</f>
        <v>0.1281312481513272</v>
      </c>
      <c r="E12" s="96">
        <f>rdaY!N62</f>
        <v>2.9949228852002627</v>
      </c>
      <c r="F12" s="42"/>
      <c r="G12" s="100">
        <f>rdaY!M14</f>
        <v>859.3652941911882</v>
      </c>
      <c r="H12" s="42">
        <f>rdaY!P14</f>
        <v>0.021439712978028477</v>
      </c>
      <c r="I12" s="42"/>
      <c r="J12" s="42"/>
    </row>
    <row r="13" spans="1:10" ht="12.75">
      <c r="A13" s="95"/>
      <c r="B13" s="95" t="s">
        <v>36</v>
      </c>
      <c r="C13" s="41"/>
      <c r="D13" s="96">
        <f>rdaY!S15</f>
        <v>0.14407712640248047</v>
      </c>
      <c r="E13" s="96">
        <f>rdaY!O61</f>
        <v>3.560811577588838</v>
      </c>
      <c r="F13" s="42"/>
      <c r="G13" s="98">
        <f>rdaY!N13</f>
        <v>1087.81320772884</v>
      </c>
      <c r="H13" s="42">
        <f>rdaY!T15</f>
        <v>0.02410787595794066</v>
      </c>
      <c r="I13" s="42"/>
      <c r="J13" s="42">
        <f>SQRT((D13/D9)^2+(D37/D33)^2)*J9</f>
        <v>0.1311296639478428</v>
      </c>
    </row>
    <row r="14" spans="1:10" ht="12.75">
      <c r="A14" s="95"/>
      <c r="B14" s="95" t="s">
        <v>36</v>
      </c>
      <c r="C14" s="41"/>
      <c r="D14" s="96">
        <f>rdaY!S16</f>
        <v>0.15363921400163183</v>
      </c>
      <c r="E14" s="96">
        <f>rdaY!O62</f>
        <v>3.825838090980358</v>
      </c>
      <c r="F14" s="42"/>
      <c r="G14" s="98">
        <f>rdaY!N14</f>
        <v>1198.7016991975922</v>
      </c>
      <c r="H14" s="42">
        <f>rdaY!T16</f>
        <v>0.025707863599943873</v>
      </c>
      <c r="I14" s="42"/>
      <c r="J14" s="42">
        <f>SQRT((D14/D9)^2+(D38/D33)^2)*J9</f>
        <v>0.14007955133384034</v>
      </c>
    </row>
    <row r="15" spans="1:10" ht="12.75">
      <c r="A15" s="124"/>
      <c r="B15" s="124" t="s">
        <v>155</v>
      </c>
      <c r="C15" s="115">
        <v>-1.45</v>
      </c>
      <c r="D15" s="112">
        <f>rdaY!O19</f>
        <v>1.1130223250996</v>
      </c>
      <c r="E15" s="112">
        <f>rdaY!N63</f>
        <v>34.52232755530781</v>
      </c>
      <c r="F15" s="116">
        <f>rdaY!N81</f>
        <v>34.06432353490817</v>
      </c>
      <c r="G15" s="119">
        <f>rdaY!N19</f>
        <v>14938.254918004795</v>
      </c>
      <c r="H15" s="116">
        <f>rdaY!P19</f>
        <v>1.0179171424515674</v>
      </c>
      <c r="I15" s="96">
        <v>1.45</v>
      </c>
      <c r="J15" s="42">
        <f>D15*D27</f>
        <v>0.9894315586738703</v>
      </c>
    </row>
    <row r="16" spans="1:10" ht="12.75">
      <c r="A16" s="84"/>
      <c r="B16" s="84"/>
      <c r="C16" s="41"/>
      <c r="D16" s="99">
        <f>rdaY!O20</f>
        <v>0.11263169768157524</v>
      </c>
      <c r="E16" s="99">
        <f>rdaY!N64</f>
        <v>4.871229111450889</v>
      </c>
      <c r="F16" s="42">
        <f>rdaY!N82</f>
        <v>2.79389497860979</v>
      </c>
      <c r="G16" s="100">
        <f>rdaY!N20</f>
        <v>885.4406772707057</v>
      </c>
      <c r="H16" s="42">
        <f>rdaY!P20</f>
        <v>0.018846232323196453</v>
      </c>
      <c r="I16" s="171"/>
      <c r="J16" s="42">
        <f>SQRT((D16/D15)^2+(D28/D27)^2)*J15</f>
        <v>0.13814392386273608</v>
      </c>
    </row>
    <row r="17" spans="1:10" ht="12.75">
      <c r="A17" s="95" t="s">
        <v>189</v>
      </c>
      <c r="B17" s="95" t="s">
        <v>35</v>
      </c>
      <c r="C17" s="41"/>
      <c r="D17" s="96">
        <f>rdaY!O21</f>
        <v>0.13173840362058037</v>
      </c>
      <c r="E17" s="96">
        <f>rdaY!N65</f>
        <v>5.304573510249404</v>
      </c>
      <c r="F17" s="42"/>
      <c r="G17" s="98">
        <f>rdaY!M21</f>
        <v>1563.6958339685432</v>
      </c>
      <c r="H17" s="42">
        <f>rdaY!P21</f>
        <v>0.022043284542683624</v>
      </c>
      <c r="I17" s="42"/>
      <c r="J17" s="42"/>
    </row>
    <row r="18" spans="1:10" ht="12.75">
      <c r="A18" s="95" t="s">
        <v>190</v>
      </c>
      <c r="B18" s="95" t="s">
        <v>35</v>
      </c>
      <c r="C18" s="41"/>
      <c r="D18" s="96">
        <f>rdaY!O22</f>
        <v>0.13282008171701387</v>
      </c>
      <c r="E18" s="96">
        <f>rdaY!N66</f>
        <v>5.307381171833769</v>
      </c>
      <c r="F18" s="42"/>
      <c r="G18" s="98">
        <f>rdaY!M22</f>
        <v>1581.8569577965552</v>
      </c>
      <c r="H18" s="42">
        <f>rdaY!P22</f>
        <v>0.022224277612342677</v>
      </c>
      <c r="I18" s="42"/>
      <c r="J18" s="42"/>
    </row>
    <row r="19" spans="1:10" ht="12.75">
      <c r="A19" s="95"/>
      <c r="B19" s="95" t="s">
        <v>36</v>
      </c>
      <c r="C19" s="41"/>
      <c r="D19" s="96">
        <f>rdaY!S23</f>
        <v>0.1522414360826201</v>
      </c>
      <c r="E19" s="96">
        <f>rdaY!O65</f>
        <v>6.195797251704496</v>
      </c>
      <c r="F19" s="42"/>
      <c r="G19" s="98">
        <f>rdaY!N21</f>
        <v>2089.078078275226</v>
      </c>
      <c r="H19" s="42">
        <f>rdaY!T23</f>
        <v>0.02547397875278119</v>
      </c>
      <c r="I19" s="42"/>
      <c r="J19" s="42">
        <f>SQRT((D19/D15)^2+(D31/D27)^2)*J15</f>
        <v>0.1869151191369881</v>
      </c>
    </row>
    <row r="20" spans="1:10" ht="12.75">
      <c r="A20" s="95"/>
      <c r="B20" s="95" t="s">
        <v>36</v>
      </c>
      <c r="C20" s="41"/>
      <c r="D20" s="96">
        <f>rdaY!S24</f>
        <v>0.16373280813255825</v>
      </c>
      <c r="E20" s="96">
        <f>rdaY!O66</f>
        <v>6.616702978900197</v>
      </c>
      <c r="F20" s="42"/>
      <c r="G20" s="98">
        <f>rdaY!N22</f>
        <v>2329.2821986328177</v>
      </c>
      <c r="H20" s="42">
        <f>rdaY!T24</f>
        <v>0.027396786202400655</v>
      </c>
      <c r="I20" s="42"/>
      <c r="J20" s="42">
        <f>SQRT((D20/D15)^2+(D32/D27)^2)*J15</f>
        <v>0.2011434306320874</v>
      </c>
    </row>
    <row r="21" spans="1:10" ht="15.75">
      <c r="A21" s="128" t="s">
        <v>145</v>
      </c>
      <c r="B21" s="124" t="s">
        <v>144</v>
      </c>
      <c r="C21" s="115">
        <v>1.8</v>
      </c>
      <c r="D21" s="116">
        <f>rdaY!O27</f>
        <v>0.789130646379593</v>
      </c>
      <c r="E21" s="116">
        <f>rdaY!N67</f>
        <v>23.668975583366013</v>
      </c>
      <c r="F21" s="116">
        <f>rdaY!N79</f>
        <v>25.110558940036107</v>
      </c>
      <c r="G21" s="117">
        <f>rdaY!N27</f>
        <v>7807.311573277602</v>
      </c>
      <c r="H21" s="112">
        <f>rdaY!P27</f>
        <v>0.9603732460370675</v>
      </c>
      <c r="I21" s="42"/>
      <c r="J21" s="42"/>
    </row>
    <row r="22" spans="1:10" ht="12.75">
      <c r="A22" s="84" t="s">
        <v>186</v>
      </c>
      <c r="B22" s="84"/>
      <c r="C22" s="41"/>
      <c r="D22" s="42">
        <f>rdaY!O28</f>
        <v>0.06108011927338411</v>
      </c>
      <c r="E22" s="42">
        <f>rdaY!N68</f>
        <v>2.0205277592020345</v>
      </c>
      <c r="F22" s="42">
        <f>rdaY!N80</f>
        <v>1.6608204660050436</v>
      </c>
      <c r="G22" s="97">
        <f>rdaY!N28</f>
        <v>313.89798854095096</v>
      </c>
      <c r="H22" s="99">
        <f>rdaY!P28</f>
        <v>0.010220303359087635</v>
      </c>
      <c r="I22" s="222"/>
      <c r="J22" s="42"/>
    </row>
    <row r="23" spans="1:10" ht="12.75">
      <c r="A23" s="95" t="s">
        <v>189</v>
      </c>
      <c r="B23" s="95" t="s">
        <v>35</v>
      </c>
      <c r="C23" s="41"/>
      <c r="D23" s="42">
        <f>rdaY!O29</f>
        <v>0.06370017848016561</v>
      </c>
      <c r="E23" s="42">
        <f>rdaY!N69</f>
        <v>2.4809973649361474</v>
      </c>
      <c r="F23" s="42"/>
      <c r="G23" s="97">
        <f>rdaY!M29</f>
        <v>596.7102134784483</v>
      </c>
      <c r="H23" s="96">
        <f>rdaY!P29</f>
        <v>0.010658707871564511</v>
      </c>
      <c r="I23" s="99"/>
      <c r="J23" s="42"/>
    </row>
    <row r="24" spans="1:10" ht="12.75">
      <c r="A24" s="95" t="s">
        <v>190</v>
      </c>
      <c r="B24" s="95" t="s">
        <v>35</v>
      </c>
      <c r="C24" s="41"/>
      <c r="D24" s="42">
        <f>rdaY!O30</f>
        <v>0.06374415489280921</v>
      </c>
      <c r="E24" s="42">
        <f>rdaY!N70</f>
        <v>2.482013277254294</v>
      </c>
      <c r="F24" s="42"/>
      <c r="G24" s="97">
        <f>rdaY!M30</f>
        <v>596.9144790717546</v>
      </c>
      <c r="H24" s="96">
        <f>rdaY!P30</f>
        <v>0.010666066276937794</v>
      </c>
      <c r="I24" s="96"/>
      <c r="J24" s="42"/>
    </row>
    <row r="25" spans="1:10" ht="12.75">
      <c r="A25" s="84"/>
      <c r="B25" s="95" t="s">
        <v>36</v>
      </c>
      <c r="C25" s="41"/>
      <c r="D25" s="42">
        <f>rdaY!S31</f>
        <v>0.09241941578047529</v>
      </c>
      <c r="E25" s="42">
        <f>rdaY!O69</f>
        <v>3.5176404623216464</v>
      </c>
      <c r="F25" s="42"/>
      <c r="G25" s="97">
        <f>rdaY!N29</f>
        <v>1016.1957214504973</v>
      </c>
      <c r="H25" s="96">
        <f>rdaY!T31</f>
        <v>0.015464188295350978</v>
      </c>
      <c r="I25" s="96"/>
      <c r="J25" s="42"/>
    </row>
    <row r="26" spans="1:10" ht="12.75">
      <c r="A26" s="84"/>
      <c r="B26" s="95" t="s">
        <v>36</v>
      </c>
      <c r="C26" s="41"/>
      <c r="D26" s="42">
        <f>rdaY!S32</f>
        <v>0.10113513897675548</v>
      </c>
      <c r="E26" s="42">
        <f>rdaY!O70</f>
        <v>3.8600295632359916</v>
      </c>
      <c r="F26" s="42"/>
      <c r="G26" s="97">
        <f>rdaY!N30</f>
        <v>1143.3245706099215</v>
      </c>
      <c r="H26" s="96">
        <f>rdaY!T32</f>
        <v>0.01692255701040089</v>
      </c>
      <c r="I26" s="96"/>
      <c r="J26" s="42"/>
    </row>
    <row r="27" spans="1:10" ht="12.75">
      <c r="A27" s="124"/>
      <c r="B27" s="124" t="s">
        <v>154</v>
      </c>
      <c r="C27" s="115">
        <v>1.45</v>
      </c>
      <c r="D27" s="112">
        <f>rdaY!O35</f>
        <v>0.8889593104840282</v>
      </c>
      <c r="E27" s="112">
        <f>rdaY!N71</f>
        <v>33.83979895242889</v>
      </c>
      <c r="F27" s="116">
        <f>F15</f>
        <v>34.06432353490817</v>
      </c>
      <c r="G27" s="119">
        <f>rdaY!N35</f>
        <v>11931.028239308547</v>
      </c>
      <c r="H27" s="116">
        <f>rdaY!P35</f>
        <v>0.9803050697179096</v>
      </c>
      <c r="I27" s="96"/>
      <c r="J27" s="42"/>
    </row>
    <row r="28" spans="1:10" ht="12.75">
      <c r="A28" s="84"/>
      <c r="B28" s="84"/>
      <c r="C28" s="41"/>
      <c r="D28" s="99">
        <f>rdaY!O36</f>
        <v>0.08551252960309454</v>
      </c>
      <c r="E28" s="99">
        <f>rdaY!N72</f>
        <v>3.4106398343567794</v>
      </c>
      <c r="F28" s="42">
        <f>F16</f>
        <v>2.79389497860979</v>
      </c>
      <c r="G28" s="100">
        <f>rdaY!N36</f>
        <v>599.6802765724044</v>
      </c>
      <c r="H28" s="42">
        <f>rdaY!P36</f>
        <v>0.01430848537860372</v>
      </c>
      <c r="I28" s="171"/>
      <c r="J28" s="42"/>
    </row>
    <row r="29" spans="1:10" ht="12.75">
      <c r="A29" s="95" t="s">
        <v>189</v>
      </c>
      <c r="B29" s="95" t="s">
        <v>35</v>
      </c>
      <c r="C29" s="41"/>
      <c r="D29" s="42">
        <f>rdaY!O37</f>
        <v>0.0879049103484023</v>
      </c>
      <c r="E29" s="96">
        <f>rdaY!N73</f>
        <v>3.983648133849453</v>
      </c>
      <c r="F29" s="42"/>
      <c r="G29" s="98">
        <f>rdaY!M37</f>
        <v>980.3279024588062</v>
      </c>
      <c r="H29" s="42">
        <f>rdaY!P37</f>
        <v>0.014708793322634537</v>
      </c>
      <c r="I29" s="42"/>
      <c r="J29" s="42"/>
    </row>
    <row r="30" spans="1:10" ht="12.75">
      <c r="A30" s="95" t="s">
        <v>190</v>
      </c>
      <c r="B30" s="95" t="s">
        <v>35</v>
      </c>
      <c r="C30" s="41"/>
      <c r="D30" s="42">
        <f>rdaY!O38</f>
        <v>0.08794535520004403</v>
      </c>
      <c r="E30" s="96">
        <f>rdaY!N74</f>
        <v>3.984941485424911</v>
      </c>
      <c r="F30" s="42"/>
      <c r="G30" s="98">
        <f>rdaY!M38</f>
        <v>980.6182713363397</v>
      </c>
      <c r="H30" s="42">
        <f>rdaY!P38</f>
        <v>0.014715560805377026</v>
      </c>
      <c r="I30" s="42"/>
      <c r="J30" s="42"/>
    </row>
    <row r="31" spans="1:10" ht="12.75">
      <c r="A31" s="95"/>
      <c r="B31" s="95" t="s">
        <v>36</v>
      </c>
      <c r="C31" s="41"/>
      <c r="D31" s="42">
        <f>rdaY!S39</f>
        <v>0.11583204903813782</v>
      </c>
      <c r="E31" s="96">
        <f>rdaY!O73</f>
        <v>5.346065616711527</v>
      </c>
      <c r="F31" s="42"/>
      <c r="G31" s="98">
        <f>rdaY!N37</f>
        <v>1594.0895593231137</v>
      </c>
      <c r="H31" s="42">
        <f>rdaY!T39</f>
        <v>0.01938173490748807</v>
      </c>
      <c r="I31" s="42"/>
      <c r="J31" s="42"/>
    </row>
    <row r="32" spans="1:10" ht="12.75">
      <c r="A32" s="95"/>
      <c r="B32" s="95" t="s">
        <v>36</v>
      </c>
      <c r="C32" s="41"/>
      <c r="D32" s="42">
        <f>rdaY!S40</f>
        <v>0.12473109954079085</v>
      </c>
      <c r="E32" s="96">
        <f>rdaY!O74</f>
        <v>5.808942910311402</v>
      </c>
      <c r="F32" s="42"/>
      <c r="G32" s="98">
        <f>rdaY!N38</f>
        <v>1783.8899567222888</v>
      </c>
      <c r="H32" s="42">
        <f>rdaY!T40</f>
        <v>0.020870779081384884</v>
      </c>
      <c r="I32" s="42"/>
      <c r="J32" s="42"/>
    </row>
    <row r="33" spans="1:10" ht="12.75">
      <c r="A33" s="124"/>
      <c r="B33" s="124" t="s">
        <v>155</v>
      </c>
      <c r="C33" s="115">
        <v>2.05</v>
      </c>
      <c r="D33" s="112">
        <f>rdaY!O43</f>
        <v>0.665658786147366</v>
      </c>
      <c r="E33" s="112">
        <f>rdaY!N75</f>
        <v>17.845307395704147</v>
      </c>
      <c r="F33" s="116">
        <f>F9</f>
        <v>18.803700519544766</v>
      </c>
      <c r="G33" s="119">
        <f>rdaY!N43</f>
        <v>4931.638294389993</v>
      </c>
      <c r="H33" s="116">
        <f>rdaY!P43</f>
        <v>0.9319019115480498</v>
      </c>
      <c r="I33" s="42"/>
      <c r="J33" s="42"/>
    </row>
    <row r="34" spans="1:10" ht="12.75">
      <c r="A34" s="41"/>
      <c r="B34" s="41"/>
      <c r="C34" s="41"/>
      <c r="D34" s="99">
        <f>rdaY!O44</f>
        <v>0.06935838651909121</v>
      </c>
      <c r="E34" s="99">
        <f>rdaY!N76</f>
        <v>1.879581451970402</v>
      </c>
      <c r="F34" s="42">
        <f>F10</f>
        <v>1.5449368183372245</v>
      </c>
      <c r="G34" s="100">
        <f>rdaY!N44</f>
        <v>316.01519291167557</v>
      </c>
      <c r="H34" s="42">
        <f>rdaY!P44</f>
        <v>0.01160547423866699</v>
      </c>
      <c r="I34" s="171"/>
      <c r="J34" s="42"/>
    </row>
    <row r="35" spans="1:10" ht="12.75">
      <c r="A35" s="95" t="s">
        <v>189</v>
      </c>
      <c r="B35" s="95" t="s">
        <v>35</v>
      </c>
      <c r="C35" s="41"/>
      <c r="D35" s="42">
        <f>rdaY!O45</f>
        <v>0.07101559075871033</v>
      </c>
      <c r="E35" s="96">
        <f>rdaY!N77</f>
        <v>2.1705091384202246</v>
      </c>
      <c r="F35" s="42"/>
      <c r="G35" s="98">
        <f>rdaY!M45</f>
        <v>450.1356072094108</v>
      </c>
      <c r="H35" s="42">
        <f>rdaY!P45</f>
        <v>0.011882767902437781</v>
      </c>
      <c r="I35" s="42"/>
      <c r="J35" s="42"/>
    </row>
    <row r="36" spans="1:10" ht="12.75">
      <c r="A36" s="95" t="s">
        <v>190</v>
      </c>
      <c r="B36" s="95" t="s">
        <v>35</v>
      </c>
      <c r="C36" s="41"/>
      <c r="D36" s="42">
        <f>rdaY!O46</f>
        <v>0.0710436629502224</v>
      </c>
      <c r="E36" s="96">
        <f>rdaY!N78</f>
        <v>2.171169273670326</v>
      </c>
      <c r="F36" s="42"/>
      <c r="G36" s="98">
        <f>rdaY!M46</f>
        <v>450.2436552610728</v>
      </c>
      <c r="H36" s="42">
        <f>rdaY!P46</f>
        <v>0.011887465115158069</v>
      </c>
      <c r="I36" s="42"/>
      <c r="J36" s="42"/>
    </row>
    <row r="37" spans="1:10" ht="12.75">
      <c r="A37" s="95"/>
      <c r="B37" s="95" t="s">
        <v>36</v>
      </c>
      <c r="C37" s="41"/>
      <c r="D37" s="42">
        <f>rdaY!S47</f>
        <v>0.09073888797946532</v>
      </c>
      <c r="E37" s="96">
        <f>rdaY!O77</f>
        <v>2.8715780289048958</v>
      </c>
      <c r="F37" s="42"/>
      <c r="G37" s="97">
        <f>rdaY!N45</f>
        <v>687.4487540450463</v>
      </c>
      <c r="H37" s="42">
        <f>rdaY!T47</f>
        <v>0.015182991989023748</v>
      </c>
      <c r="I37" s="42"/>
      <c r="J37" s="42"/>
    </row>
    <row r="38" spans="1:10" ht="12.75">
      <c r="A38" s="95"/>
      <c r="B38" s="95" t="s">
        <v>36</v>
      </c>
      <c r="C38" s="41"/>
      <c r="D38" s="42">
        <f>rdaY!S48</f>
        <v>0.09712830730111141</v>
      </c>
      <c r="E38" s="96">
        <f>rdaY!O78</f>
        <v>3.1115709783429386</v>
      </c>
      <c r="F38" s="42"/>
      <c r="G38" s="97">
        <f>rdaY!N46</f>
        <v>762.973018437268</v>
      </c>
      <c r="H38" s="42">
        <f>rdaY!T48</f>
        <v>0.016252109150752907</v>
      </c>
      <c r="I38" s="42"/>
      <c r="J38" s="42"/>
    </row>
    <row r="39" spans="1:9" ht="12.75">
      <c r="A39" s="41"/>
      <c r="B39" s="41"/>
      <c r="C39" s="41"/>
      <c r="D39" s="42"/>
      <c r="E39" s="42"/>
      <c r="F39" s="42"/>
      <c r="G39" s="42"/>
      <c r="H39" s="97"/>
      <c r="I39" s="42"/>
    </row>
    <row r="40" spans="1:10" ht="15.75">
      <c r="A40" s="188" t="s">
        <v>37</v>
      </c>
      <c r="B40" s="40"/>
      <c r="C40" s="40" t="s">
        <v>162</v>
      </c>
      <c r="D40" s="94" t="s">
        <v>165</v>
      </c>
      <c r="E40" s="94" t="s">
        <v>153</v>
      </c>
      <c r="F40" s="94" t="s">
        <v>163</v>
      </c>
      <c r="G40" s="94" t="s">
        <v>164</v>
      </c>
      <c r="I40" s="94" t="s">
        <v>334</v>
      </c>
      <c r="J40" s="94" t="s">
        <v>333</v>
      </c>
    </row>
    <row r="41" spans="1:10" ht="15.75">
      <c r="A41" s="127" t="s">
        <v>143</v>
      </c>
      <c r="B41" s="115" t="s">
        <v>157</v>
      </c>
      <c r="C41" s="118" t="str">
        <f>rdaPt!$C$4</f>
        <v>0.5</v>
      </c>
      <c r="D41" s="112">
        <f>rdaPt!Q3</f>
        <v>0.9521527405023116</v>
      </c>
      <c r="E41" s="116">
        <f>rdaPt!P3</f>
        <v>0.75129866779647</v>
      </c>
      <c r="F41" s="116">
        <f>rdaPt!O43</f>
        <v>4.0122522559025295</v>
      </c>
      <c r="G41" s="116">
        <f>rdaPt!O3</f>
        <v>1008.5335386883659</v>
      </c>
      <c r="I41" s="96">
        <v>1.75</v>
      </c>
      <c r="J41" s="42">
        <f>E41*E71</f>
        <v>0.46914561674371147</v>
      </c>
    </row>
    <row r="42" spans="1:10" ht="12.75">
      <c r="A42" s="41"/>
      <c r="B42" s="41"/>
      <c r="C42" s="41"/>
      <c r="D42" s="99">
        <f>rdaPt!Q4</f>
        <v>0.015498380695135799</v>
      </c>
      <c r="E42" s="42">
        <f>rdaPt!P4</f>
        <v>0.09262376156002038</v>
      </c>
      <c r="F42" s="42">
        <f>rdaPt!O44</f>
        <v>0.467938695486761</v>
      </c>
      <c r="G42" s="42">
        <f>rdaPt!O4</f>
        <v>95.4849560184215</v>
      </c>
      <c r="J42" s="42">
        <f>SQRT((E42/E41)^2+(E72/E71)^2)*J41</f>
        <v>0.07497786663124927</v>
      </c>
    </row>
    <row r="43" spans="1:10" ht="12.75">
      <c r="A43" s="95" t="s">
        <v>189</v>
      </c>
      <c r="B43" s="95" t="s">
        <v>35</v>
      </c>
      <c r="C43" s="41"/>
      <c r="D43" s="96">
        <f>rdaPt!U5</f>
        <v>0.017313669891848276</v>
      </c>
      <c r="E43" s="42">
        <f>rdaPt!T5</f>
        <v>0.1034725668014317</v>
      </c>
      <c r="F43" s="42">
        <f>rdaPt!N45</f>
        <v>0.5277592679852556</v>
      </c>
      <c r="G43" s="42">
        <f>rdaPt!N5</f>
        <v>129.18578184715048</v>
      </c>
      <c r="J43" s="42"/>
    </row>
    <row r="44" spans="1:10" ht="12.75">
      <c r="A44" s="95" t="s">
        <v>190</v>
      </c>
      <c r="B44" s="95" t="s">
        <v>35</v>
      </c>
      <c r="C44" s="41"/>
      <c r="D44" s="96">
        <f>rdaPt!U6</f>
        <v>0.017418776413733992</v>
      </c>
      <c r="E44" s="42">
        <f>rdaPt!T6</f>
        <v>0.10410072025907655</v>
      </c>
      <c r="F44" s="42">
        <f>rdaPt!N46</f>
        <v>0.5281404161285688</v>
      </c>
      <c r="G44" s="42">
        <f>rdaPt!N6</f>
        <v>130.1896848660305</v>
      </c>
      <c r="J44" s="42"/>
    </row>
    <row r="45" spans="1:10" ht="12.75">
      <c r="A45" s="95"/>
      <c r="B45" s="95" t="s">
        <v>36</v>
      </c>
      <c r="C45" s="41"/>
      <c r="D45" s="96">
        <f>rdaPt!Q5</f>
        <v>0.019340102818515295</v>
      </c>
      <c r="E45" s="42">
        <f>rdaPt!P5</f>
        <v>0.11558324106534941</v>
      </c>
      <c r="F45" s="42">
        <f>rdaPt!O45</f>
        <v>0.6457353104510309</v>
      </c>
      <c r="G45" s="42">
        <f>rdaPt!O5</f>
        <v>159.48783452015815</v>
      </c>
      <c r="J45" s="42">
        <f>SQRT((E45/E41)^2+(E75/E71)^2)*J41</f>
        <v>0.0958433157617917</v>
      </c>
    </row>
    <row r="46" spans="1:10" ht="12.75">
      <c r="A46" s="95"/>
      <c r="B46" s="95" t="s">
        <v>36</v>
      </c>
      <c r="C46" s="41"/>
      <c r="D46" s="96">
        <f>rdaPt!Q6</f>
        <v>0.020502673283628318</v>
      </c>
      <c r="E46" s="42">
        <f>rdaPt!P6</f>
        <v>0.12253117012165055</v>
      </c>
      <c r="F46" s="42">
        <f>rdaPt!O46</f>
        <v>0.6998702037591624</v>
      </c>
      <c r="G46" s="42">
        <f>rdaPt!O6</f>
        <v>173.99392724446696</v>
      </c>
      <c r="J46" s="42">
        <f>SQRT((E46/E41)^2+(E76/E71)^2)*J41</f>
        <v>0.1021141111452183</v>
      </c>
    </row>
    <row r="47" spans="1:10" ht="12.75">
      <c r="A47" s="115"/>
      <c r="B47" s="115" t="s">
        <v>158</v>
      </c>
      <c r="C47" s="118" t="str">
        <f>rdaPt!$C$8</f>
        <v>1.5</v>
      </c>
      <c r="D47" s="112">
        <f>rdaPt!Q7</f>
        <v>1.028190036225145</v>
      </c>
      <c r="E47" s="116">
        <f>rdaPt!P7</f>
        <v>1.1834969213126536</v>
      </c>
      <c r="F47" s="116">
        <f>rdaPt!O47</f>
        <v>1.1367427083432424</v>
      </c>
      <c r="G47" s="116">
        <f>rdaPt!O7</f>
        <v>506.871202305943</v>
      </c>
      <c r="I47" s="96">
        <v>1.75</v>
      </c>
      <c r="J47" s="42">
        <f>E47*E77</f>
        <v>0.8728514139294073</v>
      </c>
    </row>
    <row r="48" spans="1:10" ht="12.75">
      <c r="A48" s="41"/>
      <c r="B48" s="41"/>
      <c r="C48" s="41"/>
      <c r="D48" s="99">
        <f>rdaPt!Q8</f>
        <v>0.021124330148274827</v>
      </c>
      <c r="E48" s="42">
        <f>rdaPt!P8</f>
        <v>0.12624640968995202</v>
      </c>
      <c r="F48" s="42">
        <f>rdaPt!O48</f>
        <v>0.16894651523685814</v>
      </c>
      <c r="G48" s="42">
        <f>rdaPt!O8</f>
        <v>30.586790008659122</v>
      </c>
      <c r="J48" s="42"/>
    </row>
    <row r="49" spans="1:10" ht="12.75">
      <c r="A49" s="95" t="s">
        <v>189</v>
      </c>
      <c r="B49" s="95" t="s">
        <v>35</v>
      </c>
      <c r="C49" s="41"/>
      <c r="D49" s="96">
        <f>rdaPt!U9</f>
        <v>0.024372977187405165</v>
      </c>
      <c r="E49" s="42">
        <f>rdaPt!T9</f>
        <v>0.14566146437624666</v>
      </c>
      <c r="F49" s="42">
        <f>rdaPt!N49</f>
        <v>0.18254863942268262</v>
      </c>
      <c r="G49" s="42">
        <f>rdaPt!N9</f>
        <v>53.367147288440805</v>
      </c>
      <c r="J49" s="42"/>
    </row>
    <row r="50" spans="1:10" ht="12.75">
      <c r="A50" s="95" t="s">
        <v>190</v>
      </c>
      <c r="B50" s="95" t="s">
        <v>35</v>
      </c>
      <c r="C50" s="41"/>
      <c r="D50" s="96">
        <f>rdaPt!U10</f>
        <v>0.024558112463570272</v>
      </c>
      <c r="E50" s="42">
        <f>rdaPt!T10</f>
        <v>0.14676789775229912</v>
      </c>
      <c r="F50" s="42">
        <f>rdaPt!N50</f>
        <v>0.18263710015957021</v>
      </c>
      <c r="G50" s="42">
        <f>rdaPt!N10</f>
        <v>53.979843683844294</v>
      </c>
      <c r="J50" s="42"/>
    </row>
    <row r="51" spans="1:10" ht="12.75">
      <c r="A51" s="95"/>
      <c r="B51" s="95" t="s">
        <v>36</v>
      </c>
      <c r="C51" s="41"/>
      <c r="D51" s="96">
        <f>rdaPt!Q9</f>
        <v>0.02789904486108502</v>
      </c>
      <c r="E51" s="42">
        <f>rdaPt!P9</f>
        <v>0.1667344821240893</v>
      </c>
      <c r="F51" s="42">
        <f>rdaPt!O49</f>
        <v>0.21080035110461212</v>
      </c>
      <c r="G51" s="42">
        <f>rdaPt!O9</f>
        <v>71.11645931118166</v>
      </c>
      <c r="J51" s="42">
        <f>SQRT((E51/E47)^2+(E81/E77)^2)*J47</f>
        <v>0.1730619704912279</v>
      </c>
    </row>
    <row r="52" spans="1:10" ht="12.75">
      <c r="A52" s="95"/>
      <c r="B52" s="95" t="s">
        <v>36</v>
      </c>
      <c r="C52" s="41"/>
      <c r="D52" s="96">
        <f>rdaPt!Q10</f>
        <v>0.029888099309917038</v>
      </c>
      <c r="E52" s="42">
        <f>rdaPt!P10</f>
        <v>0.17862176948800965</v>
      </c>
      <c r="F52" s="42">
        <f>rdaPt!O50</f>
        <v>0.2242407647102193</v>
      </c>
      <c r="G52" s="42">
        <f>rdaPt!O10</f>
        <v>79.24301085999264</v>
      </c>
      <c r="J52" s="42">
        <f>SQRT((E52/E47)^2+(E82/E77)^2)*J47</f>
        <v>0.1850605039504933</v>
      </c>
    </row>
    <row r="53" spans="1:10" ht="12.75">
      <c r="A53" s="115"/>
      <c r="B53" s="115" t="s">
        <v>159</v>
      </c>
      <c r="C53" s="118" t="str">
        <f>rdaPt!$C$12</f>
        <v>2.5</v>
      </c>
      <c r="D53" s="112">
        <f>rdaPt!Q11</f>
        <v>1.1721582265287969</v>
      </c>
      <c r="E53" s="116">
        <f>rdaPt!P11</f>
        <v>2.7979247275802592</v>
      </c>
      <c r="F53" s="116">
        <f>rdaPt!O51</f>
        <v>0.1609995217464329</v>
      </c>
      <c r="G53" s="116">
        <f>rdaPt!O11</f>
        <v>202.63910144634903</v>
      </c>
      <c r="I53" s="96">
        <v>1.75</v>
      </c>
      <c r="J53" s="42">
        <f>E53*E83</f>
        <v>4.218311614239082</v>
      </c>
    </row>
    <row r="54" spans="1:10" ht="12.75">
      <c r="A54" s="41"/>
      <c r="B54" s="41"/>
      <c r="C54" s="41"/>
      <c r="D54" s="99">
        <f>rdaPt!Q12</f>
        <v>0.10683702550532816</v>
      </c>
      <c r="E54" s="42">
        <f>rdaPt!P12</f>
        <v>0.6384955545254545</v>
      </c>
      <c r="F54" s="42">
        <f>rdaPt!O52</f>
        <v>0.062181262706381996</v>
      </c>
      <c r="G54" s="42">
        <f>rdaPt!O12</f>
        <v>20.38584232047979</v>
      </c>
      <c r="J54" s="42"/>
    </row>
    <row r="55" spans="1:10" ht="12.75">
      <c r="A55" s="95" t="s">
        <v>189</v>
      </c>
      <c r="B55" s="95" t="s">
        <v>35</v>
      </c>
      <c r="C55" s="41"/>
      <c r="D55" s="96">
        <f>rdaPt!U13</f>
        <v>0.11063560658048371</v>
      </c>
      <c r="E55" s="42">
        <f>rdaPt!T13</f>
        <v>0.6611972079880023</v>
      </c>
      <c r="F55" s="42">
        <f>rdaPt!N53</f>
        <v>0.0629477288070796</v>
      </c>
      <c r="G55" s="42">
        <f>rdaPt!N13</f>
        <v>26.856146446828213</v>
      </c>
      <c r="J55" s="42"/>
    </row>
    <row r="56" spans="1:10" ht="12.75">
      <c r="A56" s="95" t="s">
        <v>190</v>
      </c>
      <c r="B56" s="95" t="s">
        <v>35</v>
      </c>
      <c r="C56" s="41"/>
      <c r="D56" s="96">
        <f>rdaPt!U14</f>
        <v>0.11086418673825602</v>
      </c>
      <c r="E56" s="42">
        <f>rdaPt!T14</f>
        <v>0.6625632832217523</v>
      </c>
      <c r="F56" s="42">
        <f>rdaPt!N54</f>
        <v>0.06295287589236653</v>
      </c>
      <c r="G56" s="42">
        <f>rdaPt!N14</f>
        <v>27.05114838532441</v>
      </c>
      <c r="J56" s="42"/>
    </row>
    <row r="57" spans="1:10" ht="12.75">
      <c r="A57" s="95"/>
      <c r="B57" s="95" t="s">
        <v>36</v>
      </c>
      <c r="C57" s="41"/>
      <c r="D57" s="96">
        <f>rdaPt!Q13</f>
        <v>0.11519713952674503</v>
      </c>
      <c r="E57" s="42">
        <f>rdaPt!P13</f>
        <v>0.6884585295591836</v>
      </c>
      <c r="F57" s="42">
        <f>rdaPt!O53</f>
        <v>0.06469417158903751</v>
      </c>
      <c r="G57" s="42">
        <f>rdaPt!O13</f>
        <v>32.77790427581275</v>
      </c>
      <c r="J57" s="42">
        <f>SQRT((E57/E53)^2+(E87/E83)^2)*J53</f>
        <v>1.4648090710867552</v>
      </c>
    </row>
    <row r="58" spans="1:10" ht="12.75">
      <c r="A58" s="95"/>
      <c r="B58" s="95" t="s">
        <v>36</v>
      </c>
      <c r="C58" s="41"/>
      <c r="D58" s="96">
        <f>rdaPt!Q14</f>
        <v>0.11795251579939323</v>
      </c>
      <c r="E58" s="42">
        <f>rdaPt!P14</f>
        <v>0.7049256250516827</v>
      </c>
      <c r="F58" s="42">
        <f>rdaPt!O54</f>
        <v>0.065594417946602</v>
      </c>
      <c r="G58" s="42">
        <f>rdaPt!O14</f>
        <v>35.63263616634512</v>
      </c>
      <c r="J58" s="42">
        <f>SQRT((E58/E53)^2+(E88/E83)^2)*J53</f>
        <v>1.498674293151134</v>
      </c>
    </row>
    <row r="59" spans="1:10" ht="12.75">
      <c r="A59" s="115"/>
      <c r="B59" s="115" t="s">
        <v>160</v>
      </c>
      <c r="C59" s="118" t="str">
        <f>rdaPt!$C$16</f>
        <v>3.5</v>
      </c>
      <c r="D59" s="112">
        <f>rdaPt!Q15</f>
        <v>1.1005080301108736</v>
      </c>
      <c r="E59" s="116">
        <f>rdaPt!P15</f>
        <v>1.823342321256682</v>
      </c>
      <c r="F59" s="116">
        <f>rdaPt!O55</f>
        <v>0.0769972206600712</v>
      </c>
      <c r="G59" s="116">
        <f>rdaPt!O15</f>
        <v>35.606935628635334</v>
      </c>
      <c r="I59" s="96">
        <v>1.75</v>
      </c>
      <c r="J59" s="42">
        <f>E59*E89</f>
        <v>2.225678203118129</v>
      </c>
    </row>
    <row r="60" spans="1:10" ht="12.75">
      <c r="A60" s="41"/>
      <c r="B60" s="41"/>
      <c r="C60" s="41"/>
      <c r="D60" s="99">
        <f>rdaPt!Q16</f>
        <v>0.10543181238186797</v>
      </c>
      <c r="E60" s="42">
        <f>rdaPt!P16</f>
        <v>0.6300975077973058</v>
      </c>
      <c r="F60" s="42">
        <f>rdaPt!O56</f>
        <v>0.03258372027312114</v>
      </c>
      <c r="G60" s="42">
        <f>rdaPt!O16</f>
        <v>7.269764538903593</v>
      </c>
      <c r="J60" s="42"/>
    </row>
    <row r="61" spans="1:10" ht="12.75">
      <c r="A61" s="95" t="s">
        <v>189</v>
      </c>
      <c r="B61" s="95" t="s">
        <v>35</v>
      </c>
      <c r="C61" s="41"/>
      <c r="D61" s="96">
        <f>rdaPt!U17</f>
        <v>0.10708264070381496</v>
      </c>
      <c r="E61" s="42">
        <f>rdaPt!T17</f>
        <v>0.6399634371402685</v>
      </c>
      <c r="F61" s="42">
        <f>rdaPt!N57</f>
        <v>0.03291860481851708</v>
      </c>
      <c r="G61" s="42">
        <f>rdaPt!N17</f>
        <v>7.892235464121129</v>
      </c>
      <c r="J61" s="42"/>
    </row>
    <row r="62" spans="1:10" ht="12.75">
      <c r="A62" s="95" t="s">
        <v>190</v>
      </c>
      <c r="B62" s="95" t="s">
        <v>35</v>
      </c>
      <c r="C62" s="41"/>
      <c r="D62" s="96">
        <f>rdaPt!U18</f>
        <v>0.10718299216657158</v>
      </c>
      <c r="E62" s="42">
        <f>rdaPt!T18</f>
        <v>0.6405631726959634</v>
      </c>
      <c r="F62" s="42">
        <f>rdaPt!N58</f>
        <v>0.03292085596544279</v>
      </c>
      <c r="G62" s="42">
        <f>rdaPt!N18</f>
        <v>7.9127713988548845</v>
      </c>
      <c r="J62" s="42"/>
    </row>
    <row r="63" spans="1:10" ht="12.75">
      <c r="A63" s="95"/>
      <c r="B63" s="95" t="s">
        <v>36</v>
      </c>
      <c r="C63" s="41"/>
      <c r="D63" s="96">
        <f>rdaPt!Q17</f>
        <v>0.10910625952985331</v>
      </c>
      <c r="E63" s="42">
        <f>rdaPt!P17</f>
        <v>0.6520572933513352</v>
      </c>
      <c r="F63" s="42">
        <f>rdaPt!O57</f>
        <v>0.033684124781658296</v>
      </c>
      <c r="G63" s="42">
        <f>rdaPt!O17</f>
        <v>8.555169423158292</v>
      </c>
      <c r="J63" s="42">
        <f>SQRT((E63/E59)^2+(E93/E89)^2)*J59</f>
        <v>1.1025351535438732</v>
      </c>
    </row>
    <row r="64" spans="1:10" ht="12.75">
      <c r="A64" s="95"/>
      <c r="B64" s="95" t="s">
        <v>36</v>
      </c>
      <c r="C64" s="41"/>
      <c r="D64" s="96">
        <f>rdaPt!Q18</f>
        <v>0.11034943721170096</v>
      </c>
      <c r="E64" s="42">
        <f>rdaPt!P18</f>
        <v>0.6594869594206643</v>
      </c>
      <c r="F64" s="42">
        <f>rdaPt!O58</f>
        <v>0.03408000954457395</v>
      </c>
      <c r="G64" s="42">
        <f>rdaPt!O18</f>
        <v>8.900608790426935</v>
      </c>
      <c r="J64" s="42">
        <f>SQRT((E64/E59)^2+(E94/E89)^2)*J59</f>
        <v>1.115133316664892</v>
      </c>
    </row>
    <row r="65" spans="1:10" ht="12.75">
      <c r="A65" s="115"/>
      <c r="B65" s="115" t="s">
        <v>161</v>
      </c>
      <c r="C65" s="118" t="str">
        <f>rdaPt!$C$20</f>
        <v>4.5</v>
      </c>
      <c r="D65" s="112">
        <f>rdaPt!Q19</f>
        <v>1.2137878128707253</v>
      </c>
      <c r="E65" s="116">
        <f>rdaPt!P19</f>
        <v>3.588272862167873</v>
      </c>
      <c r="F65" s="116">
        <f>rdaPt!O59</f>
        <v>0.01176292086211199</v>
      </c>
      <c r="G65" s="116">
        <f>rdaPt!O19</f>
        <v>11.379549816673823</v>
      </c>
      <c r="I65" s="96">
        <v>1.75</v>
      </c>
      <c r="J65" s="42">
        <f>E65*E95</f>
        <v>4.240568466744618</v>
      </c>
    </row>
    <row r="66" spans="1:10" ht="12.75">
      <c r="A66" s="41"/>
      <c r="B66" s="41"/>
      <c r="C66" s="41"/>
      <c r="D66" s="99">
        <f>rdaPt!Q20</f>
        <v>0.37159142274996154</v>
      </c>
      <c r="E66" s="42">
        <f>rdaPt!P20</f>
        <v>2.2207607372390457</v>
      </c>
      <c r="F66" s="42">
        <f>rdaPt!O60</f>
        <v>0.011510259235002453</v>
      </c>
      <c r="G66" s="42">
        <f>rdaPt!O20</f>
        <v>2.858932502021122</v>
      </c>
      <c r="J66" s="42"/>
    </row>
    <row r="67" spans="1:10" ht="12.75">
      <c r="A67" s="95" t="s">
        <v>189</v>
      </c>
      <c r="B67" s="95" t="s">
        <v>35</v>
      </c>
      <c r="C67" s="41"/>
      <c r="D67" s="96">
        <f>rdaPt!U21</f>
        <v>0.3734151704740381</v>
      </c>
      <c r="E67" s="42">
        <f>rdaPt!T21</f>
        <v>2.2316600936081605</v>
      </c>
      <c r="F67" s="42">
        <f>rdaPt!N61</f>
        <v>0.011532476880255603</v>
      </c>
      <c r="G67" s="42">
        <f>rdaPt!N21</f>
        <v>3.022821452503153</v>
      </c>
      <c r="J67" s="42"/>
    </row>
    <row r="68" spans="1:10" ht="12.75">
      <c r="A68" s="95" t="s">
        <v>190</v>
      </c>
      <c r="B68" s="95" t="s">
        <v>35</v>
      </c>
      <c r="C68" s="41"/>
      <c r="D68" s="96">
        <f>rdaPt!U22</f>
        <v>0.3735266574001799</v>
      </c>
      <c r="E68" s="42">
        <f>rdaPt!T22</f>
        <v>2.232326378600583</v>
      </c>
      <c r="F68" s="42">
        <f>rdaPt!N62</f>
        <v>0.011532626853900642</v>
      </c>
      <c r="G68" s="42">
        <f>rdaPt!N22</f>
        <v>3.0282998591858425</v>
      </c>
      <c r="J68" s="42"/>
    </row>
    <row r="69" spans="1:10" ht="12.75">
      <c r="A69" s="95"/>
      <c r="B69" s="95" t="s">
        <v>36</v>
      </c>
      <c r="C69" s="41"/>
      <c r="D69" s="96">
        <f>rdaPt!Q21</f>
        <v>0.37567700764703105</v>
      </c>
      <c r="E69" s="42">
        <f>rdaPt!P21</f>
        <v>2.245177626253661</v>
      </c>
      <c r="F69" s="42">
        <f>rdaPt!O61</f>
        <v>0.0115839532645648</v>
      </c>
      <c r="G69" s="42">
        <f>rdaPt!O21</f>
        <v>3.2017337894291993</v>
      </c>
      <c r="J69" s="42">
        <f>SQRT((E69/E65)^2+(E99/E95)^2)*J65</f>
        <v>4.0088521346976895</v>
      </c>
    </row>
    <row r="70" spans="1:10" ht="12.75">
      <c r="A70" s="95"/>
      <c r="B70" s="95" t="s">
        <v>36</v>
      </c>
      <c r="C70" s="41"/>
      <c r="D70" s="96">
        <f>rdaPt!Q22</f>
        <v>0.37708065940046714</v>
      </c>
      <c r="E70" s="42">
        <f>rdaPt!P22</f>
        <v>2.2535663416866463</v>
      </c>
      <c r="F70" s="42">
        <f>rdaPt!O62</f>
        <v>0.01161094659257974</v>
      </c>
      <c r="G70" s="42">
        <f>rdaPt!O22</f>
        <v>3.29650928330865</v>
      </c>
      <c r="J70" s="42">
        <f>SQRT((E70/E65)^2+(E100/E95)^2)*J65</f>
        <v>4.021481852733579</v>
      </c>
    </row>
    <row r="71" spans="1:7" ht="15.75">
      <c r="A71" s="127" t="s">
        <v>145</v>
      </c>
      <c r="B71" s="115" t="s">
        <v>157</v>
      </c>
      <c r="C71" s="118" t="str">
        <f>rdaPt!$C$24</f>
        <v>.5</v>
      </c>
      <c r="D71" s="112">
        <f>rdaPt!Q23</f>
        <v>0.9212077621270912</v>
      </c>
      <c r="E71" s="116">
        <f>rdaPt!P23</f>
        <v>0.6244462247213847</v>
      </c>
      <c r="F71" s="116">
        <f>rdaPt!O63</f>
        <v>3.1082442373662875</v>
      </c>
      <c r="G71" s="116">
        <f>rdaPt!O23</f>
        <v>838.2484725894087</v>
      </c>
    </row>
    <row r="72" spans="1:7" ht="12.75">
      <c r="A72" s="41"/>
      <c r="B72" s="41"/>
      <c r="C72" s="41"/>
      <c r="D72" s="99">
        <f>rdaPt!Q24</f>
        <v>0.010626098349333804</v>
      </c>
      <c r="E72" s="42">
        <f>rdaPt!P24</f>
        <v>0.06350529253233035</v>
      </c>
      <c r="F72" s="42">
        <f>rdaPt!O64</f>
        <v>0.32882036101329354</v>
      </c>
      <c r="G72" s="42">
        <f>rdaPt!O24</f>
        <v>53.72106604611707</v>
      </c>
    </row>
    <row r="73" spans="1:7" ht="12.75">
      <c r="A73" s="95" t="s">
        <v>189</v>
      </c>
      <c r="B73" s="95" t="s">
        <v>35</v>
      </c>
      <c r="C73" s="41"/>
      <c r="D73" s="96">
        <f>rdaPt!U25</f>
        <v>0.011296589909800436</v>
      </c>
      <c r="E73" s="42">
        <f>rdaPt!T25</f>
        <v>0.06509713550218986</v>
      </c>
      <c r="F73" s="42">
        <f>rdaPt!N65</f>
        <v>0.37930094134032866</v>
      </c>
      <c r="G73" s="42">
        <f>rdaPt!N25</f>
        <v>76.5159692954996</v>
      </c>
    </row>
    <row r="74" spans="1:7" ht="12.75">
      <c r="A74" s="95" t="s">
        <v>190</v>
      </c>
      <c r="B74" s="95" t="s">
        <v>35</v>
      </c>
      <c r="C74" s="41"/>
      <c r="D74" s="96">
        <f>rdaPt!U26</f>
        <v>0.01130773744216571</v>
      </c>
      <c r="E74" s="42">
        <f>rdaPt!T26</f>
        <v>0.06512408500991462</v>
      </c>
      <c r="F74" s="42">
        <f>rdaPt!N66</f>
        <v>0.37941554362178087</v>
      </c>
      <c r="G74" s="42">
        <f>rdaPt!N26</f>
        <v>76.53433346699396</v>
      </c>
    </row>
    <row r="75" spans="1:7" ht="12.75">
      <c r="A75" s="95"/>
      <c r="B75" s="95" t="s">
        <v>36</v>
      </c>
      <c r="C75" s="41"/>
      <c r="D75" s="96">
        <f>rdaPt!Q25</f>
        <v>0.014044594193553266</v>
      </c>
      <c r="E75" s="42">
        <f>rdaPt!P25</f>
        <v>0.08393542327936254</v>
      </c>
      <c r="F75" s="42">
        <f>rdaPt!O65</f>
        <v>0.5011071012826496</v>
      </c>
      <c r="G75" s="42">
        <f>rdaPt!O25</f>
        <v>116.85129493160495</v>
      </c>
    </row>
    <row r="76" spans="1:7" ht="12.75">
      <c r="A76" s="95"/>
      <c r="B76" s="95" t="s">
        <v>36</v>
      </c>
      <c r="C76" s="41"/>
      <c r="D76" s="96">
        <f>rdaPt!Q26</f>
        <v>0.015060736144505002</v>
      </c>
      <c r="E76" s="42">
        <f>rdaPt!P26</f>
        <v>0.09000824415190872</v>
      </c>
      <c r="F76" s="42">
        <f>rdaPt!O66</f>
        <v>0.5428357004399167</v>
      </c>
      <c r="G76" s="42">
        <f>rdaPt!O26</f>
        <v>129.68811829652427</v>
      </c>
    </row>
    <row r="77" spans="1:7" ht="12.75">
      <c r="A77" s="115"/>
      <c r="B77" s="115" t="s">
        <v>158</v>
      </c>
      <c r="C77" s="118" t="str">
        <f>rdaPt!$C$28</f>
        <v>1.5</v>
      </c>
      <c r="D77" s="112">
        <f>rdaPt!Q27</f>
        <v>0.9490552859828528</v>
      </c>
      <c r="E77" s="116">
        <f>rdaPt!P27</f>
        <v>0.7375189560791594</v>
      </c>
      <c r="F77" s="116">
        <f>rdaPt!O67</f>
        <v>1.0635754088640756</v>
      </c>
      <c r="G77" s="116">
        <f>rdaPt!O27</f>
        <v>315.86657578850657</v>
      </c>
    </row>
    <row r="78" spans="1:7" ht="12.75">
      <c r="A78" s="41"/>
      <c r="B78" s="41"/>
      <c r="C78" s="41"/>
      <c r="D78" s="99">
        <f>rdaPt!Q28</f>
        <v>0.013370529916881419</v>
      </c>
      <c r="E78" s="42">
        <f>rdaPt!P28</f>
        <v>0.0799069786265495</v>
      </c>
      <c r="F78" s="42">
        <f>rdaPt!O68</f>
        <v>0.1159795909383487</v>
      </c>
      <c r="G78" s="42">
        <f>rdaPt!O28</f>
        <v>19.980214738690147</v>
      </c>
    </row>
    <row r="79" spans="1:7" ht="12.75">
      <c r="A79" s="95" t="s">
        <v>189</v>
      </c>
      <c r="B79" s="95" t="s">
        <v>35</v>
      </c>
      <c r="C79" s="41"/>
      <c r="D79" s="96">
        <f>rdaPt!U29</f>
        <v>0.013666248459598147</v>
      </c>
      <c r="E79" s="42">
        <f>rdaPt!T29</f>
        <v>0.08167429640821088</v>
      </c>
      <c r="F79" s="42">
        <f>rdaPt!N69</f>
        <v>0.13280315628962333</v>
      </c>
      <c r="G79" s="42">
        <f>rdaPt!N29</f>
        <v>28.648636736992856</v>
      </c>
    </row>
    <row r="80" spans="1:7" ht="12.75">
      <c r="A80" s="95" t="s">
        <v>190</v>
      </c>
      <c r="B80" s="95" t="s">
        <v>35</v>
      </c>
      <c r="C80" s="41"/>
      <c r="D80" s="96">
        <f>rdaPt!U30</f>
        <v>0.013671262152624233</v>
      </c>
      <c r="E80" s="42">
        <f>rdaPt!T30</f>
        <v>0.08170425999708626</v>
      </c>
      <c r="F80" s="42">
        <f>rdaPt!N70</f>
        <v>0.13284148092497006</v>
      </c>
      <c r="G80" s="42">
        <f>rdaPt!N30</f>
        <v>28.6556010870995</v>
      </c>
    </row>
    <row r="81" spans="1:7" ht="12.75">
      <c r="A81" s="95"/>
      <c r="B81" s="95" t="s">
        <v>36</v>
      </c>
      <c r="C81" s="41"/>
      <c r="D81" s="96">
        <f>rdaPt!Q29</f>
        <v>0.017216731861917085</v>
      </c>
      <c r="E81" s="42">
        <f>rdaPt!P29</f>
        <v>0.10289323111810687</v>
      </c>
      <c r="F81" s="42">
        <f>rdaPt!O69</f>
        <v>0.1737610909820274</v>
      </c>
      <c r="G81" s="42">
        <f>rdaPt!O29</f>
        <v>43.911390173417786</v>
      </c>
    </row>
    <row r="82" spans="1:7" ht="12.75">
      <c r="A82" s="95"/>
      <c r="B82" s="95" t="s">
        <v>36</v>
      </c>
      <c r="C82" s="41"/>
      <c r="D82" s="96">
        <f>rdaPt!Q30</f>
        <v>0.01837583967560636</v>
      </c>
      <c r="E82" s="42">
        <f>rdaPt!P30</f>
        <v>0.10982046615442312</v>
      </c>
      <c r="F82" s="42">
        <f>rdaPt!O70</f>
        <v>0.18786554873006708</v>
      </c>
      <c r="G82" s="42">
        <f>rdaPt!O30</f>
        <v>48.760454216388695</v>
      </c>
    </row>
    <row r="83" spans="1:7" ht="12.75">
      <c r="A83" s="115"/>
      <c r="B83" s="115" t="s">
        <v>159</v>
      </c>
      <c r="C83" s="118" t="str">
        <f>rdaPt!$C$32</f>
        <v>2.5</v>
      </c>
      <c r="D83" s="112">
        <f>rdaPt!Q31</f>
        <v>1.0686969338229828</v>
      </c>
      <c r="E83" s="116">
        <f>rdaPt!P31</f>
        <v>1.5076572906545709</v>
      </c>
      <c r="F83" s="116">
        <f>rdaPt!O71</f>
        <v>0.19702999911461264</v>
      </c>
      <c r="G83" s="116">
        <f>rdaPt!O31</f>
        <v>109.19175761082575</v>
      </c>
    </row>
    <row r="84" spans="1:7" ht="12.75">
      <c r="A84" s="41"/>
      <c r="B84" s="41"/>
      <c r="C84" s="41"/>
      <c r="D84" s="99">
        <f>rdaPt!Q32</f>
        <v>0.05769879711114791</v>
      </c>
      <c r="E84" s="42">
        <f>rdaPt!P32</f>
        <v>0.34482825858060584</v>
      </c>
      <c r="F84" s="42">
        <f>rdaPt!O72</f>
        <v>0.047311627069197316</v>
      </c>
      <c r="G84" s="42">
        <f>rdaPt!O32</f>
        <v>11.111767303952316</v>
      </c>
    </row>
    <row r="85" spans="1:7" ht="12.75">
      <c r="A85" s="95" t="s">
        <v>189</v>
      </c>
      <c r="B85" s="95" t="s">
        <v>35</v>
      </c>
      <c r="C85" s="41"/>
      <c r="D85" s="96">
        <f>rdaPt!U33</f>
        <v>0.057987605677843355</v>
      </c>
      <c r="E85" s="42">
        <f>rdaPt!T33</f>
        <v>0.3465542799207892</v>
      </c>
      <c r="F85" s="42">
        <f>rdaPt!N73</f>
        <v>0.048806014915929063</v>
      </c>
      <c r="G85" s="42">
        <f>rdaPt!N33</f>
        <v>13.185043470615893</v>
      </c>
    </row>
    <row r="86" spans="1:7" ht="12.75">
      <c r="A86" s="95" t="s">
        <v>190</v>
      </c>
      <c r="B86" s="95" t="s">
        <v>35</v>
      </c>
      <c r="C86" s="41"/>
      <c r="D86" s="96">
        <f>rdaPt!U34</f>
        <v>0.05799254414226076</v>
      </c>
      <c r="E86" s="42">
        <f>rdaPt!T34</f>
        <v>0.34658379391710065</v>
      </c>
      <c r="F86" s="42">
        <f>rdaPt!N74</f>
        <v>0.04880959413228971</v>
      </c>
      <c r="G86" s="42">
        <f>rdaPt!N34</f>
        <v>13.186851886699547</v>
      </c>
    </row>
    <row r="87" spans="1:7" ht="12.75">
      <c r="A87" s="95"/>
      <c r="B87" s="95" t="s">
        <v>36</v>
      </c>
      <c r="C87" s="41"/>
      <c r="D87" s="96">
        <f>rdaPt!Q33</f>
        <v>0.06181240560484466</v>
      </c>
      <c r="E87" s="42">
        <f>rdaPt!P33</f>
        <v>0.3694126264424061</v>
      </c>
      <c r="F87" s="42">
        <f>rdaPt!O73</f>
        <v>0.05303713981816089</v>
      </c>
      <c r="G87" s="42">
        <f>rdaPt!O33</f>
        <v>17.498254042806654</v>
      </c>
    </row>
    <row r="88" spans="1:7" ht="12.75">
      <c r="A88" s="95"/>
      <c r="B88" s="95" t="s">
        <v>36</v>
      </c>
      <c r="C88" s="41"/>
      <c r="D88" s="96">
        <f>rdaPt!Q33</f>
        <v>0.06181240560484466</v>
      </c>
      <c r="E88" s="42">
        <f>rdaPt!P34</f>
        <v>0.3776550386477105</v>
      </c>
      <c r="F88" s="42">
        <f>rdaPt!O74</f>
        <v>0.05466243024195024</v>
      </c>
      <c r="G88" s="42">
        <f>rdaPt!O34</f>
        <v>18.970750264339998</v>
      </c>
    </row>
    <row r="89" spans="1:7" ht="12.75">
      <c r="A89" s="115"/>
      <c r="B89" s="115" t="s">
        <v>160</v>
      </c>
      <c r="C89" s="118" t="str">
        <f>rdaPt!$C$36</f>
        <v>3.5</v>
      </c>
      <c r="D89" s="112">
        <f>rdaPt!Q35</f>
        <v>1.0333632387797127</v>
      </c>
      <c r="E89" s="116">
        <f>rdaPt!P35</f>
        <v>1.2206584453017848</v>
      </c>
      <c r="F89" s="116">
        <f>rdaPt!O75</f>
        <v>0.04354783264717917</v>
      </c>
      <c r="G89" s="116">
        <f>rdaPt!O35</f>
        <v>23.83749128164512</v>
      </c>
    </row>
    <row r="90" spans="1:7" ht="12.75">
      <c r="A90" s="41"/>
      <c r="B90" s="41"/>
      <c r="C90" s="41"/>
      <c r="D90" s="99">
        <f>rdaPt!Q36</f>
        <v>0.06767282991240584</v>
      </c>
      <c r="E90" s="42">
        <f>rdaPt!P36</f>
        <v>0.404436578581771</v>
      </c>
      <c r="F90" s="42">
        <f>rdaPt!O76</f>
        <v>0.01525953834355353</v>
      </c>
      <c r="G90" s="42">
        <f>rdaPt!O36</f>
        <v>4.266906983866291</v>
      </c>
    </row>
    <row r="91" spans="1:7" ht="12.75">
      <c r="A91" s="95" t="s">
        <v>189</v>
      </c>
      <c r="B91" s="95" t="s">
        <v>35</v>
      </c>
      <c r="C91" s="41"/>
      <c r="D91" s="96">
        <f>rdaPt!U37</f>
        <v>0.06783445649706066</v>
      </c>
      <c r="E91" s="42">
        <f>rdaPt!T37</f>
        <v>0.40540251576793956</v>
      </c>
      <c r="F91" s="42">
        <f>rdaPt!N77</f>
        <v>0.015487744873059064</v>
      </c>
      <c r="G91" s="42">
        <f>rdaPt!N37</f>
        <v>4.539520901952377</v>
      </c>
    </row>
    <row r="92" spans="1:7" ht="12.75">
      <c r="A92" s="95" t="s">
        <v>190</v>
      </c>
      <c r="B92" s="95" t="s">
        <v>35</v>
      </c>
      <c r="C92" s="41"/>
      <c r="D92" s="96">
        <f>rdaPt!U38</f>
        <v>0.06783722388119233</v>
      </c>
      <c r="E92" s="42">
        <f>rdaPt!T38</f>
        <v>0.4054190546266113</v>
      </c>
      <c r="F92" s="42">
        <f>rdaPt!N78</f>
        <v>0.015488295870641215</v>
      </c>
      <c r="G92" s="42">
        <f>rdaPt!N38</f>
        <v>4.539771241287927</v>
      </c>
    </row>
    <row r="93" spans="1:7" ht="12.75">
      <c r="A93" s="95"/>
      <c r="B93" s="95" t="s">
        <v>36</v>
      </c>
      <c r="C93" s="41"/>
      <c r="D93" s="96">
        <f>rdaPt!Q37</f>
        <v>0.07001341309042038</v>
      </c>
      <c r="E93" s="42">
        <f>rdaPt!P37</f>
        <v>0.4184247249859857</v>
      </c>
      <c r="F93" s="42">
        <f>rdaPt!O77</f>
        <v>0.01615303171657655</v>
      </c>
      <c r="G93" s="42">
        <f>rdaPt!O37</f>
        <v>5.187924297341891</v>
      </c>
    </row>
    <row r="94" spans="1:7" ht="12.75">
      <c r="A94" s="95"/>
      <c r="B94" s="95" t="s">
        <v>36</v>
      </c>
      <c r="C94" s="41"/>
      <c r="D94" s="96">
        <f>rdaPt!Q37</f>
        <v>0.07001341309042038</v>
      </c>
      <c r="E94" s="42">
        <f>rdaPt!P38</f>
        <v>0.42322060388311944</v>
      </c>
      <c r="F94" s="42">
        <f>rdaPt!O78</f>
        <v>0.01641558293626768</v>
      </c>
      <c r="G94" s="42">
        <f>rdaPt!O38</f>
        <v>5.428982259744827</v>
      </c>
    </row>
    <row r="95" spans="1:7" ht="12.75">
      <c r="A95" s="115"/>
      <c r="B95" s="115" t="s">
        <v>161</v>
      </c>
      <c r="C95" s="118" t="str">
        <f>rdaPt!$C$40</f>
        <v>4.5</v>
      </c>
      <c r="D95" s="112">
        <f>rdaPt!Q39</f>
        <v>1.0279478807872153</v>
      </c>
      <c r="E95" s="116">
        <f>rdaPt!P39</f>
        <v>1.1817853963822185</v>
      </c>
      <c r="F95" s="116">
        <f>rdaPt!O79</f>
        <v>0.00736028110634257</v>
      </c>
      <c r="G95" s="116">
        <f>rdaPt!O39</f>
        <v>3.7478158176143515</v>
      </c>
    </row>
    <row r="96" spans="1:7" ht="12.75">
      <c r="A96" s="41"/>
      <c r="B96" s="41"/>
      <c r="C96" s="41"/>
      <c r="D96" s="99">
        <f>rdaPt!Q40</f>
        <v>0.1390513940251253</v>
      </c>
      <c r="E96" s="42">
        <f>rdaPt!P40</f>
        <v>0.8310199251212029</v>
      </c>
      <c r="F96" s="42">
        <f>rdaPt!O80</f>
        <v>0.00495678377579739</v>
      </c>
      <c r="G96" s="42">
        <f>rdaPt!O40</f>
        <v>1.565875248719294</v>
      </c>
    </row>
    <row r="97" spans="1:7" ht="12.75">
      <c r="A97" s="95" t="s">
        <v>189</v>
      </c>
      <c r="B97" s="95" t="s">
        <v>35</v>
      </c>
      <c r="C97" s="41"/>
      <c r="D97" s="96">
        <f>rdaPt!U41</f>
        <v>0.1391251918886888</v>
      </c>
      <c r="E97" s="42">
        <f>rdaPt!T41</f>
        <v>0.8314609670502149</v>
      </c>
      <c r="F97" s="42">
        <f>rdaPt!N81</f>
        <v>0.004976961746937227</v>
      </c>
      <c r="G97" s="42">
        <f>rdaPt!N41</f>
        <v>1.5847113825325962</v>
      </c>
    </row>
    <row r="98" spans="1:7" ht="12.75">
      <c r="A98" s="95" t="s">
        <v>190</v>
      </c>
      <c r="B98" s="95" t="s">
        <v>35</v>
      </c>
      <c r="C98" s="41"/>
      <c r="D98" s="96">
        <f>rdaPt!U42</f>
        <v>0.1391264566536396</v>
      </c>
      <c r="E98" s="42">
        <f>rdaPt!T42</f>
        <v>0.8314685257293786</v>
      </c>
      <c r="F98" s="42">
        <f>rdaPt!N82</f>
        <v>0.004977010728752564</v>
      </c>
      <c r="G98" s="42">
        <f>rdaPt!N42</f>
        <v>1.584729109476438</v>
      </c>
    </row>
    <row r="99" spans="1:7" ht="12.75">
      <c r="A99" s="95"/>
      <c r="B99" s="95" t="s">
        <v>36</v>
      </c>
      <c r="C99" s="41"/>
      <c r="D99" s="96">
        <f>rdaPt!Q41</f>
        <v>0.14013335564428747</v>
      </c>
      <c r="E99" s="42">
        <f>rdaPt!P41</f>
        <v>0.8374861074277082</v>
      </c>
      <c r="F99" s="42">
        <f>rdaPt!O81</f>
        <v>0.00503701069304812</v>
      </c>
      <c r="G99" s="42">
        <f>rdaPt!O41</f>
        <v>1.6331632299617245</v>
      </c>
    </row>
    <row r="100" spans="1:7" ht="12.75">
      <c r="A100" s="95"/>
      <c r="B100" s="95" t="s">
        <v>36</v>
      </c>
      <c r="C100" s="41"/>
      <c r="D100" s="96">
        <f>rdaPt!Q42</f>
        <v>0.1405108044487501</v>
      </c>
      <c r="E100" s="42">
        <f>rdaPt!P42</f>
        <v>0.8397418739334719</v>
      </c>
      <c r="F100" s="42">
        <f>rdaPt!O82</f>
        <v>0.005061200065830485</v>
      </c>
      <c r="G100" s="42">
        <f>rdaPt!O42</f>
        <v>1.652418190260881</v>
      </c>
    </row>
    <row r="101" spans="1:7" ht="12.75">
      <c r="A101" s="41"/>
      <c r="B101" s="41"/>
      <c r="C101" s="40" t="s">
        <v>162</v>
      </c>
      <c r="D101" s="94" t="s">
        <v>165</v>
      </c>
      <c r="E101" s="94" t="s">
        <v>153</v>
      </c>
      <c r="F101" s="94" t="s">
        <v>163</v>
      </c>
      <c r="G101" s="94" t="s">
        <v>164</v>
      </c>
    </row>
    <row r="102" spans="1:7" ht="12.75">
      <c r="A102" s="41"/>
      <c r="B102" s="41"/>
      <c r="C102" s="41"/>
      <c r="D102" s="42"/>
      <c r="E102" s="153"/>
      <c r="F102" s="153"/>
      <c r="G102" s="153"/>
    </row>
    <row r="103" spans="1:7" ht="12.75">
      <c r="A103" s="41"/>
      <c r="B103" s="41"/>
      <c r="C103" s="41"/>
      <c r="D103" s="42"/>
      <c r="E103" s="153" t="s">
        <v>198</v>
      </c>
      <c r="F103" s="153" t="s">
        <v>198</v>
      </c>
      <c r="G103" s="153" t="s">
        <v>198</v>
      </c>
    </row>
    <row r="104" spans="1:10" ht="12.75">
      <c r="A104" s="189" t="s">
        <v>191</v>
      </c>
      <c r="B104" s="41"/>
      <c r="C104" s="40" t="s">
        <v>167</v>
      </c>
      <c r="D104" s="94" t="s">
        <v>153</v>
      </c>
      <c r="E104" s="94" t="s">
        <v>153</v>
      </c>
      <c r="F104" s="94" t="s">
        <v>202</v>
      </c>
      <c r="G104" s="94" t="s">
        <v>203</v>
      </c>
      <c r="I104" s="94" t="s">
        <v>334</v>
      </c>
      <c r="J104" s="94" t="s">
        <v>333</v>
      </c>
    </row>
    <row r="105" spans="1:10" ht="22.5">
      <c r="A105" s="127" t="s">
        <v>143</v>
      </c>
      <c r="B105" s="124" t="s">
        <v>168</v>
      </c>
      <c r="C105" s="115">
        <v>15.37</v>
      </c>
      <c r="D105" s="112">
        <f>rdaCent!P8</f>
        <v>1.2403498545665272</v>
      </c>
      <c r="E105" s="114">
        <f>rdaCent!P8/rdaCentQM!P8-1</f>
        <v>-0.03443300085470191</v>
      </c>
      <c r="F105" s="223">
        <f>rdaCent!$E$37/rdaCentQM!$E$37-1</f>
        <v>0.3389830508474576</v>
      </c>
      <c r="G105" s="141">
        <f>rdaCent!$E$8/rdaCentQM!$E$8-1</f>
        <v>0.3359375</v>
      </c>
      <c r="H105" s="224"/>
      <c r="I105" s="110">
        <v>1.75</v>
      </c>
      <c r="J105" s="116">
        <f>D105*D121</f>
        <v>0.8074923322325097</v>
      </c>
    </row>
    <row r="106" spans="1:10" ht="12.75">
      <c r="A106" s="41"/>
      <c r="B106" s="41"/>
      <c r="C106" s="41"/>
      <c r="D106" s="99">
        <f>rdaCent!P9</f>
        <v>0.11645844970709951</v>
      </c>
      <c r="E106" s="42"/>
      <c r="F106" s="42"/>
      <c r="G106" s="42"/>
      <c r="J106" s="42"/>
    </row>
    <row r="107" spans="1:10" ht="12.75">
      <c r="A107" s="95" t="s">
        <v>194</v>
      </c>
      <c r="B107" s="95" t="s">
        <v>35</v>
      </c>
      <c r="C107" s="41"/>
      <c r="D107" s="96">
        <f>rdaCent!$R$9</f>
        <v>0.17025190107442606</v>
      </c>
      <c r="E107" s="42"/>
      <c r="F107" s="42"/>
      <c r="G107" s="42"/>
      <c r="J107" s="42">
        <f>SQRT((D107/D105)^2+(D123/D121)^2)*J105</f>
        <v>0.13630830541890593</v>
      </c>
    </row>
    <row r="108" spans="1:12" ht="12.75">
      <c r="A108" s="95"/>
      <c r="B108" s="95" t="s">
        <v>36</v>
      </c>
      <c r="C108" s="41"/>
      <c r="D108" s="96">
        <f>rdaCent!$T$9</f>
        <v>0.190306353807631</v>
      </c>
      <c r="E108" s="42">
        <f>SQRT(D108^2-D107^2)/D105</f>
        <v>0.06855654600401047</v>
      </c>
      <c r="F108" s="42"/>
      <c r="G108" s="42"/>
      <c r="I108" s="43" t="s">
        <v>336</v>
      </c>
      <c r="J108" s="42">
        <f>SQRT((J107/J105)^2+syst!B41^2+syst!B43^2)*J105</f>
        <v>0.16229379574981875</v>
      </c>
      <c r="K108" s="42">
        <f>SQRT((J107/J105)^2+syst!B42^2+syst!B44^2)*J105</f>
        <v>0.17325358162701437</v>
      </c>
      <c r="L108" s="43" t="s">
        <v>335</v>
      </c>
    </row>
    <row r="109" spans="1:10" ht="12.75">
      <c r="A109" s="115"/>
      <c r="B109" s="124" t="s">
        <v>169</v>
      </c>
      <c r="C109" s="115">
        <v>10.63</v>
      </c>
      <c r="D109" s="112">
        <f>rdaCent!P10</f>
        <v>0.8720748346104408</v>
      </c>
      <c r="E109" s="114">
        <f>rdaCent!P10/rdaCentQM!P10-1</f>
        <v>-0.18904982119404534</v>
      </c>
      <c r="F109" s="116"/>
      <c r="G109" s="141">
        <f>rdaCent!$E$10/rdaCentQM!$E$10-1</f>
        <v>0.04613095238095233</v>
      </c>
      <c r="H109" s="224"/>
      <c r="I109" s="110">
        <v>1.75</v>
      </c>
      <c r="J109" s="116">
        <f>D109*D125</f>
        <v>0.6573393338321287</v>
      </c>
    </row>
    <row r="110" spans="1:10" ht="12.75">
      <c r="A110" s="41"/>
      <c r="B110" s="41"/>
      <c r="C110" s="41"/>
      <c r="D110" s="99">
        <f>rdaCent!P11</f>
        <v>0.09806368680843518</v>
      </c>
      <c r="E110" s="42"/>
      <c r="F110" s="42"/>
      <c r="G110" s="42"/>
      <c r="J110" s="42"/>
    </row>
    <row r="111" spans="1:10" ht="12.75">
      <c r="A111" s="95" t="s">
        <v>194</v>
      </c>
      <c r="B111" s="95" t="s">
        <v>35</v>
      </c>
      <c r="C111" s="41"/>
      <c r="D111" s="96">
        <f>rdaCent!$R$11</f>
        <v>0.10417448229220631</v>
      </c>
      <c r="E111" s="42"/>
      <c r="F111" s="42"/>
      <c r="G111" s="42"/>
      <c r="J111" s="42">
        <f>SQRT((D111/D109)^2+(D127/D125)^2)*J109</f>
        <v>0.10134118659081483</v>
      </c>
    </row>
    <row r="112" spans="1:12" ht="12.75">
      <c r="A112" s="95"/>
      <c r="B112" s="95" t="s">
        <v>36</v>
      </c>
      <c r="C112" s="41"/>
      <c r="D112" s="96">
        <f>rdaCent!$T$11</f>
        <v>0.12011136911843565</v>
      </c>
      <c r="E112" s="42">
        <f>SQRT(D112^2-D111^2)/D109</f>
        <v>0.06855654600401043</v>
      </c>
      <c r="F112" s="42"/>
      <c r="G112" s="42"/>
      <c r="I112" s="43" t="s">
        <v>336</v>
      </c>
      <c r="J112" s="42">
        <f>SQRT((J111/J109)^2+syst!C41^2+syst!C43^2)*J109</f>
        <v>0.12414494189167942</v>
      </c>
      <c r="K112" s="42">
        <f>SQRT((J111/J109)^2+syst!C42^2+syst!C44^2)*J109</f>
        <v>0.13360008381800004</v>
      </c>
      <c r="L112" s="43" t="s">
        <v>335</v>
      </c>
    </row>
    <row r="113" spans="1:10" ht="12.75">
      <c r="A113" s="115"/>
      <c r="B113" s="124" t="s">
        <v>170</v>
      </c>
      <c r="C113" s="115">
        <v>6.95</v>
      </c>
      <c r="D113" s="112">
        <f>rdaCent!P12</f>
        <v>0.8929415829633429</v>
      </c>
      <c r="E113" s="114">
        <f>rdaCent!P12/rdaCentQM!P12-1</f>
        <v>0.16726000648394668</v>
      </c>
      <c r="F113" s="116"/>
      <c r="G113" s="141">
        <f>rdaCent!$E$12/rdaCentQM!$E$12-1</f>
        <v>0.382716049382716</v>
      </c>
      <c r="H113" s="224"/>
      <c r="I113" s="110">
        <v>1.75</v>
      </c>
      <c r="J113" s="116">
        <f>D113*D129</f>
        <v>0.717248677122088</v>
      </c>
    </row>
    <row r="114" spans="1:10" ht="12.75">
      <c r="A114" s="41"/>
      <c r="B114" s="41"/>
      <c r="C114" s="41"/>
      <c r="D114" s="99">
        <f>rdaCent!P13</f>
        <v>0.12861202806684702</v>
      </c>
      <c r="E114" s="42"/>
      <c r="F114" s="42"/>
      <c r="G114" s="42"/>
      <c r="J114" s="42"/>
    </row>
    <row r="115" spans="1:10" ht="12.75">
      <c r="A115" s="95" t="s">
        <v>194</v>
      </c>
      <c r="B115" s="95" t="s">
        <v>35</v>
      </c>
      <c r="C115" s="41"/>
      <c r="D115" s="96">
        <f>rdaCent!$R$13</f>
        <v>0.13355425434320017</v>
      </c>
      <c r="E115" s="42"/>
      <c r="F115" s="42"/>
      <c r="G115" s="42"/>
      <c r="J115" s="42">
        <f>SQRT((D115/D113)^2+(D131/D129)^2)*J113</f>
        <v>0.1387982926438716</v>
      </c>
    </row>
    <row r="116" spans="1:12" ht="12.75">
      <c r="A116" s="95"/>
      <c r="B116" s="95" t="s">
        <v>36</v>
      </c>
      <c r="C116" s="41"/>
      <c r="D116" s="96">
        <f>rdaCent!$T$13</f>
        <v>0.14691582217350888</v>
      </c>
      <c r="E116" s="42">
        <f>SQRT(D116^2-D115^2)/D113</f>
        <v>0.06855654600401044</v>
      </c>
      <c r="F116" s="42"/>
      <c r="G116" s="42"/>
      <c r="I116" s="43" t="s">
        <v>336</v>
      </c>
      <c r="J116" s="42">
        <f>SQRT((J115/J113)^2+syst!E41^2+syst!E43^2)*J113</f>
        <v>0.1593325749882023</v>
      </c>
      <c r="K116" s="42">
        <f>SQRT((J115/J113)^2+syst!C42^2+syst!C44^2)*J113</f>
        <v>0.1681913880138677</v>
      </c>
      <c r="L116" s="43" t="s">
        <v>335</v>
      </c>
    </row>
    <row r="117" spans="1:10" ht="12.75">
      <c r="A117" s="115"/>
      <c r="B117" s="124" t="s">
        <v>171</v>
      </c>
      <c r="C117" s="115">
        <v>3.07</v>
      </c>
      <c r="D117" s="112">
        <f>rdaCent!P14</f>
        <v>1.142158835071395</v>
      </c>
      <c r="E117" s="114">
        <f>rdaCent!P14/rdaCentQM!P14-1</f>
        <v>0.7283459858938415</v>
      </c>
      <c r="F117" s="116"/>
      <c r="G117" s="141">
        <f>rdaCent!$E$14/rdaCentQM!$E$14-1</f>
        <v>0.7549999999999999</v>
      </c>
      <c r="H117" s="224"/>
      <c r="I117" s="110">
        <v>1.75</v>
      </c>
      <c r="J117" s="116">
        <f>D117*D133</f>
        <v>1.1157174794815023</v>
      </c>
    </row>
    <row r="118" spans="1:10" ht="12.75">
      <c r="A118" s="41"/>
      <c r="B118" s="41"/>
      <c r="C118" s="41"/>
      <c r="D118" s="99">
        <f>rdaCent!P15</f>
        <v>0.17430736405098066</v>
      </c>
      <c r="E118" s="42"/>
      <c r="F118" s="42"/>
      <c r="G118" s="42"/>
      <c r="J118" s="42"/>
    </row>
    <row r="119" spans="1:10" ht="12.75">
      <c r="A119" s="95" t="s">
        <v>194</v>
      </c>
      <c r="B119" s="95" t="s">
        <v>35</v>
      </c>
      <c r="C119" s="41"/>
      <c r="D119" s="96">
        <f>rdaCent!$R$15</f>
        <v>0.17892377055066122</v>
      </c>
      <c r="E119" s="42"/>
      <c r="F119" s="42"/>
      <c r="G119" s="42"/>
      <c r="J119" s="42">
        <f>SQRT((D119/D117)^2+(D135/D133)^2)*J117</f>
        <v>0.24021209624919265</v>
      </c>
    </row>
    <row r="120" spans="1:12" ht="12.75">
      <c r="A120" s="95"/>
      <c r="B120" s="95" t="s">
        <v>36</v>
      </c>
      <c r="C120" s="41"/>
      <c r="D120" s="96">
        <f>rdaCent!$T$15</f>
        <v>0.19530742855653085</v>
      </c>
      <c r="E120" s="42">
        <f>SQRT(D120^2-D119^2)/D117</f>
        <v>0.06855654600401047</v>
      </c>
      <c r="F120" s="42"/>
      <c r="G120" s="42"/>
      <c r="I120" s="43" t="s">
        <v>336</v>
      </c>
      <c r="J120" s="42">
        <f>SQRT((J119/J117)^2+syst!F41^2+syst!F43^2)*J117</f>
        <v>0.24021209624919265</v>
      </c>
      <c r="K120" s="42">
        <f>SQRT((J119/J117)^2+syst!C42^2+syst!C44^2)*J117</f>
        <v>0.28202143597526763</v>
      </c>
      <c r="L120" s="43" t="s">
        <v>335</v>
      </c>
    </row>
    <row r="121" spans="1:9" ht="15.75">
      <c r="A121" s="127" t="s">
        <v>145</v>
      </c>
      <c r="B121" s="124" t="s">
        <v>168</v>
      </c>
      <c r="C121" s="115">
        <f>C105</f>
        <v>15.37</v>
      </c>
      <c r="D121" s="112">
        <f>rdaCent!P23</f>
        <v>0.6510198144979902</v>
      </c>
      <c r="E121" s="114">
        <f>rdaCent!P23/rdaCentQM!P23-1</f>
        <v>0.031116443156749662</v>
      </c>
      <c r="F121" s="141">
        <f>rdaCent!$E$39/rdaCentQM!$E$39-1</f>
        <v>-0.0008620689655172153</v>
      </c>
      <c r="G121" s="141">
        <f>rdaCent!$E$23/rdaCentQM!$E$23-1</f>
        <v>0.14982578397212554</v>
      </c>
      <c r="I121" s="96"/>
    </row>
    <row r="122" spans="1:7" ht="12.75">
      <c r="A122" s="41"/>
      <c r="B122" s="41"/>
      <c r="C122" s="41"/>
      <c r="D122" s="99">
        <f>rdaCent!P24</f>
        <v>0.060912323200382</v>
      </c>
      <c r="E122" s="42"/>
      <c r="F122" s="42"/>
      <c r="G122" s="42"/>
    </row>
    <row r="123" spans="1:7" ht="12.75">
      <c r="A123" s="95" t="s">
        <v>194</v>
      </c>
      <c r="B123" s="95" t="s">
        <v>35</v>
      </c>
      <c r="C123" s="41"/>
      <c r="D123" s="96">
        <f>rdaCent!$R$24</f>
        <v>0.06396682919021306</v>
      </c>
      <c r="E123" s="42"/>
      <c r="F123" s="42"/>
      <c r="G123" s="42"/>
    </row>
    <row r="124" spans="1:7" ht="12.75">
      <c r="A124" s="95"/>
      <c r="B124" s="95" t="s">
        <v>36</v>
      </c>
      <c r="C124" s="41"/>
      <c r="D124" s="96">
        <f>rdaCent!$T$24</f>
        <v>0.09105742686152948</v>
      </c>
      <c r="E124" s="42">
        <f>SQRT(D124^2-D123^2)/D121</f>
        <v>0.09954396013822238</v>
      </c>
      <c r="F124" s="42"/>
      <c r="G124" s="42"/>
    </row>
    <row r="125" spans="1:9" ht="12.75">
      <c r="A125" s="115"/>
      <c r="B125" s="124" t="s">
        <v>169</v>
      </c>
      <c r="C125" s="115">
        <f>C109</f>
        <v>10.63</v>
      </c>
      <c r="D125" s="112">
        <f>rdaCent!P25</f>
        <v>0.7537648235495349</v>
      </c>
      <c r="E125" s="114">
        <f>rdaCent!P25/rdaCentQM!P25-1</f>
        <v>-0.009320388157726844</v>
      </c>
      <c r="F125" s="116"/>
      <c r="G125" s="141">
        <f>rdaCent!$E$25/rdaCentQM!$E$25-1</f>
        <v>0.09647302904564325</v>
      </c>
      <c r="I125" s="96"/>
    </row>
    <row r="126" spans="1:7" ht="12.75">
      <c r="A126" s="41"/>
      <c r="B126" s="41"/>
      <c r="C126" s="41"/>
      <c r="D126" s="99">
        <f>rdaCent!P26</f>
        <v>0.07100325986264147</v>
      </c>
      <c r="E126" s="42"/>
      <c r="F126" s="42"/>
      <c r="G126" s="42"/>
    </row>
    <row r="127" spans="1:7" ht="12.75">
      <c r="A127" s="95" t="s">
        <v>194</v>
      </c>
      <c r="B127" s="95" t="s">
        <v>35</v>
      </c>
      <c r="C127" s="41"/>
      <c r="D127" s="96">
        <f>rdaCent!$R$26</f>
        <v>0.07346130812805274</v>
      </c>
      <c r="E127" s="42"/>
      <c r="F127" s="42"/>
      <c r="G127" s="42"/>
    </row>
    <row r="128" spans="1:7" ht="12.75">
      <c r="A128" s="95"/>
      <c r="B128" s="95" t="s">
        <v>36</v>
      </c>
      <c r="C128" s="41"/>
      <c r="D128" s="96">
        <f>rdaCent!$T$26</f>
        <v>0.10500702450718354</v>
      </c>
      <c r="E128" s="42">
        <f>SQRT(D128^2-D127^2)/D125</f>
        <v>0.09954396013822236</v>
      </c>
      <c r="F128" s="42"/>
      <c r="G128" s="42"/>
    </row>
    <row r="129" spans="1:9" ht="12.75">
      <c r="A129" s="115"/>
      <c r="B129" s="124" t="s">
        <v>170</v>
      </c>
      <c r="C129" s="115">
        <f>C113</f>
        <v>6.95</v>
      </c>
      <c r="D129" s="112">
        <f>rdaCent!P27</f>
        <v>0.8032425533838449</v>
      </c>
      <c r="E129" s="114">
        <f>rdaCent!P27/rdaCentQM!P27-1</f>
        <v>0.1811039702177355</v>
      </c>
      <c r="F129" s="116"/>
      <c r="G129" s="141">
        <f>rdaCent!$E$27/rdaCentQM!$E$27-1</f>
        <v>0.23630136986301364</v>
      </c>
      <c r="I129" s="96"/>
    </row>
    <row r="130" spans="1:7" ht="12.75">
      <c r="A130" s="41"/>
      <c r="B130" s="41"/>
      <c r="C130" s="41"/>
      <c r="D130" s="99">
        <f>rdaCent!P28</f>
        <v>0.09789294494035382</v>
      </c>
      <c r="E130" s="42"/>
      <c r="F130" s="42"/>
      <c r="G130" s="42"/>
    </row>
    <row r="131" spans="1:7" ht="12.75">
      <c r="A131" s="95" t="s">
        <v>194</v>
      </c>
      <c r="B131" s="95" t="s">
        <v>35</v>
      </c>
      <c r="C131" s="41"/>
      <c r="D131" s="96">
        <f>rdaCent!$R$28</f>
        <v>0.09863162958198363</v>
      </c>
      <c r="E131" s="42"/>
      <c r="F131" s="42"/>
      <c r="G131" s="42"/>
    </row>
    <row r="132" spans="1:7" ht="12.75">
      <c r="A132" s="95"/>
      <c r="B132" s="95" t="s">
        <v>36</v>
      </c>
      <c r="C132" s="41"/>
      <c r="D132" s="96">
        <f>rdaCent!$T$28</f>
        <v>0.12697035589893832</v>
      </c>
      <c r="E132" s="42">
        <f>SQRT(D132^2-D131^2)/D129</f>
        <v>0.09954396013822239</v>
      </c>
      <c r="F132" s="42"/>
      <c r="G132" s="42"/>
    </row>
    <row r="133" spans="1:9" ht="12.75">
      <c r="A133" s="109"/>
      <c r="B133" s="124" t="s">
        <v>171</v>
      </c>
      <c r="C133" s="115">
        <f>C117</f>
        <v>3.07</v>
      </c>
      <c r="D133" s="112">
        <f>rdaCent!P29</f>
        <v>0.9768496685592422</v>
      </c>
      <c r="E133" s="114">
        <f>rdaCent!P29/rdaCentQM!P29-1</f>
        <v>0.280798346685182</v>
      </c>
      <c r="F133" s="116"/>
      <c r="G133" s="141">
        <f>rdaCent!$E$29/rdaCentQM!$E$29-1</f>
        <v>0.16025641025641035</v>
      </c>
      <c r="I133" s="96"/>
    </row>
    <row r="134" spans="1:7" ht="12.75">
      <c r="A134" s="41"/>
      <c r="B134" s="41"/>
      <c r="C134" s="41"/>
      <c r="D134" s="99">
        <f>rdaCent!P30</f>
        <v>0.1439416550954626</v>
      </c>
      <c r="E134" s="42"/>
      <c r="F134" s="42"/>
      <c r="G134" s="42"/>
    </row>
    <row r="135" spans="1:7" ht="12.75">
      <c r="A135" s="95" t="s">
        <v>194</v>
      </c>
      <c r="B135" s="95" t="s">
        <v>35</v>
      </c>
      <c r="C135" s="41"/>
      <c r="D135" s="96">
        <f>rdaCent!$R$30</f>
        <v>0.14427274031887502</v>
      </c>
      <c r="E135" s="42"/>
      <c r="F135" s="42"/>
      <c r="G135" s="42"/>
    </row>
    <row r="136" spans="1:7" ht="12.75">
      <c r="A136" s="41"/>
      <c r="B136" s="95" t="s">
        <v>36</v>
      </c>
      <c r="C136" s="41"/>
      <c r="D136" s="96">
        <f>rdaCent!$T$30</f>
        <v>0.1739831628024356</v>
      </c>
      <c r="E136" s="42">
        <f>SQRT(D136^2-D135^2)/D133</f>
        <v>0.09954396013822235</v>
      </c>
      <c r="F136" s="42"/>
      <c r="G136" s="42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9"/>
  <sheetViews>
    <sheetView workbookViewId="0" topLeftCell="A4">
      <selection activeCell="D44" sqref="D44"/>
    </sheetView>
  </sheetViews>
  <sheetFormatPr defaultColWidth="9.140625" defaultRowHeight="12.75"/>
  <cols>
    <col min="1" max="1" width="9.140625" style="41" customWidth="1"/>
    <col min="2" max="2" width="28.8515625" style="41" customWidth="1"/>
    <col min="3" max="16384" width="9.140625" style="41" customWidth="1"/>
  </cols>
  <sheetData>
    <row r="1" spans="2:10" s="40" customFormat="1" ht="12.75">
      <c r="B1" s="182" t="s">
        <v>89</v>
      </c>
      <c r="D1" s="40" t="s">
        <v>90</v>
      </c>
      <c r="G1" s="196" t="s">
        <v>244</v>
      </c>
      <c r="H1" s="197"/>
      <c r="I1" s="197"/>
      <c r="J1" s="197"/>
    </row>
    <row r="2" spans="2:10" ht="12.75">
      <c r="B2" s="41" t="s">
        <v>88</v>
      </c>
      <c r="D2" s="41">
        <v>-2.2</v>
      </c>
      <c r="E2" s="41">
        <v>-1.7</v>
      </c>
      <c r="G2" s="198" t="s">
        <v>245</v>
      </c>
      <c r="H2" s="199"/>
      <c r="I2" s="199"/>
      <c r="J2" s="199"/>
    </row>
    <row r="3" spans="2:10" ht="12.75">
      <c r="B3" s="41" t="s">
        <v>138</v>
      </c>
      <c r="D3" s="41">
        <v>-1.7</v>
      </c>
      <c r="E3" s="41">
        <v>-1.2</v>
      </c>
      <c r="G3" s="198" t="s">
        <v>246</v>
      </c>
      <c r="H3" s="199"/>
      <c r="I3" s="199"/>
      <c r="J3" s="199"/>
    </row>
    <row r="4" spans="2:7" ht="12.75">
      <c r="B4" s="41" t="s">
        <v>141</v>
      </c>
      <c r="D4" s="41">
        <v>1.2</v>
      </c>
      <c r="E4" s="41">
        <v>1.7</v>
      </c>
      <c r="G4" s="200" t="s">
        <v>247</v>
      </c>
    </row>
    <row r="5" spans="2:5" ht="12.75">
      <c r="B5" s="41" t="s">
        <v>140</v>
      </c>
      <c r="D5" s="41">
        <v>1.7</v>
      </c>
      <c r="E5" s="41">
        <v>2.4</v>
      </c>
    </row>
    <row r="6" spans="2:7" ht="12.75">
      <c r="B6" s="41" t="s">
        <v>91</v>
      </c>
      <c r="G6" s="207" t="s">
        <v>264</v>
      </c>
    </row>
    <row r="7" spans="2:7" ht="12.75">
      <c r="B7" s="41" t="s">
        <v>92</v>
      </c>
      <c r="G7" s="101" t="s">
        <v>265</v>
      </c>
    </row>
    <row r="8" spans="2:7" ht="12.75">
      <c r="B8" s="41" t="s">
        <v>93</v>
      </c>
      <c r="G8" s="101" t="s">
        <v>267</v>
      </c>
    </row>
    <row r="9" spans="2:7" ht="12.75">
      <c r="B9" s="41" t="s">
        <v>94</v>
      </c>
      <c r="G9" s="101" t="s">
        <v>266</v>
      </c>
    </row>
    <row r="10" ht="12.75">
      <c r="B10" s="41" t="s">
        <v>95</v>
      </c>
    </row>
    <row r="12" ht="12.75">
      <c r="B12" s="41" t="s">
        <v>211</v>
      </c>
    </row>
    <row r="17" ht="12.75">
      <c r="B17" s="101" t="s">
        <v>177</v>
      </c>
    </row>
    <row r="18" ht="12.75">
      <c r="B18" s="101" t="s">
        <v>178</v>
      </c>
    </row>
    <row r="22" spans="2:7" ht="12.75">
      <c r="B22" s="89" t="s">
        <v>212</v>
      </c>
      <c r="C22" s="84" t="s">
        <v>142</v>
      </c>
      <c r="D22" s="84" t="s">
        <v>142</v>
      </c>
      <c r="E22" s="84" t="s">
        <v>148</v>
      </c>
      <c r="F22" s="84"/>
      <c r="G22" s="84" t="s">
        <v>148</v>
      </c>
    </row>
    <row r="23" spans="2:7" ht="12.75">
      <c r="B23" s="41" t="s">
        <v>214</v>
      </c>
      <c r="C23" s="84" t="s">
        <v>143</v>
      </c>
      <c r="D23" s="84" t="s">
        <v>145</v>
      </c>
      <c r="E23" s="84" t="s">
        <v>143</v>
      </c>
      <c r="F23" s="84"/>
      <c r="G23" s="84" t="s">
        <v>145</v>
      </c>
    </row>
    <row r="24" spans="3:8" ht="12.75">
      <c r="C24" s="40" t="s">
        <v>146</v>
      </c>
      <c r="D24" s="40" t="s">
        <v>146</v>
      </c>
      <c r="E24" s="40" t="s">
        <v>146</v>
      </c>
      <c r="F24" s="40" t="s">
        <v>147</v>
      </c>
      <c r="G24" s="40" t="s">
        <v>146</v>
      </c>
      <c r="H24" s="40" t="s">
        <v>147</v>
      </c>
    </row>
    <row r="25" spans="2:8" ht="12.75">
      <c r="B25" s="84" t="s">
        <v>213</v>
      </c>
      <c r="C25" s="41">
        <v>191</v>
      </c>
      <c r="D25" s="41">
        <v>388</v>
      </c>
      <c r="E25" s="41">
        <v>1373</v>
      </c>
      <c r="F25" s="41">
        <v>428</v>
      </c>
      <c r="G25" s="41">
        <v>903</v>
      </c>
      <c r="H25" s="41">
        <v>480</v>
      </c>
    </row>
    <row r="26" spans="2:8" ht="12.75">
      <c r="B26" s="84">
        <v>2</v>
      </c>
      <c r="C26" s="41">
        <v>0</v>
      </c>
      <c r="D26" s="41">
        <v>1</v>
      </c>
      <c r="E26" s="41">
        <v>21</v>
      </c>
      <c r="F26" s="41">
        <v>5</v>
      </c>
      <c r="G26" s="41">
        <v>1</v>
      </c>
      <c r="H26" s="41">
        <v>1</v>
      </c>
    </row>
    <row r="27" spans="2:5" ht="12.75">
      <c r="B27" s="84">
        <v>3</v>
      </c>
      <c r="C27" s="41">
        <v>0</v>
      </c>
      <c r="E27" s="41">
        <v>1</v>
      </c>
    </row>
    <row r="28" spans="2:5" ht="12.75">
      <c r="B28" s="84">
        <v>4</v>
      </c>
      <c r="C28" s="41">
        <v>1</v>
      </c>
      <c r="E28" s="41">
        <v>2</v>
      </c>
    </row>
    <row r="29" spans="2:8" ht="12.75">
      <c r="B29" s="41" t="s">
        <v>215</v>
      </c>
      <c r="C29" s="88">
        <f aca="true" t="shared" si="0" ref="C29:H29">SUM(C26:C28)/C25</f>
        <v>0.005235602094240838</v>
      </c>
      <c r="D29" s="88">
        <f t="shared" si="0"/>
        <v>0.002577319587628866</v>
      </c>
      <c r="E29" s="88">
        <f t="shared" si="0"/>
        <v>0.01747997086671522</v>
      </c>
      <c r="F29" s="88">
        <f t="shared" si="0"/>
        <v>0.011682242990654205</v>
      </c>
      <c r="G29" s="88">
        <f t="shared" si="0"/>
        <v>0.0011074197120708748</v>
      </c>
      <c r="H29" s="88">
        <f t="shared" si="0"/>
        <v>0.0020833333333333333</v>
      </c>
    </row>
    <row r="32" ht="12.75">
      <c r="B32" s="41" t="s">
        <v>232</v>
      </c>
    </row>
    <row r="33" spans="2:5" ht="12.75">
      <c r="B33" s="182" t="s">
        <v>225</v>
      </c>
      <c r="C33" s="40" t="s">
        <v>230</v>
      </c>
      <c r="D33" s="40" t="s">
        <v>231</v>
      </c>
      <c r="E33" s="40" t="s">
        <v>139</v>
      </c>
    </row>
    <row r="34" spans="2:5" ht="12.75">
      <c r="B34" s="41" t="s">
        <v>226</v>
      </c>
      <c r="C34" s="41">
        <v>153</v>
      </c>
      <c r="D34" s="41">
        <v>28</v>
      </c>
      <c r="E34" s="42">
        <f>D34/C34</f>
        <v>0.1830065359477124</v>
      </c>
    </row>
    <row r="35" spans="2:5" ht="12.75">
      <c r="B35" s="41" t="s">
        <v>227</v>
      </c>
      <c r="C35" s="41">
        <v>291</v>
      </c>
      <c r="D35" s="41">
        <v>13</v>
      </c>
      <c r="E35" s="42">
        <f>D35/C35</f>
        <v>0.044673539518900345</v>
      </c>
    </row>
    <row r="36" spans="2:5" ht="12.75">
      <c r="B36" s="41" t="s">
        <v>228</v>
      </c>
      <c r="C36" s="41">
        <v>762</v>
      </c>
      <c r="D36" s="41">
        <v>23</v>
      </c>
      <c r="E36" s="42">
        <f>D36/C36</f>
        <v>0.030183727034120734</v>
      </c>
    </row>
    <row r="37" spans="2:5" ht="12.75">
      <c r="B37" s="41" t="s">
        <v>229</v>
      </c>
      <c r="C37" s="41">
        <v>872</v>
      </c>
      <c r="D37" s="41">
        <v>27</v>
      </c>
      <c r="E37" s="42">
        <f>D37/C37</f>
        <v>0.03096330275229358</v>
      </c>
    </row>
    <row r="38" spans="2:5" ht="12.75">
      <c r="B38" s="41" t="s">
        <v>233</v>
      </c>
      <c r="E38" s="41" t="s">
        <v>236</v>
      </c>
    </row>
    <row r="39" spans="2:5" ht="12.75">
      <c r="B39" s="41" t="s">
        <v>234</v>
      </c>
      <c r="E39" s="41" t="s">
        <v>235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89"/>
  <sheetViews>
    <sheetView workbookViewId="0" topLeftCell="A1">
      <selection activeCell="D8" sqref="D8"/>
    </sheetView>
  </sheetViews>
  <sheetFormatPr defaultColWidth="9.140625" defaultRowHeight="12.75"/>
  <cols>
    <col min="1" max="1" width="11.28125" style="1" customWidth="1"/>
    <col min="2" max="2" width="7.421875" style="1" customWidth="1"/>
    <col min="3" max="3" width="4.57421875" style="1" customWidth="1"/>
    <col min="4" max="4" width="5.421875" style="1" customWidth="1"/>
    <col min="5" max="5" width="8.57421875" style="1" customWidth="1"/>
    <col min="6" max="7" width="6.421875" style="1" customWidth="1"/>
    <col min="8" max="8" width="5.28125" style="1" customWidth="1"/>
    <col min="9" max="9" width="9.8515625" style="1" customWidth="1"/>
    <col min="10" max="11" width="7.00390625" style="1" customWidth="1"/>
    <col min="12" max="12" width="9.8515625" style="1" customWidth="1"/>
    <col min="13" max="13" width="8.00390625" style="1" customWidth="1"/>
    <col min="14" max="14" width="10.7109375" style="1" bestFit="1" customWidth="1"/>
    <col min="15" max="15" width="6.8515625" style="1" customWidth="1"/>
    <col min="16" max="16" width="6.28125" style="1" customWidth="1"/>
    <col min="17" max="17" width="7.57421875" style="1" customWidth="1"/>
    <col min="18" max="18" width="8.140625" style="1" customWidth="1"/>
    <col min="19" max="16384" width="10.421875" style="1" customWidth="1"/>
  </cols>
  <sheetData>
    <row r="1" spans="5:14" ht="26.25" customHeight="1">
      <c r="E1" s="5" t="s">
        <v>10</v>
      </c>
      <c r="G1" s="5" t="s">
        <v>9</v>
      </c>
      <c r="K1" s="5" t="s">
        <v>23</v>
      </c>
      <c r="L1" s="5" t="s">
        <v>20</v>
      </c>
      <c r="N1" s="2" t="s">
        <v>26</v>
      </c>
    </row>
    <row r="2" spans="2:21" s="2" customFormat="1" ht="21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8</v>
      </c>
      <c r="H2" s="2" t="s">
        <v>4</v>
      </c>
      <c r="I2" s="2" t="s">
        <v>12</v>
      </c>
      <c r="J2" s="2" t="s">
        <v>13</v>
      </c>
      <c r="K2" s="2" t="s">
        <v>22</v>
      </c>
      <c r="L2" s="2" t="s">
        <v>21</v>
      </c>
      <c r="M2" s="2" t="s">
        <v>14</v>
      </c>
      <c r="N2" s="2" t="s">
        <v>27</v>
      </c>
      <c r="O2" s="2" t="s">
        <v>15</v>
      </c>
      <c r="P2" s="6" t="s">
        <v>16</v>
      </c>
      <c r="Q2" s="2" t="s">
        <v>33</v>
      </c>
      <c r="R2" s="2" t="s">
        <v>34</v>
      </c>
      <c r="S2" s="2" t="s">
        <v>33</v>
      </c>
      <c r="T2" s="2" t="s">
        <v>34</v>
      </c>
      <c r="U2" s="2" t="s">
        <v>305</v>
      </c>
    </row>
    <row r="3" spans="1:21" ht="23.25">
      <c r="A3" s="17" t="s">
        <v>17</v>
      </c>
      <c r="B3" s="19">
        <v>-1.7</v>
      </c>
      <c r="C3" s="17">
        <v>1</v>
      </c>
      <c r="D3" s="17">
        <f>fitModel!R18</f>
        <v>760.25</v>
      </c>
      <c r="E3" s="17">
        <v>0.128</v>
      </c>
      <c r="F3" s="17">
        <f>simDau!$H$2</f>
        <v>0.709601535842548</v>
      </c>
      <c r="G3" s="19">
        <f>simDau!K2</f>
        <v>0.5693496543735754</v>
      </c>
      <c r="H3" s="17">
        <v>0.99</v>
      </c>
      <c r="I3" s="18">
        <f>I7+I9</f>
        <v>2750000000</v>
      </c>
      <c r="J3" s="17">
        <v>0.88</v>
      </c>
      <c r="K3" s="17">
        <v>2260</v>
      </c>
      <c r="L3" s="18">
        <f>I3/J3/(K3*1000000)</f>
        <v>1.3827433628318584</v>
      </c>
      <c r="M3" s="17">
        <v>0.9362</v>
      </c>
      <c r="N3" s="27">
        <f>(D3/E3/F3/G3/H3/M3)/(I3/(K3*1E-27*J3))/C3*1E+33*U3</f>
        <v>11643.230074165434</v>
      </c>
      <c r="O3" s="19">
        <f>N3/(2*197)/N79</f>
        <v>1.1768493658970551</v>
      </c>
      <c r="P3" s="19">
        <f>1+(LN(O3)/LN(197*2))</f>
        <v>1.0272475363584492</v>
      </c>
      <c r="U3" s="1">
        <v>1.015</v>
      </c>
    </row>
    <row r="4" spans="1:20" ht="23.25">
      <c r="A4" s="17" t="s">
        <v>24</v>
      </c>
      <c r="B4" s="14"/>
      <c r="C4" s="17"/>
      <c r="D4" s="17">
        <f>fitModel!R19</f>
        <v>31.89566323708183</v>
      </c>
      <c r="E4" s="17"/>
      <c r="F4" s="17"/>
      <c r="G4" s="19">
        <f>simDau!K3</f>
        <v>0.004781873696320506</v>
      </c>
      <c r="H4" s="17"/>
      <c r="I4" s="18"/>
      <c r="J4" s="17"/>
      <c r="K4" s="31" t="s">
        <v>35</v>
      </c>
      <c r="L4" s="32" t="s">
        <v>36</v>
      </c>
      <c r="M4" s="126" t="s">
        <v>35</v>
      </c>
      <c r="N4" s="27">
        <f>SQRT((D4/D3)^2+(G4/G3)^2)*N3</f>
        <v>498.1742650948215</v>
      </c>
      <c r="O4" s="19">
        <f>SQRT((N4/N3)^2+(N80/N79)^2)*O3</f>
        <v>0.09270432965407835</v>
      </c>
      <c r="P4" s="19">
        <f>O4/LN(2*197)</f>
        <v>0.015511861846975901</v>
      </c>
      <c r="Q4" s="126" t="s">
        <v>35</v>
      </c>
      <c r="R4" s="126" t="s">
        <v>35</v>
      </c>
      <c r="S4" s="126" t="s">
        <v>36</v>
      </c>
      <c r="T4" s="31" t="s">
        <v>36</v>
      </c>
    </row>
    <row r="5" spans="1:20" ht="23.25">
      <c r="A5" s="17" t="s">
        <v>31</v>
      </c>
      <c r="B5" s="17"/>
      <c r="C5" s="17"/>
      <c r="D5" s="17"/>
      <c r="E5" s="17"/>
      <c r="F5" s="17"/>
      <c r="G5" s="17"/>
      <c r="H5" s="17"/>
      <c r="I5" s="18"/>
      <c r="J5" s="17"/>
      <c r="K5" s="90">
        <f>syst!D23</f>
        <v>0.08627861844049196</v>
      </c>
      <c r="L5" s="7">
        <f>syst!D25</f>
        <v>0.12666491226855212</v>
      </c>
      <c r="M5" s="27">
        <f>SQRT((K5*N3)^2+N4^2)</f>
        <v>1121.3037137346137</v>
      </c>
      <c r="N5" s="27">
        <f>SQRT((L5*N3)^2+N4^2)</f>
        <v>1556.6564665495757</v>
      </c>
      <c r="O5" s="19">
        <f>SQRT((Q5*O3)^2+O4^2)</f>
        <v>0.11753323514363244</v>
      </c>
      <c r="P5" s="19">
        <f>O5/LN(2*197)</f>
        <v>0.019666387889100634</v>
      </c>
      <c r="Q5" s="90">
        <f>syst!F23</f>
        <v>0.061392181912683315</v>
      </c>
      <c r="R5" s="90">
        <f>syst!H23</f>
        <v>0.010272519610113606</v>
      </c>
      <c r="S5" s="90">
        <f>syst!F25</f>
        <v>0.09202716990106781</v>
      </c>
      <c r="T5" s="90">
        <f>syst!H25</f>
        <v>0.015398555288628225</v>
      </c>
    </row>
    <row r="6" spans="1:20" ht="23.25">
      <c r="A6" s="17" t="s">
        <v>32</v>
      </c>
      <c r="B6" s="17"/>
      <c r="C6" s="17"/>
      <c r="D6" s="17"/>
      <c r="E6" s="17"/>
      <c r="F6" s="17"/>
      <c r="G6" s="17"/>
      <c r="H6" s="17"/>
      <c r="I6" s="18"/>
      <c r="J6" s="17"/>
      <c r="K6" s="90">
        <f>syst!D24</f>
        <v>0.08774964387392122</v>
      </c>
      <c r="L6" s="7">
        <f>syst!D26</f>
        <v>0.1442220510185596</v>
      </c>
      <c r="M6" s="27">
        <f>SQRT((K6*N3)^2+N4^2)</f>
        <v>1136.6734838617392</v>
      </c>
      <c r="N6" s="27">
        <f>SQRT((L6*N3)^2+N4^2)</f>
        <v>1751.5494782762305</v>
      </c>
      <c r="O6" s="19">
        <f>SQRT((Q6*O3)^2+O4^2)</f>
        <v>0.11888646035887027</v>
      </c>
      <c r="P6" s="19">
        <f>O6/LN(2*197)</f>
        <v>0.01989281790229355</v>
      </c>
      <c r="Q6" s="90">
        <f>syst!F24</f>
        <v>0.06324555320336758</v>
      </c>
      <c r="R6" s="90">
        <f>syst!H24</f>
        <v>0.01058263715823161</v>
      </c>
      <c r="S6" s="90">
        <f>syst!F26</f>
        <v>0.10677078252031312</v>
      </c>
      <c r="T6" s="90">
        <f>syst!H26</f>
        <v>0.01786554774656897</v>
      </c>
    </row>
    <row r="7" spans="1:20" ht="23.25">
      <c r="A7" s="14" t="s">
        <v>18</v>
      </c>
      <c r="B7" s="14">
        <f>B3</f>
        <v>-1.7</v>
      </c>
      <c r="C7" s="14">
        <v>1</v>
      </c>
      <c r="D7" s="14">
        <f>fitModel!R22</f>
        <v>233.5</v>
      </c>
      <c r="E7" s="14">
        <v>0.128</v>
      </c>
      <c r="F7" s="14">
        <f>F3</f>
        <v>0.709601535842548</v>
      </c>
      <c r="G7" s="14">
        <f>simDau!J2</f>
        <v>0.37784628031237155</v>
      </c>
      <c r="H7" s="14">
        <v>0.99</v>
      </c>
      <c r="I7" s="26">
        <v>1184000000</v>
      </c>
      <c r="J7" s="14">
        <f>$J$3</f>
        <v>0.88</v>
      </c>
      <c r="K7" s="14">
        <f>$K$3</f>
        <v>2260</v>
      </c>
      <c r="L7" s="15">
        <f>I7/J7/(K7*1000000)</f>
        <v>0.5953338696701529</v>
      </c>
      <c r="M7" s="14">
        <f>$M$3</f>
        <v>0.9362</v>
      </c>
      <c r="N7" s="28">
        <f>(D7/E7/F7/G7/H7/M7)/(I7/(K7*1E-27*J7))/C7*1E+33*U3</f>
        <v>12515.518226925155</v>
      </c>
      <c r="O7" s="7">
        <f>N7/(2*197)/N79</f>
        <v>1.2650166315884332</v>
      </c>
      <c r="P7" s="7">
        <f>1+(LN(O7)/LN(197*2))</f>
        <v>1.03933592139445</v>
      </c>
      <c r="S7" s="19">
        <f>SQRT((S5*O3)^2+O4^2)</f>
        <v>0.14256030718396412</v>
      </c>
      <c r="T7" s="19">
        <f>S7/LN(2*197)</f>
        <v>0.02385407238423208</v>
      </c>
    </row>
    <row r="8" spans="1:20" ht="23.25">
      <c r="A8" s="14"/>
      <c r="B8" s="14"/>
      <c r="C8" s="14"/>
      <c r="D8" s="14">
        <f>fitModel!R23</f>
        <v>15</v>
      </c>
      <c r="E8" s="14"/>
      <c r="F8" s="14"/>
      <c r="G8" s="14">
        <f>simDau!J3</f>
        <v>0.003940819297168749</v>
      </c>
      <c r="H8" s="14"/>
      <c r="I8" s="15"/>
      <c r="J8" s="14"/>
      <c r="K8" s="14"/>
      <c r="L8" s="15"/>
      <c r="M8" s="14"/>
      <c r="N8" s="28">
        <f>SQRT((D8/D7)^2+(G8/G7)^2)*N7</f>
        <v>814.5221963400626</v>
      </c>
      <c r="O8" s="7"/>
      <c r="P8" s="7"/>
      <c r="S8" s="19">
        <f>SQRT((S6*O3)^2+O4^2)</f>
        <v>0.15614993192042148</v>
      </c>
      <c r="T8" s="19">
        <f>S8/LN(2*197)</f>
        <v>0.026127972451799195</v>
      </c>
    </row>
    <row r="9" spans="1:16" ht="22.5">
      <c r="A9" s="14" t="s">
        <v>19</v>
      </c>
      <c r="B9" s="14">
        <f>B3</f>
        <v>-1.7</v>
      </c>
      <c r="C9" s="14">
        <v>1</v>
      </c>
      <c r="D9" s="14">
        <f>fitModel!R20</f>
        <v>523.25</v>
      </c>
      <c r="E9" s="14">
        <v>0.128</v>
      </c>
      <c r="F9" s="14">
        <f>F3</f>
        <v>0.709601535842548</v>
      </c>
      <c r="G9" s="14">
        <f>simDau!I2</f>
        <v>0.7141389231401561</v>
      </c>
      <c r="H9" s="14">
        <v>0.99</v>
      </c>
      <c r="I9" s="15">
        <v>1566000000</v>
      </c>
      <c r="J9" s="14">
        <f>$J$3</f>
        <v>0.88</v>
      </c>
      <c r="K9" s="14">
        <f>$K$3</f>
        <v>2260</v>
      </c>
      <c r="L9" s="15">
        <f>I9/J9/(K9*1000000)</f>
        <v>0.7874094931617055</v>
      </c>
      <c r="M9" s="14">
        <f>$M$3</f>
        <v>0.9362</v>
      </c>
      <c r="N9" s="28">
        <f>(D9/E9/F9/G9/H9/M9)/(I9/(K9*1E-27*J9))/C9*1E+33*U3</f>
        <v>11219.243673364223</v>
      </c>
      <c r="O9" s="7">
        <f>N9/(2*197)/N79</f>
        <v>1.133994580433439</v>
      </c>
      <c r="P9" s="7">
        <f>1+(LN(O9)/LN(197*2))</f>
        <v>1.02104066980727</v>
      </c>
    </row>
    <row r="10" spans="1:16" ht="22.5">
      <c r="A10" s="14"/>
      <c r="B10" s="14"/>
      <c r="C10" s="14"/>
      <c r="D10" s="14">
        <f>fitModel!R21</f>
        <v>32.2335229225724</v>
      </c>
      <c r="E10" s="14"/>
      <c r="F10" s="14"/>
      <c r="G10" s="14">
        <f>simDau!I3</f>
        <v>0.005417766677543801</v>
      </c>
      <c r="H10" s="14"/>
      <c r="I10" s="15"/>
      <c r="J10" s="14"/>
      <c r="K10" s="14"/>
      <c r="L10" s="15"/>
      <c r="M10" s="14"/>
      <c r="N10" s="28">
        <f>SQRT((D10/D9)^2+(G10/G9)^2)*N9</f>
        <v>696.3550061860009</v>
      </c>
      <c r="O10" s="7"/>
      <c r="P10" s="7"/>
    </row>
    <row r="11" spans="1:21" ht="23.25">
      <c r="A11" s="17" t="s">
        <v>17</v>
      </c>
      <c r="B11" s="17">
        <v>-1.95</v>
      </c>
      <c r="C11" s="17">
        <v>0.5</v>
      </c>
      <c r="D11" s="17">
        <f>fitModel!R24</f>
        <v>253.25</v>
      </c>
      <c r="E11" s="17">
        <v>0.128</v>
      </c>
      <c r="F11" s="17">
        <f>simDau!$H$4</f>
        <v>0.7247226962457338</v>
      </c>
      <c r="G11" s="19">
        <f>simDau!K4</f>
        <v>0.585836711485718</v>
      </c>
      <c r="H11" s="17">
        <v>0.99</v>
      </c>
      <c r="I11" s="18">
        <f>I3</f>
        <v>2750000000</v>
      </c>
      <c r="J11" s="17">
        <v>0.88</v>
      </c>
      <c r="K11" s="17">
        <f>$K$3</f>
        <v>2260</v>
      </c>
      <c r="L11" s="18">
        <f>I11/J11/(K11*1000000)</f>
        <v>1.3827433628318584</v>
      </c>
      <c r="M11" s="17">
        <f>$M$3</f>
        <v>0.9362</v>
      </c>
      <c r="N11" s="27">
        <f>(D11/E11/F11/G11/H11/M11)/(I11/(K11*1E-27*J11))/C11*1E+33*U11</f>
        <v>7301.453660550545</v>
      </c>
      <c r="O11" s="19">
        <f>N11/(2*197)/N83</f>
        <v>0.9855298565432399</v>
      </c>
      <c r="P11" s="19">
        <f>1+(LN(O11)/LN(197*2))</f>
        <v>0.9975610774473134</v>
      </c>
      <c r="U11" s="1">
        <v>1.004</v>
      </c>
    </row>
    <row r="12" spans="1:16" ht="23.25">
      <c r="A12" s="17" t="s">
        <v>24</v>
      </c>
      <c r="B12" s="14"/>
      <c r="C12" s="17"/>
      <c r="D12" s="17">
        <f>fitModel!R25</f>
        <v>19.615045245933032</v>
      </c>
      <c r="E12" s="17"/>
      <c r="F12" s="17"/>
      <c r="G12" s="19">
        <f>simDau!K5</f>
        <v>0.007264580691873745</v>
      </c>
      <c r="H12" s="17"/>
      <c r="I12" s="18"/>
      <c r="J12" s="17"/>
      <c r="K12" s="17"/>
      <c r="L12" s="18"/>
      <c r="M12" s="17"/>
      <c r="N12" s="27">
        <f>SQRT((D12/D11)^2+(G12/G11)^2)*N11</f>
        <v>572.7235564127967</v>
      </c>
      <c r="O12" s="19">
        <f>SQRT((N12/N11)^2+(N84/N83)^2)*O11</f>
        <v>0.11194882920452735</v>
      </c>
      <c r="P12" s="19">
        <f>O12/LN(2*197)</f>
        <v>0.018731970545832363</v>
      </c>
    </row>
    <row r="13" spans="1:20" ht="23.25">
      <c r="A13" s="17" t="s">
        <v>31</v>
      </c>
      <c r="B13" s="17"/>
      <c r="C13" s="17"/>
      <c r="D13" s="17"/>
      <c r="E13" s="17"/>
      <c r="F13" s="17"/>
      <c r="G13" s="17"/>
      <c r="H13" s="17"/>
      <c r="I13" s="18"/>
      <c r="J13" s="17"/>
      <c r="K13" s="14">
        <f>K5</f>
        <v>0.08627861844049196</v>
      </c>
      <c r="L13" s="7">
        <f>L5</f>
        <v>0.12666491226855212</v>
      </c>
      <c r="M13" s="27">
        <f>SQRT((K13*N11)^2+N12^2)</f>
        <v>851.3877113969128</v>
      </c>
      <c r="N13" s="27">
        <f>SQRT((L13*N11)^2+N12^2)</f>
        <v>1087.81320772884</v>
      </c>
      <c r="O13" s="19">
        <f>SQRT((Q13*O11)^2+O12^2)</f>
        <v>0.12725271545686984</v>
      </c>
      <c r="P13" s="19">
        <f>O13/LN(2*197)</f>
        <v>0.021292711453554644</v>
      </c>
      <c r="Q13" s="90">
        <f aca="true" t="shared" si="0" ref="Q13:T14">Q5</f>
        <v>0.061392181912683315</v>
      </c>
      <c r="R13" s="90">
        <f t="shared" si="0"/>
        <v>0.010272519610113606</v>
      </c>
      <c r="S13" s="90">
        <f t="shared" si="0"/>
        <v>0.09202716990106781</v>
      </c>
      <c r="T13" s="90">
        <f t="shared" si="0"/>
        <v>0.015398555288628225</v>
      </c>
    </row>
    <row r="14" spans="1:20" ht="23.25">
      <c r="A14" s="17" t="s">
        <v>32</v>
      </c>
      <c r="B14" s="17"/>
      <c r="C14" s="17"/>
      <c r="D14" s="17"/>
      <c r="E14" s="17"/>
      <c r="F14" s="17"/>
      <c r="G14" s="17"/>
      <c r="H14" s="17"/>
      <c r="I14" s="18"/>
      <c r="J14" s="17"/>
      <c r="K14" s="14">
        <f>K6</f>
        <v>0.08774964387392122</v>
      </c>
      <c r="L14" s="7">
        <f>L6</f>
        <v>0.1442220510185596</v>
      </c>
      <c r="M14" s="27">
        <f>SQRT((K14*N11)^2+N12^2)</f>
        <v>859.3652941911882</v>
      </c>
      <c r="N14" s="27">
        <f>SQRT((L14*N11)^2+N12^2)</f>
        <v>1198.7016991975922</v>
      </c>
      <c r="O14" s="19">
        <f>SQRT((Q14*O11)^2+O12^2)</f>
        <v>0.1281312481513272</v>
      </c>
      <c r="P14" s="19">
        <f>O14/LN(2*197)</f>
        <v>0.021439712978028477</v>
      </c>
      <c r="Q14" s="90">
        <f t="shared" si="0"/>
        <v>0.06324555320336758</v>
      </c>
      <c r="R14" s="90">
        <f t="shared" si="0"/>
        <v>0.01058263715823161</v>
      </c>
      <c r="S14" s="90">
        <f t="shared" si="0"/>
        <v>0.10677078252031312</v>
      </c>
      <c r="T14" s="90">
        <f t="shared" si="0"/>
        <v>0.01786554774656897</v>
      </c>
    </row>
    <row r="15" spans="1:20" ht="23.25">
      <c r="A15" s="14" t="s">
        <v>18</v>
      </c>
      <c r="B15" s="14">
        <f>B11</f>
        <v>-1.95</v>
      </c>
      <c r="C15" s="14">
        <v>0.5</v>
      </c>
      <c r="D15" s="14">
        <f>fitModel!R28</f>
        <v>79</v>
      </c>
      <c r="E15" s="14">
        <v>0.128</v>
      </c>
      <c r="F15" s="14">
        <f>F11</f>
        <v>0.7247226962457338</v>
      </c>
      <c r="G15" s="14">
        <f>simDau!J4</f>
        <v>0.398270787343635</v>
      </c>
      <c r="H15" s="14">
        <v>0.99</v>
      </c>
      <c r="I15" s="15">
        <f>I7</f>
        <v>1184000000</v>
      </c>
      <c r="J15" s="14">
        <f>$J$3</f>
        <v>0.88</v>
      </c>
      <c r="K15" s="14">
        <f>$K$3</f>
        <v>2260</v>
      </c>
      <c r="L15" s="15">
        <f>I15/J15/(K15*1000000)</f>
        <v>0.5953338696701529</v>
      </c>
      <c r="M15" s="14">
        <f>$M$3</f>
        <v>0.9362</v>
      </c>
      <c r="N15" s="28">
        <f>(D15/E15/F15/G15/H15/M15)/(I15/(K15*1E-27*J15))/C15*1E+33*U11</f>
        <v>7781.54964661174</v>
      </c>
      <c r="O15" s="7">
        <f>N15/(2*197)/N83</f>
        <v>1.0503318740957555</v>
      </c>
      <c r="P15" s="7">
        <f>1+(LN(O15)/LN(197*2))</f>
        <v>1.0082167505794615</v>
      </c>
      <c r="S15" s="19">
        <f>SQRT((S13*O11)^2+O12^2)</f>
        <v>0.14407712640248047</v>
      </c>
      <c r="T15" s="19">
        <f>S15/LN(2*197)</f>
        <v>0.02410787595794066</v>
      </c>
    </row>
    <row r="16" spans="1:20" ht="23.25">
      <c r="A16" s="14"/>
      <c r="B16" s="14"/>
      <c r="C16" s="14"/>
      <c r="D16" s="14">
        <f>fitModel!R29</f>
        <v>9</v>
      </c>
      <c r="E16" s="14"/>
      <c r="F16" s="14"/>
      <c r="G16" s="14">
        <f>simDau!J5</f>
        <v>0.006052495907417991</v>
      </c>
      <c r="H16" s="14"/>
      <c r="I16" s="15"/>
      <c r="J16" s="14"/>
      <c r="K16" s="14"/>
      <c r="L16" s="15"/>
      <c r="M16" s="14"/>
      <c r="N16" s="28">
        <f>SQRT((D16/D15)^2+(G16/G15)^2)*N15</f>
        <v>894.358257381404</v>
      </c>
      <c r="O16" s="7"/>
      <c r="P16" s="7"/>
      <c r="S16" s="19">
        <f>SQRT((S14*O11)^2+O12^2)</f>
        <v>0.15363921400163183</v>
      </c>
      <c r="T16" s="19">
        <f>S16/LN(2*197)</f>
        <v>0.025707863599943873</v>
      </c>
    </row>
    <row r="17" spans="1:16" ht="22.5">
      <c r="A17" s="14" t="s">
        <v>19</v>
      </c>
      <c r="B17" s="14">
        <f>B11</f>
        <v>-1.95</v>
      </c>
      <c r="C17" s="14">
        <v>0.5</v>
      </c>
      <c r="D17" s="14">
        <f>fitModel!R26</f>
        <v>189</v>
      </c>
      <c r="E17" s="14">
        <v>0.128</v>
      </c>
      <c r="F17" s="14">
        <f>F11</f>
        <v>0.7247226962457338</v>
      </c>
      <c r="G17" s="14">
        <f>simDau!I4</f>
        <v>0.7276490066225165</v>
      </c>
      <c r="H17" s="14">
        <v>0.99</v>
      </c>
      <c r="I17" s="15">
        <f>I9</f>
        <v>1566000000</v>
      </c>
      <c r="J17" s="14">
        <f>$J$3</f>
        <v>0.88</v>
      </c>
      <c r="K17" s="14">
        <f>$K$3</f>
        <v>2260</v>
      </c>
      <c r="L17" s="15">
        <f>I17/J17/(K17*1000000)</f>
        <v>0.7874094931617055</v>
      </c>
      <c r="M17" s="14">
        <f>$M$3</f>
        <v>0.9362</v>
      </c>
      <c r="N17" s="28">
        <f>(D17/E17/F17/G17/H17/M17)/(I17/(K17*1E-27*J17))/C17*1E+33*U11</f>
        <v>7704.0175242331015</v>
      </c>
      <c r="O17" s="7">
        <f>N17/(2*197)/N83</f>
        <v>1.0398668043989971</v>
      </c>
      <c r="P17" s="7">
        <f>1+(LN(O17)/LN(197*2))</f>
        <v>1.0065412210312452</v>
      </c>
    </row>
    <row r="18" spans="1:16" ht="22.5">
      <c r="A18" s="14"/>
      <c r="B18" s="14"/>
      <c r="C18" s="14"/>
      <c r="D18" s="14">
        <f>fitModel!R27</f>
        <v>15</v>
      </c>
      <c r="E18" s="14"/>
      <c r="F18" s="14"/>
      <c r="G18" s="14">
        <f>simDau!I5</f>
        <v>0.00818099728497439</v>
      </c>
      <c r="H18" s="14"/>
      <c r="I18" s="15"/>
      <c r="J18" s="14"/>
      <c r="K18" s="14"/>
      <c r="L18" s="15"/>
      <c r="M18" s="14"/>
      <c r="N18" s="28">
        <f>SQRT((D18/D17)^2+(G18/G17)^2)*N17</f>
        <v>617.534654282144</v>
      </c>
      <c r="O18" s="7"/>
      <c r="P18" s="7"/>
    </row>
    <row r="19" spans="1:21" ht="23.25">
      <c r="A19" s="17" t="s">
        <v>17</v>
      </c>
      <c r="B19" s="17">
        <v>-1.45</v>
      </c>
      <c r="C19" s="17">
        <v>0.5</v>
      </c>
      <c r="D19" s="17">
        <f>fitModel!R30</f>
        <v>474</v>
      </c>
      <c r="E19" s="17">
        <v>0.128</v>
      </c>
      <c r="F19" s="17">
        <f>simDau!$H$6</f>
        <v>0.6978390944207717</v>
      </c>
      <c r="G19" s="19">
        <f>simDau!K6</f>
        <v>0.5560306407814211</v>
      </c>
      <c r="H19" s="17">
        <v>0.99</v>
      </c>
      <c r="I19" s="18">
        <f>I3</f>
        <v>2750000000</v>
      </c>
      <c r="J19" s="17">
        <v>0.88</v>
      </c>
      <c r="K19" s="17">
        <f>$K$3</f>
        <v>2260</v>
      </c>
      <c r="L19" s="18">
        <f>I19/J19/(K19*1000000)</f>
        <v>1.3827433628318584</v>
      </c>
      <c r="M19" s="17">
        <f>$M$3</f>
        <v>0.9362</v>
      </c>
      <c r="N19" s="27">
        <f>(D19/E19/F19/G19/H19/M19)/(I19/(K19*1E-27*J19))/C19*1E+33*U19</f>
        <v>14938.254918004795</v>
      </c>
      <c r="O19" s="19">
        <f>N19/(2*197)/N81</f>
        <v>1.1130223250996</v>
      </c>
      <c r="P19" s="19">
        <f>1+(LN(O19)/LN(197*2))</f>
        <v>1.0179171424515674</v>
      </c>
      <c r="U19" s="1">
        <v>1.003</v>
      </c>
    </row>
    <row r="20" spans="1:16" ht="23.25">
      <c r="A20" s="17" t="s">
        <v>24</v>
      </c>
      <c r="B20" s="17"/>
      <c r="C20" s="17"/>
      <c r="D20" s="17">
        <f>fitModel!R31</f>
        <v>27.569608871605947</v>
      </c>
      <c r="E20" s="17"/>
      <c r="F20" s="17"/>
      <c r="G20" s="19">
        <f>simDau!K7</f>
        <v>0.006347338249039791</v>
      </c>
      <c r="H20" s="17"/>
      <c r="I20" s="18"/>
      <c r="J20" s="17"/>
      <c r="K20" s="17"/>
      <c r="L20" s="18"/>
      <c r="M20" s="17"/>
      <c r="N20" s="27">
        <f>SQRT((D20/D19)^2+(G20/G19)^2)*N19</f>
        <v>885.4406772707057</v>
      </c>
      <c r="O20" s="19">
        <f>SQRT((N20/N19)^2+(N82/N81)^2)*O19</f>
        <v>0.11263169768157524</v>
      </c>
      <c r="P20" s="19">
        <f>O20/LN(2*197)</f>
        <v>0.018846232323196453</v>
      </c>
    </row>
    <row r="21" spans="1:20" ht="23.25">
      <c r="A21" s="17" t="s">
        <v>31</v>
      </c>
      <c r="B21" s="17"/>
      <c r="C21" s="17"/>
      <c r="D21" s="17"/>
      <c r="E21" s="17"/>
      <c r="F21" s="17"/>
      <c r="G21" s="17"/>
      <c r="H21" s="17"/>
      <c r="I21" s="18"/>
      <c r="J21" s="17"/>
      <c r="K21" s="14">
        <f>K5</f>
        <v>0.08627861844049196</v>
      </c>
      <c r="L21" s="7">
        <f>L5</f>
        <v>0.12666491226855212</v>
      </c>
      <c r="M21" s="27">
        <f>SQRT((K21*N19)^2+N20^2)</f>
        <v>1563.6958339685432</v>
      </c>
      <c r="N21" s="27">
        <f>SQRT((L21*N19)^2+N20^2)</f>
        <v>2089.078078275226</v>
      </c>
      <c r="O21" s="19">
        <f>SQRT((Q21*O19)^2+O20^2)</f>
        <v>0.13173840362058037</v>
      </c>
      <c r="P21" s="19">
        <f>O21/LN(2*197)</f>
        <v>0.022043284542683624</v>
      </c>
      <c r="Q21" s="7">
        <f aca="true" t="shared" si="1" ref="Q21:T22">Q5</f>
        <v>0.061392181912683315</v>
      </c>
      <c r="R21" s="7">
        <f t="shared" si="1"/>
        <v>0.010272519610113606</v>
      </c>
      <c r="S21" s="90">
        <f t="shared" si="1"/>
        <v>0.09202716990106781</v>
      </c>
      <c r="T21" s="90">
        <f t="shared" si="1"/>
        <v>0.015398555288628225</v>
      </c>
    </row>
    <row r="22" spans="1:20" ht="23.25">
      <c r="A22" s="17" t="s">
        <v>32</v>
      </c>
      <c r="B22" s="17"/>
      <c r="C22" s="17"/>
      <c r="D22" s="17"/>
      <c r="E22" s="17"/>
      <c r="F22" s="17"/>
      <c r="G22" s="17"/>
      <c r="H22" s="17"/>
      <c r="I22" s="18"/>
      <c r="J22" s="17"/>
      <c r="K22" s="14">
        <f>K6</f>
        <v>0.08774964387392122</v>
      </c>
      <c r="L22" s="7">
        <f>L6</f>
        <v>0.1442220510185596</v>
      </c>
      <c r="M22" s="27">
        <f>SQRT((K22*N19)^2+N20^2)</f>
        <v>1581.8569577965552</v>
      </c>
      <c r="N22" s="27">
        <f>SQRT((L22*N19)^2+N20^2)</f>
        <v>2329.2821986328177</v>
      </c>
      <c r="O22" s="19">
        <f>SQRT((Q22*O19)^2+O20^2)</f>
        <v>0.13282008171701387</v>
      </c>
      <c r="P22" s="19">
        <f>O22/LN(2*197)</f>
        <v>0.022224277612342677</v>
      </c>
      <c r="Q22" s="7">
        <f t="shared" si="1"/>
        <v>0.06324555320336758</v>
      </c>
      <c r="R22" s="7">
        <f t="shared" si="1"/>
        <v>0.01058263715823161</v>
      </c>
      <c r="S22" s="90">
        <f t="shared" si="1"/>
        <v>0.10677078252031312</v>
      </c>
      <c r="T22" s="90">
        <f t="shared" si="1"/>
        <v>0.01786554774656897</v>
      </c>
    </row>
    <row r="23" spans="1:20" ht="23.25">
      <c r="A23" s="14" t="s">
        <v>18</v>
      </c>
      <c r="B23" s="14">
        <f>B19</f>
        <v>-1.45</v>
      </c>
      <c r="C23" s="14">
        <v>0.5</v>
      </c>
      <c r="D23" s="14">
        <f>fitModel!R34</f>
        <v>163</v>
      </c>
      <c r="E23" s="14">
        <v>0.128</v>
      </c>
      <c r="F23" s="14">
        <f>F19</f>
        <v>0.6978390944207717</v>
      </c>
      <c r="G23" s="14">
        <f>simDau!J6</f>
        <v>0.3613464110566206</v>
      </c>
      <c r="H23" s="14">
        <v>0.99</v>
      </c>
      <c r="I23" s="15">
        <f>I7</f>
        <v>1184000000</v>
      </c>
      <c r="J23" s="14">
        <f>$J$3</f>
        <v>0.88</v>
      </c>
      <c r="K23" s="14">
        <f>$K$3</f>
        <v>2260</v>
      </c>
      <c r="L23" s="15">
        <f>I23/J23/(K23*1000000)</f>
        <v>0.5953338696701529</v>
      </c>
      <c r="M23" s="14">
        <f>$M$3</f>
        <v>0.9362</v>
      </c>
      <c r="N23" s="28">
        <f>(D23/E23/F23/G23/H23/M23)/(I23/(K23*1E-27*J23))/C23*1E+33*U19</f>
        <v>18359.679665007465</v>
      </c>
      <c r="O23" s="7">
        <f>N23/(2*197)/N81</f>
        <v>1.3679464877922827</v>
      </c>
      <c r="P23" s="7">
        <f>1+(LN(O23)/LN(197*2))</f>
        <v>1.05242508448373</v>
      </c>
      <c r="S23" s="19">
        <f>SQRT((S21*O19)^2+O20^2)</f>
        <v>0.1522414360826201</v>
      </c>
      <c r="T23" s="19">
        <f>S23/LN(2*197)</f>
        <v>0.02547397875278119</v>
      </c>
    </row>
    <row r="24" spans="1:20" ht="23.25">
      <c r="A24" s="14"/>
      <c r="B24" s="14"/>
      <c r="C24" s="14"/>
      <c r="D24" s="14">
        <f>fitModel!R35</f>
        <v>12</v>
      </c>
      <c r="E24" s="14"/>
      <c r="F24" s="14"/>
      <c r="G24" s="14">
        <f>simDau!J7</f>
        <v>0.00518169218951141</v>
      </c>
      <c r="H24" s="14"/>
      <c r="I24" s="15"/>
      <c r="J24" s="14"/>
      <c r="K24" s="14"/>
      <c r="L24" s="15"/>
      <c r="M24" s="14"/>
      <c r="N24" s="28">
        <f>SQRT((D24/D23)^2+(G24/G23)^2)*N23</f>
        <v>1377.0352855753258</v>
      </c>
      <c r="O24" s="7"/>
      <c r="P24" s="7"/>
      <c r="S24" s="19">
        <f>SQRT((S22*O19)^2+O20^2)</f>
        <v>0.16373280813255825</v>
      </c>
      <c r="T24" s="19">
        <f>S24/LN(2*197)</f>
        <v>0.027396786202400655</v>
      </c>
    </row>
    <row r="25" spans="1:16" ht="22.5">
      <c r="A25" s="14" t="s">
        <v>19</v>
      </c>
      <c r="B25" s="14">
        <f>B19</f>
        <v>-1.45</v>
      </c>
      <c r="C25" s="14">
        <v>0.5</v>
      </c>
      <c r="D25" s="14">
        <f>fitModel!R32</f>
        <v>346</v>
      </c>
      <c r="E25" s="14">
        <v>0.128</v>
      </c>
      <c r="F25" s="14">
        <f>F19</f>
        <v>0.6978390944207717</v>
      </c>
      <c r="G25" s="14">
        <f>simDau!I6</f>
        <v>0.7032248476742458</v>
      </c>
      <c r="H25" s="14">
        <v>0.99</v>
      </c>
      <c r="I25" s="15">
        <f>I9</f>
        <v>1566000000</v>
      </c>
      <c r="J25" s="14">
        <f>$J$3</f>
        <v>0.88</v>
      </c>
      <c r="K25" s="14">
        <f>$K$3</f>
        <v>2260</v>
      </c>
      <c r="L25" s="15">
        <f>I25/J25/(K25*1000000)</f>
        <v>0.7874094931617055</v>
      </c>
      <c r="M25" s="14">
        <f>$M$3</f>
        <v>0.9362</v>
      </c>
      <c r="N25" s="28">
        <f>(D25/E25/F25/G25/H25/M25)/(I25/(K25*1E-27*J25))/C25*1E+33*U19</f>
        <v>15140.599669136138</v>
      </c>
      <c r="O25" s="7">
        <f>N25/(2*197)/N81</f>
        <v>1.128098666118822</v>
      </c>
      <c r="P25" s="7">
        <f>1+(LN(O25)/LN(197*2))</f>
        <v>1.020168430710212</v>
      </c>
    </row>
    <row r="26" spans="1:16" ht="22.5">
      <c r="A26" s="14"/>
      <c r="B26" s="14"/>
      <c r="C26" s="14"/>
      <c r="D26" s="14">
        <f>fitModel!R33</f>
        <v>20</v>
      </c>
      <c r="E26" s="14"/>
      <c r="F26" s="14"/>
      <c r="G26" s="14">
        <f>simDau!I7</f>
        <v>0.007228644082042091</v>
      </c>
      <c r="H26" s="14"/>
      <c r="I26" s="15"/>
      <c r="J26" s="14"/>
      <c r="K26" s="14"/>
      <c r="L26" s="15"/>
      <c r="M26" s="14"/>
      <c r="N26" s="28">
        <f>SQRT((D26/D25)^2+(G26/G25)^2)*N25</f>
        <v>888.9098164225234</v>
      </c>
      <c r="O26" s="7"/>
      <c r="P26" s="7"/>
    </row>
    <row r="27" spans="1:21" s="11" customFormat="1" ht="23.25">
      <c r="A27" s="20" t="s">
        <v>17</v>
      </c>
      <c r="B27" s="20">
        <v>1.8</v>
      </c>
      <c r="C27" s="20">
        <v>1.2</v>
      </c>
      <c r="D27" s="20">
        <f>fitModel!R37</f>
        <v>895.75</v>
      </c>
      <c r="E27" s="20">
        <v>0.127</v>
      </c>
      <c r="F27" s="20">
        <f>simDau!$H$8</f>
        <v>0.8161130143639365</v>
      </c>
      <c r="G27" s="22">
        <f>simDau!K8</f>
        <v>0.6597665703119843</v>
      </c>
      <c r="H27" s="20">
        <v>0.93</v>
      </c>
      <c r="I27" s="21">
        <f>I31+I33</f>
        <v>3264000000</v>
      </c>
      <c r="J27" s="20">
        <f>$J$3</f>
        <v>0.88</v>
      </c>
      <c r="K27" s="20">
        <f>$K$3</f>
        <v>2260</v>
      </c>
      <c r="L27" s="21">
        <f>I27/J27/(K27*1000000)</f>
        <v>1.6411906677393402</v>
      </c>
      <c r="M27" s="20">
        <f>$M$3</f>
        <v>0.9362</v>
      </c>
      <c r="N27" s="29">
        <f>(D27/E27/F27/G27/H27/M27)/(I27/(K27*1E-27*J27))/C27*1E+33*U27</f>
        <v>7807.311573277602</v>
      </c>
      <c r="O27" s="22">
        <f>N27/(2*197)/N79</f>
        <v>0.789130646379593</v>
      </c>
      <c r="P27" s="22">
        <f>1+(LN(O27)/LN(197*2))</f>
        <v>0.9603732460370675</v>
      </c>
      <c r="U27" s="11">
        <v>1.022</v>
      </c>
    </row>
    <row r="28" spans="1:16" s="11" customFormat="1" ht="23.25">
      <c r="A28" s="20" t="s">
        <v>24</v>
      </c>
      <c r="B28" s="20"/>
      <c r="C28" s="20"/>
      <c r="D28" s="20">
        <f>fitModel!R38</f>
        <v>35.46947044055399</v>
      </c>
      <c r="E28" s="20"/>
      <c r="F28" s="20"/>
      <c r="G28" s="22">
        <f>simDau!K9</f>
        <v>0.004596207039428428</v>
      </c>
      <c r="H28" s="20"/>
      <c r="I28" s="21"/>
      <c r="J28" s="20"/>
      <c r="K28" s="33" t="s">
        <v>35</v>
      </c>
      <c r="L28" s="34" t="s">
        <v>36</v>
      </c>
      <c r="M28" s="20"/>
      <c r="N28" s="29">
        <f>SQRT((D28/D27)^2+(G28/G27)^2)*N27</f>
        <v>313.89798854095096</v>
      </c>
      <c r="O28" s="22">
        <f>SQRT((N28/N27)^2+(N80/N79)^2)*O27</f>
        <v>0.06108011927338411</v>
      </c>
      <c r="P28" s="22">
        <f>O28/LN(2*197)</f>
        <v>0.010220303359087635</v>
      </c>
    </row>
    <row r="29" spans="1:20" s="11" customFormat="1" ht="23.25">
      <c r="A29" s="20" t="s">
        <v>31</v>
      </c>
      <c r="B29" s="20"/>
      <c r="C29" s="20"/>
      <c r="D29" s="20"/>
      <c r="E29" s="20"/>
      <c r="F29" s="20"/>
      <c r="G29" s="20"/>
      <c r="H29" s="20"/>
      <c r="I29" s="21"/>
      <c r="J29" s="20"/>
      <c r="K29" s="8">
        <f>syst!E23</f>
        <v>0.065</v>
      </c>
      <c r="L29" s="8">
        <f>syst!E25</f>
        <v>0.12379418403139947</v>
      </c>
      <c r="M29" s="29">
        <f>SQRT((K29*N27)^2+N28^2)</f>
        <v>596.7102134784483</v>
      </c>
      <c r="N29" s="29">
        <f>SQRT((L29*N27)^2+N28^2)</f>
        <v>1016.1957214504973</v>
      </c>
      <c r="O29" s="22">
        <f>SQRT((Q29*O27)^2+O28^2)</f>
        <v>0.06370017848016561</v>
      </c>
      <c r="P29" s="22">
        <f>O29/LN(2*197)</f>
        <v>0.010658707871564511</v>
      </c>
      <c r="Q29" s="108">
        <f>syst!G23</f>
        <v>0.022912878474779203</v>
      </c>
      <c r="R29" s="108">
        <f>syst!I23</f>
        <v>0.0038339245507039467</v>
      </c>
      <c r="S29" s="129">
        <f>syst!G25</f>
        <v>0.08789197915623473</v>
      </c>
      <c r="T29" s="129">
        <f>syst!I25</f>
        <v>0.014706629595577038</v>
      </c>
    </row>
    <row r="30" spans="1:20" s="11" customFormat="1" ht="23.25">
      <c r="A30" s="20" t="s">
        <v>32</v>
      </c>
      <c r="B30" s="20"/>
      <c r="C30" s="20"/>
      <c r="D30" s="20"/>
      <c r="E30" s="20"/>
      <c r="F30" s="20"/>
      <c r="G30" s="20"/>
      <c r="H30" s="20"/>
      <c r="I30" s="21"/>
      <c r="J30" s="20"/>
      <c r="K30" s="8">
        <f>syst!E24</f>
        <v>0.06503076195155644</v>
      </c>
      <c r="L30" s="8">
        <f>syst!E26</f>
        <v>0.14081548210335398</v>
      </c>
      <c r="M30" s="29">
        <f>SQRT((K30*N27)^2+N28^2)</f>
        <v>596.9144790717546</v>
      </c>
      <c r="N30" s="29">
        <f>SQRT((L30*N27)^2+N28^2)</f>
        <v>1143.3245706099215</v>
      </c>
      <c r="O30" s="22">
        <f>SQRT((Q30*O27)^2+O28^2)</f>
        <v>0.06374415489280921</v>
      </c>
      <c r="P30" s="22">
        <f>O30/LN(2*197)</f>
        <v>0.010666066276937794</v>
      </c>
      <c r="Q30" s="108">
        <f>syst!G24</f>
        <v>0.02310844001658269</v>
      </c>
      <c r="R30" s="108">
        <f>syst!I24</f>
        <v>0.0038666471174962067</v>
      </c>
      <c r="S30" s="129">
        <f>syst!G26</f>
        <v>0.10214695296483396</v>
      </c>
      <c r="T30" s="129">
        <f>syst!I26</f>
        <v>0.017091859985315618</v>
      </c>
    </row>
    <row r="31" spans="1:20" s="11" customFormat="1" ht="23.25">
      <c r="A31" s="11" t="s">
        <v>18</v>
      </c>
      <c r="B31" s="11">
        <f>B27</f>
        <v>1.8</v>
      </c>
      <c r="C31" s="11">
        <v>1.2</v>
      </c>
      <c r="D31" s="11">
        <f>fitModel!R41</f>
        <v>342.25</v>
      </c>
      <c r="E31" s="11">
        <v>0.127</v>
      </c>
      <c r="F31" s="11">
        <f>F27</f>
        <v>0.8161130143639365</v>
      </c>
      <c r="G31" s="11">
        <f>simDau!J8</f>
        <v>0.5256939592199708</v>
      </c>
      <c r="H31" s="11">
        <v>0.93</v>
      </c>
      <c r="I31" s="12">
        <v>1553000000</v>
      </c>
      <c r="J31" s="11">
        <f>$J$3</f>
        <v>0.88</v>
      </c>
      <c r="K31" s="11">
        <f>$K$3</f>
        <v>2260</v>
      </c>
      <c r="L31" s="12">
        <f>I31/J31/(K31*1000000)</f>
        <v>0.7808728881737731</v>
      </c>
      <c r="M31" s="11">
        <f>$M$3</f>
        <v>0.9362</v>
      </c>
      <c r="N31" s="30">
        <f>(D31/E31/F31/G31/H31/M31)/(I31/(K31*1E-27*J31))/C31*1E+33*U27</f>
        <v>7868.540160609168</v>
      </c>
      <c r="O31" s="8">
        <f>N31/(2*197)/N79</f>
        <v>0.795319377832715</v>
      </c>
      <c r="P31" s="8">
        <f>1+(LN(O31)/LN(197*2))</f>
        <v>0.9616803773149021</v>
      </c>
      <c r="S31" s="130">
        <f>SQRT((S29*O27)^2+O28^2)</f>
        <v>0.09241941578047529</v>
      </c>
      <c r="T31" s="22">
        <f>S31/LN(2*197)</f>
        <v>0.015464188295350978</v>
      </c>
    </row>
    <row r="32" spans="4:20" s="11" customFormat="1" ht="23.25">
      <c r="D32" s="11">
        <f>fitModel!R42</f>
        <v>22.03028218914441</v>
      </c>
      <c r="G32" s="11">
        <f>simDau!J9</f>
        <v>0.004086088302375758</v>
      </c>
      <c r="I32" s="12"/>
      <c r="L32" s="12"/>
      <c r="N32" s="30">
        <f>SQRT((D32/D31)^2+(G32/G31)^2)*N31</f>
        <v>510.16915366314765</v>
      </c>
      <c r="O32" s="8"/>
      <c r="P32" s="8"/>
      <c r="S32" s="130">
        <f>SQRT((S30*O27)^2+O28^2)</f>
        <v>0.10113513897675548</v>
      </c>
      <c r="T32" s="22">
        <f>S32/LN(2*197)</f>
        <v>0.01692255701040089</v>
      </c>
    </row>
    <row r="33" spans="1:16" s="11" customFormat="1" ht="22.5">
      <c r="A33" s="11" t="s">
        <v>19</v>
      </c>
      <c r="B33" s="11">
        <f>B27</f>
        <v>1.8</v>
      </c>
      <c r="C33" s="11">
        <v>1.2</v>
      </c>
      <c r="D33" s="11">
        <f>fitModel!R39</f>
        <v>559.75</v>
      </c>
      <c r="E33" s="11">
        <v>0.127</v>
      </c>
      <c r="F33" s="11">
        <f>F27</f>
        <v>0.8161130143639365</v>
      </c>
      <c r="G33" s="11">
        <f>simDau!I8</f>
        <v>0.7814584259670965</v>
      </c>
      <c r="H33" s="11">
        <v>0.93</v>
      </c>
      <c r="I33" s="12">
        <v>1711000000</v>
      </c>
      <c r="J33" s="11">
        <f>$J$3</f>
        <v>0.88</v>
      </c>
      <c r="K33" s="11">
        <f>$K$3</f>
        <v>2260</v>
      </c>
      <c r="L33" s="12">
        <f>I33/J33/(K33*1000000)</f>
        <v>0.8603177795655671</v>
      </c>
      <c r="M33" s="11">
        <f>$M$3</f>
        <v>0.9362</v>
      </c>
      <c r="N33" s="30">
        <f>(D33/E33/F33/G33/H33/M33)/(I33/(K33*1E-27*J33))/C33*1E+33*U27</f>
        <v>7857.662400653002</v>
      </c>
      <c r="O33" s="8">
        <f>N33/(2*197)/N79</f>
        <v>0.794219899008948</v>
      </c>
      <c r="P33" s="8">
        <f>1+(LN(O33)/LN(197*2))</f>
        <v>0.9614488993898445</v>
      </c>
    </row>
    <row r="34" spans="4:16" s="11" customFormat="1" ht="22.5">
      <c r="D34" s="11">
        <f>fitModel!R40</f>
        <v>25</v>
      </c>
      <c r="G34" s="11">
        <f>simDau!I9</f>
        <v>0.004981890682257522</v>
      </c>
      <c r="I34" s="12"/>
      <c r="L34" s="12"/>
      <c r="N34" s="30">
        <f>SQRT((D34/D33)^2+(G34/G33)^2)*N33</f>
        <v>354.50229335863867</v>
      </c>
      <c r="O34" s="8"/>
      <c r="P34" s="8"/>
    </row>
    <row r="35" spans="1:21" s="11" customFormat="1" ht="23.25">
      <c r="A35" s="20" t="s">
        <v>17</v>
      </c>
      <c r="B35" s="20">
        <v>1.45</v>
      </c>
      <c r="C35" s="20">
        <v>0.5</v>
      </c>
      <c r="D35" s="20">
        <f>fitModel!R43</f>
        <v>498.75</v>
      </c>
      <c r="E35" s="20">
        <v>0.127</v>
      </c>
      <c r="F35" s="20">
        <f>simDau!$H$10</f>
        <v>0.7215048302423477</v>
      </c>
      <c r="G35" s="22">
        <f>simDau!K10</f>
        <v>0.6404457909159318</v>
      </c>
      <c r="H35" s="20">
        <v>0.93</v>
      </c>
      <c r="I35" s="21">
        <f>I27</f>
        <v>3264000000</v>
      </c>
      <c r="J35" s="20">
        <f>$J$3</f>
        <v>0.88</v>
      </c>
      <c r="K35" s="20">
        <f>$K$3</f>
        <v>2260</v>
      </c>
      <c r="L35" s="21">
        <f>I35/J35/(K35*1000000)</f>
        <v>1.6411906677393402</v>
      </c>
      <c r="M35" s="20">
        <f>$M$3</f>
        <v>0.9362</v>
      </c>
      <c r="N35" s="29">
        <f>(D35/E35/F35/G35/H35/M35)/(I35/(K35*1E-27*J35))/C35*1E+33*U35</f>
        <v>11931.028239308547</v>
      </c>
      <c r="O35" s="22">
        <f>N35/(2*197)/N81</f>
        <v>0.8889593104840282</v>
      </c>
      <c r="P35" s="22">
        <f>1+(LN(O35)/LN(197*2))</f>
        <v>0.9803050697179096</v>
      </c>
      <c r="U35" s="11">
        <v>1.003</v>
      </c>
    </row>
    <row r="36" spans="1:16" s="11" customFormat="1" ht="23.25">
      <c r="A36" s="20" t="s">
        <v>24</v>
      </c>
      <c r="B36" s="20"/>
      <c r="C36" s="20"/>
      <c r="D36" s="20">
        <f>fitModel!R44</f>
        <v>24.496598403315783</v>
      </c>
      <c r="E36" s="20"/>
      <c r="F36" s="20"/>
      <c r="G36" s="22">
        <f>simDau!K11</f>
        <v>0.006835486588351216</v>
      </c>
      <c r="H36" s="20"/>
      <c r="I36" s="21"/>
      <c r="J36" s="20"/>
      <c r="K36" s="20"/>
      <c r="L36" s="21"/>
      <c r="M36" s="20"/>
      <c r="N36" s="29">
        <f>SQRT((D36/D35)^2+(G36/G35)^2)*N35</f>
        <v>599.6802765724044</v>
      </c>
      <c r="O36" s="22">
        <f>SQRT((N36/N35)^2+(N82/N81)^2)*O35</f>
        <v>0.08551252960309454</v>
      </c>
      <c r="P36" s="22">
        <f>O36/LN(2*197)</f>
        <v>0.01430848537860372</v>
      </c>
    </row>
    <row r="37" spans="1:20" s="11" customFormat="1" ht="23.25">
      <c r="A37" s="20" t="s">
        <v>31</v>
      </c>
      <c r="B37" s="20"/>
      <c r="C37" s="20"/>
      <c r="D37" s="20"/>
      <c r="E37" s="20"/>
      <c r="F37" s="20"/>
      <c r="G37" s="20"/>
      <c r="H37" s="20"/>
      <c r="I37" s="21"/>
      <c r="J37" s="20"/>
      <c r="K37" s="8">
        <f>K29</f>
        <v>0.065</v>
      </c>
      <c r="L37" s="8">
        <f>L29</f>
        <v>0.12379418403139947</v>
      </c>
      <c r="M37" s="29">
        <f>SQRT((K37*N35)^2+N36^2)</f>
        <v>980.3279024588062</v>
      </c>
      <c r="N37" s="29">
        <f>SQRT((L37*N35)^2+N36^2)</f>
        <v>1594.0895593231137</v>
      </c>
      <c r="O37" s="22">
        <f>SQRT((Q37*O35)^2+O36^2)</f>
        <v>0.0879049103484023</v>
      </c>
      <c r="P37" s="22">
        <f>O37/LN(2*197)</f>
        <v>0.014708793322634537</v>
      </c>
      <c r="Q37" s="8">
        <f aca="true" t="shared" si="2" ref="Q37:T38">Q29</f>
        <v>0.022912878474779203</v>
      </c>
      <c r="R37" s="8">
        <f t="shared" si="2"/>
        <v>0.0038339245507039467</v>
      </c>
      <c r="S37" s="129">
        <f t="shared" si="2"/>
        <v>0.08789197915623473</v>
      </c>
      <c r="T37" s="129">
        <f t="shared" si="2"/>
        <v>0.014706629595577038</v>
      </c>
    </row>
    <row r="38" spans="1:20" s="11" customFormat="1" ht="23.25">
      <c r="A38" s="20" t="s">
        <v>32</v>
      </c>
      <c r="B38" s="20"/>
      <c r="C38" s="20"/>
      <c r="D38" s="20"/>
      <c r="E38" s="20"/>
      <c r="F38" s="20"/>
      <c r="G38" s="20"/>
      <c r="H38" s="20"/>
      <c r="I38" s="21"/>
      <c r="J38" s="20"/>
      <c r="K38" s="8">
        <f>K30</f>
        <v>0.06503076195155644</v>
      </c>
      <c r="L38" s="8">
        <f>L30</f>
        <v>0.14081548210335398</v>
      </c>
      <c r="M38" s="29">
        <f>SQRT((K38*N35)^2+N36^2)</f>
        <v>980.6182713363397</v>
      </c>
      <c r="N38" s="29">
        <f>SQRT((L38*N35)^2+N36^2)</f>
        <v>1783.8899567222888</v>
      </c>
      <c r="O38" s="22">
        <f>SQRT((Q38*O35)^2+O36^2)</f>
        <v>0.08794535520004403</v>
      </c>
      <c r="P38" s="22">
        <f>O38/LN(2*197)</f>
        <v>0.014715560805377026</v>
      </c>
      <c r="Q38" s="8">
        <f t="shared" si="2"/>
        <v>0.02310844001658269</v>
      </c>
      <c r="R38" s="8">
        <f t="shared" si="2"/>
        <v>0.0038666471174962067</v>
      </c>
      <c r="S38" s="129">
        <f t="shared" si="2"/>
        <v>0.10214695296483396</v>
      </c>
      <c r="T38" s="129">
        <f t="shared" si="2"/>
        <v>0.017091859985315618</v>
      </c>
    </row>
    <row r="39" spans="1:20" s="11" customFormat="1" ht="23.25">
      <c r="A39" s="11" t="s">
        <v>18</v>
      </c>
      <c r="B39" s="11">
        <f>B35</f>
        <v>1.45</v>
      </c>
      <c r="C39" s="11">
        <v>0.5</v>
      </c>
      <c r="D39" s="11">
        <f>fitModel!R47</f>
        <v>204</v>
      </c>
      <c r="E39" s="11">
        <v>0.127</v>
      </c>
      <c r="F39" s="11">
        <f>F35</f>
        <v>0.7215048302423477</v>
      </c>
      <c r="G39" s="11">
        <f>simDau!J10</f>
        <v>0.48587979724837077</v>
      </c>
      <c r="H39" s="11">
        <v>0.93</v>
      </c>
      <c r="I39" s="12">
        <f>I31</f>
        <v>1553000000</v>
      </c>
      <c r="J39" s="11">
        <f>$J$3</f>
        <v>0.88</v>
      </c>
      <c r="K39" s="11">
        <f>$K$3</f>
        <v>2260</v>
      </c>
      <c r="L39" s="12">
        <f>I39/J39/(K39*1000000)</f>
        <v>0.7808728881737731</v>
      </c>
      <c r="M39" s="11">
        <f>$M$3</f>
        <v>0.9362</v>
      </c>
      <c r="N39" s="30">
        <f>(D39/E39/F39/G39/H39/M39)/(I39/(K39*1E-27*J39))/C39*1E+33*U35</f>
        <v>13519.398229742079</v>
      </c>
      <c r="O39" s="8">
        <f>N39/(2*197)/N81</f>
        <v>1.0073058823945098</v>
      </c>
      <c r="P39" s="8">
        <f>1+(LN(O39)/LN(197*2))</f>
        <v>1.0012180214689792</v>
      </c>
      <c r="S39" s="130">
        <f>SQRT((S37*O35)^2+O36^2)</f>
        <v>0.11583204903813782</v>
      </c>
      <c r="T39" s="22">
        <f>S39/LN(2*197)</f>
        <v>0.01938173490748807</v>
      </c>
    </row>
    <row r="40" spans="4:20" s="11" customFormat="1" ht="23.25">
      <c r="D40" s="11">
        <f>fitModel!R48</f>
        <v>15</v>
      </c>
      <c r="G40" s="11">
        <f>simDau!J11</f>
        <v>0.005931541612243995</v>
      </c>
      <c r="I40" s="12"/>
      <c r="L40" s="12"/>
      <c r="N40" s="30">
        <f>SQRT((D40/D39)^2+(G40/G39)^2)*N39</f>
        <v>1007.6809953737169</v>
      </c>
      <c r="O40" s="8"/>
      <c r="P40" s="8"/>
      <c r="S40" s="130">
        <f>SQRT((S38*O35)^2+O36^2)</f>
        <v>0.12473109954079085</v>
      </c>
      <c r="T40" s="22">
        <f>S40/LN(2*197)</f>
        <v>0.020870779081384884</v>
      </c>
    </row>
    <row r="41" spans="1:16" s="11" customFormat="1" ht="22.5">
      <c r="A41" s="11" t="s">
        <v>19</v>
      </c>
      <c r="B41" s="11">
        <f>B35</f>
        <v>1.45</v>
      </c>
      <c r="C41" s="11">
        <v>0.5</v>
      </c>
      <c r="D41" s="11">
        <f>fitModel!R45</f>
        <v>309</v>
      </c>
      <c r="E41" s="11">
        <v>0.127</v>
      </c>
      <c r="F41" s="11">
        <f>F35</f>
        <v>0.7215048302423477</v>
      </c>
      <c r="G41" s="11">
        <f>simDau!I10</f>
        <v>0.7807385952208544</v>
      </c>
      <c r="H41" s="11">
        <v>0.93</v>
      </c>
      <c r="I41" s="12">
        <f>I33</f>
        <v>1711000000</v>
      </c>
      <c r="J41" s="11">
        <f>$J$3</f>
        <v>0.88</v>
      </c>
      <c r="K41" s="11">
        <f>$K$3</f>
        <v>2260</v>
      </c>
      <c r="L41" s="12">
        <f>I41/J41/(K41*1000000)</f>
        <v>0.8603177795655671</v>
      </c>
      <c r="M41" s="11">
        <f>$M$3</f>
        <v>0.9362</v>
      </c>
      <c r="N41" s="30">
        <f>(D41/E41/F41/G41/H41/M41)/(I41/(K41*1E-27*J41))/C41*1E+33*U35</f>
        <v>11567.255054475398</v>
      </c>
      <c r="O41" s="8">
        <f>N41/(2*197)/N81</f>
        <v>0.8618552291696925</v>
      </c>
      <c r="P41" s="8">
        <f>1+(LN(O41)/LN(197*2))</f>
        <v>0.9751239556916094</v>
      </c>
    </row>
    <row r="42" spans="4:16" s="11" customFormat="1" ht="22.5">
      <c r="D42" s="11">
        <f>fitModel!R46</f>
        <v>17</v>
      </c>
      <c r="G42" s="11">
        <f>simDau!I11</f>
        <v>0.007518929022393967</v>
      </c>
      <c r="I42" s="12"/>
      <c r="L42" s="12"/>
      <c r="N42" s="30">
        <f>SQRT((D42/D41)^2+(G42/G41)^2)*N41</f>
        <v>646.0627651007272</v>
      </c>
      <c r="O42" s="8"/>
      <c r="P42" s="8"/>
    </row>
    <row r="43" spans="1:21" s="11" customFormat="1" ht="23.25">
      <c r="A43" s="20" t="s">
        <v>17</v>
      </c>
      <c r="B43" s="20">
        <v>2.05</v>
      </c>
      <c r="C43" s="20">
        <v>0.7</v>
      </c>
      <c r="D43" s="20">
        <f>fitModel!R49</f>
        <v>381.75</v>
      </c>
      <c r="E43" s="20">
        <v>0.127</v>
      </c>
      <c r="F43" s="20">
        <f>simDau!$H$12</f>
        <v>0.9092644042738925</v>
      </c>
      <c r="G43" s="22">
        <f>simDau!K12</f>
        <v>0.674861612372376</v>
      </c>
      <c r="H43" s="20">
        <v>0.93</v>
      </c>
      <c r="I43" s="21">
        <f>I27</f>
        <v>3264000000</v>
      </c>
      <c r="J43" s="20">
        <f>$J$3</f>
        <v>0.88</v>
      </c>
      <c r="K43" s="20">
        <f>$K$3</f>
        <v>2260</v>
      </c>
      <c r="L43" s="21">
        <f>I43/J43/(K43*1000000)</f>
        <v>1.6411906677393402</v>
      </c>
      <c r="M43" s="20">
        <f>$M$3</f>
        <v>0.9362</v>
      </c>
      <c r="N43" s="29">
        <f>(D43/E43/F43/G43/H43/M43)/(I43/(K43*1E-27*J43))/C43*1E+33*U43</f>
        <v>4931.638294389993</v>
      </c>
      <c r="O43" s="22">
        <f>N43/(2*197)/N83</f>
        <v>0.665658786147366</v>
      </c>
      <c r="P43" s="22">
        <f>1+(LN(O43)/LN(197*2))</f>
        <v>0.9319019115480498</v>
      </c>
      <c r="U43" s="11">
        <v>1.007</v>
      </c>
    </row>
    <row r="44" spans="1:16" s="11" customFormat="1" ht="23.25">
      <c r="A44" s="20" t="s">
        <v>24</v>
      </c>
      <c r="B44" s="20"/>
      <c r="C44" s="20"/>
      <c r="D44" s="20">
        <f>fitModel!R50</f>
        <v>24.20915804676679</v>
      </c>
      <c r="E44" s="20"/>
      <c r="F44" s="20"/>
      <c r="G44" s="22">
        <f>simDau!K13</f>
        <v>0.006204149461282547</v>
      </c>
      <c r="H44" s="20"/>
      <c r="I44" s="21"/>
      <c r="J44" s="20"/>
      <c r="K44" s="20"/>
      <c r="L44" s="21"/>
      <c r="M44" s="20"/>
      <c r="N44" s="29">
        <f>SQRT((D44/D43)^2+(G44/G43)^2)*N43</f>
        <v>316.01519291167557</v>
      </c>
      <c r="O44" s="22">
        <f>SQRT((N44/N43)^2+(N84/N83)^2)*O43</f>
        <v>0.06935838651909121</v>
      </c>
      <c r="P44" s="22">
        <f>O44/LN(2*197)</f>
        <v>0.01160547423866699</v>
      </c>
    </row>
    <row r="45" spans="1:20" s="11" customFormat="1" ht="23.25">
      <c r="A45" s="20" t="s">
        <v>31</v>
      </c>
      <c r="B45" s="20"/>
      <c r="C45" s="20"/>
      <c r="D45" s="20"/>
      <c r="E45" s="20"/>
      <c r="F45" s="20"/>
      <c r="G45" s="20"/>
      <c r="H45" s="20"/>
      <c r="I45" s="21"/>
      <c r="J45" s="20"/>
      <c r="K45" s="8">
        <f>K29</f>
        <v>0.065</v>
      </c>
      <c r="L45" s="8">
        <f>L29</f>
        <v>0.12379418403139947</v>
      </c>
      <c r="M45" s="29">
        <f>SQRT((K45*N43)^2+N44^2)</f>
        <v>450.1356072094108</v>
      </c>
      <c r="N45" s="29">
        <f>SQRT((L45*N43)^2+N44^2)</f>
        <v>687.4487540450463</v>
      </c>
      <c r="O45" s="22">
        <f>SQRT((Q45*O43)^2+O44^2)</f>
        <v>0.07101559075871033</v>
      </c>
      <c r="P45" s="22">
        <f>O45/LN(2*197)</f>
        <v>0.011882767902437781</v>
      </c>
      <c r="Q45" s="8">
        <f aca="true" t="shared" si="3" ref="Q45:T46">Q29</f>
        <v>0.022912878474779203</v>
      </c>
      <c r="R45" s="8">
        <f t="shared" si="3"/>
        <v>0.0038339245507039467</v>
      </c>
      <c r="S45" s="129">
        <f t="shared" si="3"/>
        <v>0.08789197915623473</v>
      </c>
      <c r="T45" s="129">
        <f t="shared" si="3"/>
        <v>0.014706629595577038</v>
      </c>
    </row>
    <row r="46" spans="1:20" s="11" customFormat="1" ht="23.25">
      <c r="A46" s="20" t="s">
        <v>32</v>
      </c>
      <c r="B46" s="20"/>
      <c r="C46" s="20"/>
      <c r="D46" s="20"/>
      <c r="E46" s="20"/>
      <c r="F46" s="20"/>
      <c r="G46" s="20"/>
      <c r="H46" s="20"/>
      <c r="I46" s="21"/>
      <c r="J46" s="20"/>
      <c r="K46" s="8">
        <f>K30</f>
        <v>0.06503076195155644</v>
      </c>
      <c r="L46" s="8">
        <f>L30</f>
        <v>0.14081548210335398</v>
      </c>
      <c r="M46" s="29">
        <f>SQRT((K46*N43)^2+N44^2)</f>
        <v>450.2436552610728</v>
      </c>
      <c r="N46" s="29">
        <f>SQRT((L46*N43)^2+N44^2)</f>
        <v>762.973018437268</v>
      </c>
      <c r="O46" s="22">
        <f>SQRT((Q46*O43)^2+O44^2)</f>
        <v>0.0710436629502224</v>
      </c>
      <c r="P46" s="22">
        <f>O46/LN(2*197)</f>
        <v>0.011887465115158069</v>
      </c>
      <c r="Q46" s="8">
        <f t="shared" si="3"/>
        <v>0.02310844001658269</v>
      </c>
      <c r="R46" s="8">
        <f t="shared" si="3"/>
        <v>0.0038666471174962067</v>
      </c>
      <c r="S46" s="129">
        <f t="shared" si="3"/>
        <v>0.10214695296483396</v>
      </c>
      <c r="T46" s="129">
        <f t="shared" si="3"/>
        <v>0.017091859985315618</v>
      </c>
    </row>
    <row r="47" spans="1:20" s="11" customFormat="1" ht="23.25">
      <c r="A47" s="11" t="s">
        <v>18</v>
      </c>
      <c r="B47" s="11">
        <f>B43</f>
        <v>2.05</v>
      </c>
      <c r="C47" s="11">
        <v>0.7</v>
      </c>
      <c r="D47" s="11">
        <f>fitModel!R53</f>
        <v>143</v>
      </c>
      <c r="E47" s="11">
        <v>0.127</v>
      </c>
      <c r="F47" s="11">
        <f>F43</f>
        <v>0.9092644042738925</v>
      </c>
      <c r="G47" s="11">
        <f>simDau!J12</f>
        <v>0.5568001810364336</v>
      </c>
      <c r="H47" s="11">
        <v>0.93</v>
      </c>
      <c r="I47" s="12">
        <f>I31</f>
        <v>1553000000</v>
      </c>
      <c r="J47" s="11">
        <f>$J$3</f>
        <v>0.88</v>
      </c>
      <c r="K47" s="11">
        <f>$K$3</f>
        <v>2260</v>
      </c>
      <c r="L47" s="12">
        <f>I47/J47/(K47*1000000)</f>
        <v>0.7808728881737731</v>
      </c>
      <c r="M47" s="11">
        <f>$M$3</f>
        <v>0.9362</v>
      </c>
      <c r="N47" s="30">
        <f>(D47/E47/F47/G47/H47/M47)/(I47/(K47*1E-27*J47))/C47*1E+33*U43</f>
        <v>4705.895292035922</v>
      </c>
      <c r="O47" s="8">
        <f>N47/(2*197)/N83</f>
        <v>0.6351886251261876</v>
      </c>
      <c r="P47" s="8">
        <f>1+(LN(O47)/LN(197*2))</f>
        <v>0.9240618090128512</v>
      </c>
      <c r="S47" s="130">
        <f>SQRT((S45*O43)^2+O44^2)</f>
        <v>0.09073888797946532</v>
      </c>
      <c r="T47" s="22">
        <f>S47/LN(2*197)</f>
        <v>0.015182991989023748</v>
      </c>
    </row>
    <row r="48" spans="4:20" s="11" customFormat="1" ht="23.25">
      <c r="D48" s="11">
        <f>fitModel!R54</f>
        <v>13</v>
      </c>
      <c r="G48" s="11">
        <f>simDau!J13</f>
        <v>0.0056125172325122916</v>
      </c>
      <c r="I48" s="12"/>
      <c r="L48" s="12"/>
      <c r="N48" s="30">
        <f>SQRT((D48/D47)^2+(G48/G47)^2)*N47</f>
        <v>430.43042252926017</v>
      </c>
      <c r="O48" s="8"/>
      <c r="P48" s="8"/>
      <c r="S48" s="130">
        <f>SQRT((S46*O43)^2+O44^2)</f>
        <v>0.09712830730111141</v>
      </c>
      <c r="T48" s="22">
        <f>S48/LN(2*197)</f>
        <v>0.016252109150752907</v>
      </c>
    </row>
    <row r="49" spans="1:16" s="11" customFormat="1" ht="22.5">
      <c r="A49" s="11" t="s">
        <v>19</v>
      </c>
      <c r="B49" s="11">
        <f>B43</f>
        <v>2.05</v>
      </c>
      <c r="C49" s="11">
        <v>0.7</v>
      </c>
      <c r="D49" s="11">
        <f>fitModel!R51</f>
        <v>248</v>
      </c>
      <c r="E49" s="11">
        <v>0.127</v>
      </c>
      <c r="F49" s="11">
        <f>F43</f>
        <v>0.9092644042738925</v>
      </c>
      <c r="G49" s="11">
        <f>simDau!I12</f>
        <v>0.782020819189862</v>
      </c>
      <c r="H49" s="11">
        <v>0.93</v>
      </c>
      <c r="I49" s="12">
        <f>I33</f>
        <v>1711000000</v>
      </c>
      <c r="J49" s="11">
        <f>$J$3</f>
        <v>0.88</v>
      </c>
      <c r="K49" s="11">
        <f>$K$3</f>
        <v>2260</v>
      </c>
      <c r="L49" s="12">
        <f>I49/J49/(K49*1000000)</f>
        <v>0.8603177795655671</v>
      </c>
      <c r="M49" s="11">
        <f>$M$3</f>
        <v>0.9362</v>
      </c>
      <c r="N49" s="30">
        <f>(D49/E49/F49/G49/H49/M49)/(I49/(K49*1E-27*J49))/C49*1E+33*U43</f>
        <v>5274.246240177639</v>
      </c>
      <c r="O49" s="8">
        <f>N49/(2*197)/N83</f>
        <v>0.711903051380053</v>
      </c>
      <c r="P49" s="8">
        <f>1+(LN(O49)/LN(197*2))</f>
        <v>0.9431402965136009</v>
      </c>
    </row>
    <row r="50" spans="4:16" s="11" customFormat="1" ht="22.5">
      <c r="D50" s="11">
        <f>fitModel!R52</f>
        <v>17</v>
      </c>
      <c r="G50" s="11">
        <f>simDau!I13</f>
        <v>0.0066514627172621025</v>
      </c>
      <c r="I50" s="12"/>
      <c r="L50" s="12"/>
      <c r="N50" s="30">
        <f>SQRT((D50/D49)^2+(G50/G49)^2)*N49</f>
        <v>364.3135556185254</v>
      </c>
      <c r="O50" s="8"/>
      <c r="P50" s="8"/>
    </row>
    <row r="51" spans="1:16" ht="22.5">
      <c r="A51" s="1" t="s">
        <v>5</v>
      </c>
      <c r="B51" s="1">
        <v>-1.7</v>
      </c>
      <c r="C51" s="1">
        <v>1</v>
      </c>
      <c r="D51" s="1">
        <v>65</v>
      </c>
      <c r="E51" s="1">
        <v>0.1265</v>
      </c>
      <c r="F51" s="1">
        <v>0.468</v>
      </c>
      <c r="G51" s="1">
        <v>0.6</v>
      </c>
      <c r="H51" s="1">
        <v>0.99</v>
      </c>
      <c r="I51" s="16">
        <v>1450000000</v>
      </c>
      <c r="J51" s="1">
        <v>0.53</v>
      </c>
      <c r="K51" s="1">
        <v>42.1</v>
      </c>
      <c r="L51" s="16">
        <f>I51/J51/(K51*1000000)</f>
        <v>64.98453816160982</v>
      </c>
      <c r="M51" s="1">
        <v>0.74</v>
      </c>
      <c r="N51" s="3">
        <f>(D51/E51/F51/G51/H51/M51)/(I51/(K51*1E-27*J51))/C51*1E+33</f>
        <v>38.436937411692455</v>
      </c>
      <c r="O51" s="3">
        <f>N51/$N$51</f>
        <v>1</v>
      </c>
      <c r="P51" s="3"/>
    </row>
    <row r="52" spans="9:16" ht="22.5">
      <c r="I52" s="16"/>
      <c r="L52" s="16"/>
      <c r="N52" s="3"/>
      <c r="O52" s="3"/>
      <c r="P52" s="3"/>
    </row>
    <row r="53" spans="1:16" ht="22.5">
      <c r="A53" s="1" t="s">
        <v>5</v>
      </c>
      <c r="B53" s="1">
        <v>-1.45</v>
      </c>
      <c r="C53" s="1">
        <v>0.5</v>
      </c>
      <c r="D53" s="1">
        <v>36</v>
      </c>
      <c r="E53" s="1">
        <v>0.1265</v>
      </c>
      <c r="F53" s="1">
        <v>0.397</v>
      </c>
      <c r="G53" s="1">
        <v>0.6</v>
      </c>
      <c r="H53" s="1">
        <v>0.99</v>
      </c>
      <c r="I53" s="16">
        <v>1450000000</v>
      </c>
      <c r="J53" s="1">
        <v>0.53</v>
      </c>
      <c r="K53" s="1">
        <v>42.1</v>
      </c>
      <c r="L53" s="16">
        <f>I53/J53/(K53*1000000)</f>
        <v>64.98453816160982</v>
      </c>
      <c r="M53" s="1">
        <v>0.74</v>
      </c>
      <c r="N53" s="3">
        <f>(D53/E53/F53/G53/H53/M53)/(I53/(K53*1E-27*J53))/C53*1E+33</f>
        <v>50.19070114413443</v>
      </c>
      <c r="O53" s="3"/>
      <c r="P53" s="3"/>
    </row>
    <row r="54" spans="1:16" ht="22.5">
      <c r="A54" s="1" t="s">
        <v>5</v>
      </c>
      <c r="B54" s="1">
        <v>-1.95</v>
      </c>
      <c r="C54" s="1">
        <v>0.5</v>
      </c>
      <c r="D54" s="1">
        <v>29</v>
      </c>
      <c r="E54" s="1">
        <v>0.1265</v>
      </c>
      <c r="F54" s="1">
        <v>0.562</v>
      </c>
      <c r="G54" s="1">
        <v>0.6</v>
      </c>
      <c r="H54" s="1">
        <v>0.99</v>
      </c>
      <c r="I54" s="16">
        <v>1450000000</v>
      </c>
      <c r="J54" s="1">
        <v>0.53</v>
      </c>
      <c r="K54" s="1">
        <v>42.1</v>
      </c>
      <c r="L54" s="16">
        <f>I54/J54/(K54*1000000)</f>
        <v>64.98453816160982</v>
      </c>
      <c r="M54" s="1">
        <v>0.74</v>
      </c>
      <c r="N54" s="3">
        <f>(D54/E54/F54/G54/H54/M54)/(I54/(K54*1E-27*J54))/C54*1E+33</f>
        <v>28.560969863207774</v>
      </c>
      <c r="O54" s="3"/>
      <c r="P54" s="3"/>
    </row>
    <row r="55" spans="1:21" ht="23.25">
      <c r="A55" s="17" t="s">
        <v>6</v>
      </c>
      <c r="B55" s="17">
        <v>-1.7</v>
      </c>
      <c r="C55" s="17">
        <v>1</v>
      </c>
      <c r="D55" s="17">
        <f>fitModel!R4</f>
        <v>158</v>
      </c>
      <c r="E55" s="17">
        <v>0.128</v>
      </c>
      <c r="F55" s="17">
        <f>simPp!$H$2</f>
        <v>0.538923846251484</v>
      </c>
      <c r="G55" s="17">
        <f>simPp!I2</f>
        <v>0.5366922827145795</v>
      </c>
      <c r="H55" s="17">
        <v>0.99</v>
      </c>
      <c r="I55" s="18">
        <v>4531000000</v>
      </c>
      <c r="J55" s="17">
        <v>0.545</v>
      </c>
      <c r="K55" s="17">
        <v>42.2</v>
      </c>
      <c r="L55" s="18">
        <f>I55/J55/(K55*1000000)</f>
        <v>197.00856558980826</v>
      </c>
      <c r="M55" s="17">
        <v>0.79</v>
      </c>
      <c r="N55" s="19">
        <f>(D55/E55/F55/G55/H55/M55)/(I55/(K55*1E-27*J55))/C55*1E+33*U55</f>
        <v>28.113376812495414</v>
      </c>
      <c r="O55" s="19">
        <f>N55/$N$51</f>
        <v>0.731415630526884</v>
      </c>
      <c r="P55" s="3"/>
      <c r="U55" s="1">
        <v>1.015</v>
      </c>
    </row>
    <row r="56" spans="1:16" ht="23.25">
      <c r="A56" s="17" t="s">
        <v>24</v>
      </c>
      <c r="B56" s="17"/>
      <c r="C56" s="17"/>
      <c r="D56" s="17">
        <f>fitModel!R5</f>
        <v>16.312060977489427</v>
      </c>
      <c r="E56" s="17"/>
      <c r="F56" s="17"/>
      <c r="G56" s="17">
        <f>simPp!I3</f>
        <v>0.005389335170618273</v>
      </c>
      <c r="H56" s="17"/>
      <c r="I56" s="18"/>
      <c r="J56" s="17"/>
      <c r="K56" s="17"/>
      <c r="L56" s="31" t="s">
        <v>35</v>
      </c>
      <c r="M56" s="32" t="s">
        <v>36</v>
      </c>
      <c r="N56" s="19">
        <f>SQRT((D56/D55)^2+(G56/G55)^2)*N55</f>
        <v>2.916147168421226</v>
      </c>
      <c r="O56" s="19">
        <f>SQRT((N56/N55)^2+(0.15/0.654)^2)*O55</f>
        <v>0.18411420886937951</v>
      </c>
      <c r="P56" s="3"/>
    </row>
    <row r="57" spans="1:16" ht="23.25">
      <c r="A57" s="17" t="s">
        <v>31</v>
      </c>
      <c r="B57" s="17"/>
      <c r="C57" s="17"/>
      <c r="D57" s="17"/>
      <c r="E57" s="17"/>
      <c r="F57" s="17"/>
      <c r="G57" s="17"/>
      <c r="H57" s="17"/>
      <c r="I57" s="18"/>
      <c r="J57" s="17"/>
      <c r="K57" s="17"/>
      <c r="L57" s="7">
        <f>syst!B23</f>
        <v>0.0608276253029822</v>
      </c>
      <c r="M57" s="7">
        <f>syst!B25</f>
        <v>0.11090536506409417</v>
      </c>
      <c r="N57" s="19">
        <f>SQRT((L57*N55)^2+N56^2)</f>
        <v>3.3805700028776426</v>
      </c>
      <c r="O57" s="19">
        <f>SQRT((M57*N55)^2+N56^2)</f>
        <v>4.269117750103386</v>
      </c>
      <c r="P57" s="3"/>
    </row>
    <row r="58" spans="1:16" ht="23.25">
      <c r="A58" s="17" t="s">
        <v>32</v>
      </c>
      <c r="B58" s="17"/>
      <c r="C58" s="17"/>
      <c r="D58" s="17"/>
      <c r="E58" s="17"/>
      <c r="F58" s="17"/>
      <c r="G58" s="17"/>
      <c r="H58" s="17"/>
      <c r="I58" s="18"/>
      <c r="J58" s="17"/>
      <c r="K58" s="17"/>
      <c r="L58" s="7">
        <f>syst!B24</f>
        <v>0.06103277807866851</v>
      </c>
      <c r="M58" s="7">
        <f>syst!B26</f>
        <v>0.1297112177107285</v>
      </c>
      <c r="N58" s="19">
        <f>SQRT((L58*N55)^2+N56^2)</f>
        <v>3.3834911841544937</v>
      </c>
      <c r="O58" s="19">
        <f>SQRT((M58*N55)^2+N56^2)</f>
        <v>4.669234863898895</v>
      </c>
      <c r="P58" s="3"/>
    </row>
    <row r="59" spans="1:21" ht="22.5">
      <c r="A59" s="14" t="s">
        <v>6</v>
      </c>
      <c r="B59" s="14">
        <v>-1.95</v>
      </c>
      <c r="C59" s="14">
        <v>0.5</v>
      </c>
      <c r="D59" s="14">
        <f>fitModel!R6</f>
        <v>64.25</v>
      </c>
      <c r="E59" s="14">
        <v>0.128</v>
      </c>
      <c r="F59" s="14">
        <f>simPp!$H$4</f>
        <v>0.5722722909556314</v>
      </c>
      <c r="G59" s="14">
        <f>simPp!I4</f>
        <v>0.5495631916132789</v>
      </c>
      <c r="H59" s="14">
        <v>0.99</v>
      </c>
      <c r="I59" s="15">
        <f>I55</f>
        <v>4531000000</v>
      </c>
      <c r="J59" s="14">
        <f>J55</f>
        <v>0.545</v>
      </c>
      <c r="K59" s="14">
        <f>K55</f>
        <v>42.2</v>
      </c>
      <c r="L59" s="15">
        <f>I59/J59/(K59*1000000)</f>
        <v>197.00856558980826</v>
      </c>
      <c r="M59" s="14">
        <f>M55</f>
        <v>0.79</v>
      </c>
      <c r="N59" s="7">
        <f>(D59/E59/F59/G59/H59/M59)/(I59/(K59*1E-27*J59))/C59*1E+33*U59</f>
        <v>20.799798167877125</v>
      </c>
      <c r="O59" s="7">
        <f>N59/$N$51</f>
        <v>0.5411408808431719</v>
      </c>
      <c r="P59" s="3"/>
      <c r="U59" s="218">
        <v>1.004</v>
      </c>
    </row>
    <row r="60" spans="1:16" ht="22.5">
      <c r="A60" s="14" t="s">
        <v>24</v>
      </c>
      <c r="B60" s="14"/>
      <c r="C60" s="14"/>
      <c r="D60" s="14">
        <f>fitModel!R7</f>
        <v>8.32666399786453</v>
      </c>
      <c r="E60" s="14"/>
      <c r="F60" s="14"/>
      <c r="G60" s="14">
        <f>simPp!I5</f>
        <v>0.00800089680189838</v>
      </c>
      <c r="H60" s="14"/>
      <c r="I60" s="15"/>
      <c r="J60" s="14"/>
      <c r="K60" s="14"/>
      <c r="L60" s="15"/>
      <c r="M60" s="14"/>
      <c r="N60" s="7">
        <f>SQRT((D60/D59)^2+(G60/G59)^2)*N59</f>
        <v>2.712565273693941</v>
      </c>
      <c r="O60" s="7">
        <f>SQRT((N60/N59)^2+(0.15/0.654)^2)*O59</f>
        <v>0.14277565554184968</v>
      </c>
      <c r="P60" s="3"/>
    </row>
    <row r="61" spans="1:16" ht="22.5">
      <c r="A61" s="14" t="s">
        <v>31</v>
      </c>
      <c r="B61" s="14"/>
      <c r="C61" s="14"/>
      <c r="D61" s="14"/>
      <c r="E61" s="14"/>
      <c r="F61" s="14"/>
      <c r="G61" s="14"/>
      <c r="H61" s="14"/>
      <c r="I61" s="15"/>
      <c r="J61" s="14"/>
      <c r="K61" s="14"/>
      <c r="L61" s="7">
        <f>L57</f>
        <v>0.0608276253029822</v>
      </c>
      <c r="M61" s="7">
        <f>M57</f>
        <v>0.11090536506409417</v>
      </c>
      <c r="N61" s="7">
        <f>SQRT((L61*N59)^2+N60^2)</f>
        <v>2.9931166529556874</v>
      </c>
      <c r="O61" s="7">
        <f>SQRT((M61*N59)^2+N60^2)</f>
        <v>3.560811577588838</v>
      </c>
      <c r="P61" s="3"/>
    </row>
    <row r="62" spans="1:16" ht="22.5">
      <c r="A62" s="14" t="s">
        <v>32</v>
      </c>
      <c r="B62" s="14"/>
      <c r="C62" s="14"/>
      <c r="D62" s="14"/>
      <c r="E62" s="14"/>
      <c r="F62" s="14"/>
      <c r="G62" s="14"/>
      <c r="H62" s="14"/>
      <c r="I62" s="15"/>
      <c r="J62" s="14"/>
      <c r="K62" s="14"/>
      <c r="L62" s="7">
        <f>L58</f>
        <v>0.06103277807866851</v>
      </c>
      <c r="M62" s="7">
        <f>M58</f>
        <v>0.1297112177107285</v>
      </c>
      <c r="N62" s="7">
        <f>SQRT((L62*N59)^2+N60^2)</f>
        <v>2.9949228852002627</v>
      </c>
      <c r="O62" s="7">
        <f>SQRT((M62*N59)^2+N60^2)</f>
        <v>3.825838090980358</v>
      </c>
      <c r="P62" s="3"/>
    </row>
    <row r="63" spans="1:21" ht="22.5">
      <c r="A63" s="14" t="s">
        <v>6</v>
      </c>
      <c r="B63" s="14">
        <v>-1.45</v>
      </c>
      <c r="C63" s="14">
        <v>0.5</v>
      </c>
      <c r="D63" s="14">
        <f>fitModel!R8</f>
        <v>91.5</v>
      </c>
      <c r="E63" s="14">
        <v>0.128</v>
      </c>
      <c r="F63" s="14">
        <f>simPp!$H$6</f>
        <v>0.5129827731538635</v>
      </c>
      <c r="G63" s="14">
        <f>simPp!I6</f>
        <v>0.5255230971393915</v>
      </c>
      <c r="H63" s="14">
        <v>0.99</v>
      </c>
      <c r="I63" s="15">
        <f>I55</f>
        <v>4531000000</v>
      </c>
      <c r="J63" s="14">
        <f>J55</f>
        <v>0.545</v>
      </c>
      <c r="K63" s="14">
        <f>K59</f>
        <v>42.2</v>
      </c>
      <c r="L63" s="15">
        <f>I63/J63/(K63*1000000)</f>
        <v>197.00856558980826</v>
      </c>
      <c r="M63" s="14">
        <f>M55</f>
        <v>0.79</v>
      </c>
      <c r="N63" s="7">
        <f>(D63/E63/F63/G63/H63/M63)/(I63/(K63*1E-27*J63))/C63*1E+33*U63</f>
        <v>34.52232755530781</v>
      </c>
      <c r="O63" s="7">
        <f>N63/$N$51</f>
        <v>0.8981550008926095</v>
      </c>
      <c r="P63" s="3"/>
      <c r="U63" s="1">
        <v>1.003</v>
      </c>
    </row>
    <row r="64" spans="1:16" ht="22.5">
      <c r="A64" s="14" t="s">
        <v>24</v>
      </c>
      <c r="B64" s="14"/>
      <c r="C64" s="14"/>
      <c r="D64" s="14">
        <f>fitModel!R9</f>
        <v>12.848475914805357</v>
      </c>
      <c r="E64" s="14"/>
      <c r="F64" s="14"/>
      <c r="G64" s="14">
        <f>simPp!I7</f>
        <v>0.0072883949685071696</v>
      </c>
      <c r="H64" s="14"/>
      <c r="I64" s="15"/>
      <c r="J64" s="14"/>
      <c r="K64" s="14"/>
      <c r="L64" s="15"/>
      <c r="M64" s="14"/>
      <c r="N64" s="7">
        <f>SQRT((D64/D63)^2+(G64/G63)^2)*N63</f>
        <v>4.871229111450889</v>
      </c>
      <c r="O64" s="7">
        <f>SQRT((N64/N63)^2+(0.15/0.654)^2)*O63</f>
        <v>0.24186108753105973</v>
      </c>
      <c r="P64" s="3"/>
    </row>
    <row r="65" spans="1:16" ht="22.5">
      <c r="A65" s="14" t="s">
        <v>31</v>
      </c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7">
        <f>L57</f>
        <v>0.0608276253029822</v>
      </c>
      <c r="M65" s="7">
        <f>M57</f>
        <v>0.11090536506409417</v>
      </c>
      <c r="N65" s="7">
        <f>SQRT((L65*N63)^2+N64^2)</f>
        <v>5.304573510249404</v>
      </c>
      <c r="O65" s="7">
        <f>SQRT((M65*N63)^2+N64^2)</f>
        <v>6.195797251704496</v>
      </c>
      <c r="P65" s="3"/>
    </row>
    <row r="66" spans="1:16" ht="22.5">
      <c r="A66" s="14" t="s">
        <v>32</v>
      </c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7">
        <f>L58</f>
        <v>0.06103277807866851</v>
      </c>
      <c r="M66" s="7">
        <f>M58</f>
        <v>0.1297112177107285</v>
      </c>
      <c r="N66" s="7">
        <f>SQRT((L66*N63)^2+N64^2)</f>
        <v>5.307381171833769</v>
      </c>
      <c r="O66" s="7">
        <f>SQRT((M66*N63)^2+N64^2)</f>
        <v>6.616702978900197</v>
      </c>
      <c r="P66" s="3"/>
    </row>
    <row r="67" spans="1:21" ht="23.25">
      <c r="A67" s="20" t="s">
        <v>6</v>
      </c>
      <c r="B67" s="20">
        <v>1.8</v>
      </c>
      <c r="C67" s="20">
        <v>1.2</v>
      </c>
      <c r="D67" s="20">
        <f>fitModel!R11</f>
        <v>289.75</v>
      </c>
      <c r="E67" s="20">
        <v>0.127</v>
      </c>
      <c r="F67" s="20">
        <f>simPp!$H$8</f>
        <v>0.8005870124709046</v>
      </c>
      <c r="G67" s="20">
        <f>simPp!I8</f>
        <v>0.7814938323566549</v>
      </c>
      <c r="H67" s="20">
        <v>0.95</v>
      </c>
      <c r="I67" s="21">
        <v>4021000000</v>
      </c>
      <c r="J67" s="20">
        <f>J55</f>
        <v>0.545</v>
      </c>
      <c r="K67" s="20">
        <f>K55</f>
        <v>42.2</v>
      </c>
      <c r="L67" s="21">
        <f>I67/J67/(K67*1000000)</f>
        <v>174.8336884212357</v>
      </c>
      <c r="M67" s="20">
        <v>0.79</v>
      </c>
      <c r="N67" s="22">
        <f>(D67/E67/F67/G67/H67/M67)/(I67/(K67*1E-27*J67))/C67*1E+33*U67</f>
        <v>23.668975583366013</v>
      </c>
      <c r="O67" s="22">
        <f>N67/$N$51</f>
        <v>0.6157872394944232</v>
      </c>
      <c r="P67" s="3"/>
      <c r="U67" s="1">
        <v>1.022</v>
      </c>
    </row>
    <row r="68" spans="1:15" ht="23.25">
      <c r="A68" s="20" t="s">
        <v>24</v>
      </c>
      <c r="B68" s="20"/>
      <c r="C68" s="20"/>
      <c r="D68" s="20">
        <f>fitModel!R12</f>
        <v>24.664414311581236</v>
      </c>
      <c r="E68" s="20"/>
      <c r="F68" s="20"/>
      <c r="G68" s="20">
        <f>simPp!I9</f>
        <v>0.005030080244591208</v>
      </c>
      <c r="H68" s="20"/>
      <c r="I68" s="20"/>
      <c r="J68" s="20"/>
      <c r="K68" s="20"/>
      <c r="L68" s="20"/>
      <c r="M68" s="20"/>
      <c r="N68" s="22">
        <f>SQRT((D68/D67)^2+(G68/G67)^2)*N67</f>
        <v>2.0205277592020345</v>
      </c>
      <c r="O68" s="22">
        <f>SQRT((N68/N67)^2+(0.15/0.654)^2)*O67</f>
        <v>0.1507011015750414</v>
      </c>
    </row>
    <row r="69" spans="1:15" ht="23.25">
      <c r="A69" s="11" t="s">
        <v>31</v>
      </c>
      <c r="B69" s="11"/>
      <c r="C69" s="11"/>
      <c r="D69" s="11"/>
      <c r="E69" s="11"/>
      <c r="F69" s="11"/>
      <c r="G69" s="11"/>
      <c r="H69" s="11"/>
      <c r="I69" s="12"/>
      <c r="J69" s="11"/>
      <c r="K69" s="11"/>
      <c r="L69" s="8">
        <f>syst!C23</f>
        <v>0.0608276253029822</v>
      </c>
      <c r="M69" s="8">
        <f>syst!C25</f>
        <v>0.1216552506059644</v>
      </c>
      <c r="N69" s="22">
        <f>SQRT((L69*N67)^2+N68^2)</f>
        <v>2.4809973649361474</v>
      </c>
      <c r="O69" s="22">
        <f>SQRT((M69*N67)^2+N68^2)</f>
        <v>3.5176404623216464</v>
      </c>
    </row>
    <row r="70" spans="1:15" ht="23.25">
      <c r="A70" s="11" t="s">
        <v>32</v>
      </c>
      <c r="B70" s="11"/>
      <c r="C70" s="11"/>
      <c r="D70" s="11"/>
      <c r="E70" s="11"/>
      <c r="F70" s="11"/>
      <c r="G70" s="11"/>
      <c r="H70" s="11"/>
      <c r="I70" s="12"/>
      <c r="J70" s="11"/>
      <c r="K70" s="11"/>
      <c r="L70" s="8">
        <f>syst!C24</f>
        <v>0.06090155991434045</v>
      </c>
      <c r="M70" s="8">
        <f>syst!C26</f>
        <v>0.13895682782792648</v>
      </c>
      <c r="N70" s="22">
        <f>SQRT((L70*N67)^2+N68^2)</f>
        <v>2.482013277254294</v>
      </c>
      <c r="O70" s="22">
        <f>SQRT((M70*N67)^2+N68^2)</f>
        <v>3.8600295632359916</v>
      </c>
    </row>
    <row r="71" spans="1:21" ht="22.5">
      <c r="A71" s="11" t="s">
        <v>6</v>
      </c>
      <c r="B71" s="11">
        <v>1.45</v>
      </c>
      <c r="C71" s="11">
        <v>0.5</v>
      </c>
      <c r="D71" s="11">
        <f>fitModel!R13</f>
        <v>157</v>
      </c>
      <c r="E71" s="11">
        <v>0.127</v>
      </c>
      <c r="F71" s="11">
        <f>simPp!$H$10</f>
        <v>0.7228109577409763</v>
      </c>
      <c r="G71" s="11">
        <f>simPp!I10</f>
        <v>0.7726779906035417</v>
      </c>
      <c r="H71" s="11">
        <v>0.95</v>
      </c>
      <c r="I71" s="12">
        <f>I67</f>
        <v>4021000000</v>
      </c>
      <c r="J71" s="11">
        <f>J55</f>
        <v>0.545</v>
      </c>
      <c r="K71" s="11">
        <f>K55</f>
        <v>42.2</v>
      </c>
      <c r="L71" s="12">
        <f>I71/J71/(K71*1000000)</f>
        <v>174.8336884212357</v>
      </c>
      <c r="M71" s="11">
        <f>M67</f>
        <v>0.79</v>
      </c>
      <c r="N71" s="8">
        <f>(D71/E71/F71/G71/H71/M71)/(I71/(K71*1E-27*J71))/C71*1E+33*U71</f>
        <v>33.83979895242889</v>
      </c>
      <c r="O71" s="8">
        <f>N71/$N$51</f>
        <v>0.8803978992908753</v>
      </c>
      <c r="U71" s="1">
        <v>1.003</v>
      </c>
    </row>
    <row r="72" spans="1:15" ht="22.5">
      <c r="A72" s="11" t="s">
        <v>24</v>
      </c>
      <c r="B72" s="11"/>
      <c r="C72" s="11"/>
      <c r="D72" s="11">
        <f>fitModel!R14</f>
        <v>15.75066136177568</v>
      </c>
      <c r="E72" s="11"/>
      <c r="F72" s="11"/>
      <c r="G72" s="11">
        <f>simPp!I11</f>
        <v>0.007473253068630477</v>
      </c>
      <c r="H72" s="11"/>
      <c r="I72" s="11"/>
      <c r="J72" s="11"/>
      <c r="K72" s="11"/>
      <c r="L72" s="11"/>
      <c r="M72" s="11"/>
      <c r="N72" s="8">
        <f>SQRT((D72/D71)^2+(G72/G71)^2)*N71</f>
        <v>3.4106398343567794</v>
      </c>
      <c r="O72" s="8">
        <f>SQRT((N72/N71)^2+(0.15/0.654)^2)*O71</f>
        <v>0.22056240451005524</v>
      </c>
    </row>
    <row r="73" spans="1:15" ht="22.5">
      <c r="A73" s="11" t="s">
        <v>31</v>
      </c>
      <c r="B73" s="11"/>
      <c r="C73" s="11"/>
      <c r="D73" s="11"/>
      <c r="E73" s="11"/>
      <c r="F73" s="11"/>
      <c r="G73" s="11"/>
      <c r="H73" s="11"/>
      <c r="I73" s="12"/>
      <c r="J73" s="11"/>
      <c r="K73" s="11"/>
      <c r="L73" s="8">
        <f>L69</f>
        <v>0.0608276253029822</v>
      </c>
      <c r="M73" s="8">
        <f>M69</f>
        <v>0.1216552506059644</v>
      </c>
      <c r="N73" s="8">
        <f>SQRT((L73*N71)^2+N72^2)</f>
        <v>3.983648133849453</v>
      </c>
      <c r="O73" s="8">
        <f>SQRT((M73*N71)^2+N72^2)</f>
        <v>5.346065616711527</v>
      </c>
    </row>
    <row r="74" spans="1:15" ht="22.5">
      <c r="A74" s="11" t="s">
        <v>32</v>
      </c>
      <c r="B74" s="11"/>
      <c r="C74" s="11"/>
      <c r="D74" s="11"/>
      <c r="E74" s="11"/>
      <c r="F74" s="11"/>
      <c r="G74" s="11"/>
      <c r="H74" s="11"/>
      <c r="I74" s="12"/>
      <c r="J74" s="11"/>
      <c r="K74" s="11"/>
      <c r="L74" s="8">
        <f>L70</f>
        <v>0.06090155991434045</v>
      </c>
      <c r="M74" s="8">
        <f>M70</f>
        <v>0.13895682782792648</v>
      </c>
      <c r="N74" s="8">
        <f>SQRT((L74*N71)^2+N72^2)</f>
        <v>3.984941485424911</v>
      </c>
      <c r="O74" s="8">
        <f>SQRT((M74*N71)^2+N72^2)</f>
        <v>5.808942910311402</v>
      </c>
    </row>
    <row r="75" spans="1:21" ht="22.5">
      <c r="A75" s="11" t="s">
        <v>6</v>
      </c>
      <c r="B75" s="11">
        <v>2.05</v>
      </c>
      <c r="C75" s="11">
        <v>0.7</v>
      </c>
      <c r="D75" s="11">
        <f>fitModel!R15</f>
        <v>143</v>
      </c>
      <c r="E75" s="11">
        <v>0.127</v>
      </c>
      <c r="F75" s="11">
        <f>simPp!$H$12</f>
        <v>0.8771654572119493</v>
      </c>
      <c r="G75" s="11">
        <f>simPp!I12</f>
        <v>0.7886464930799906</v>
      </c>
      <c r="H75" s="11">
        <v>0.95</v>
      </c>
      <c r="I75" s="12">
        <f>I67</f>
        <v>4021000000</v>
      </c>
      <c r="J75" s="11">
        <f>J55</f>
        <v>0.545</v>
      </c>
      <c r="K75" s="11">
        <f>K55</f>
        <v>42.2</v>
      </c>
      <c r="L75" s="12">
        <f>I75/J75/(K75*1000000)</f>
        <v>174.8336884212357</v>
      </c>
      <c r="M75" s="11">
        <f>M67</f>
        <v>0.79</v>
      </c>
      <c r="N75" s="8">
        <f>(D75/E75/F75/G75/H75/M75)/(I75/(K75*1E-27*J75))/C75*1E+33*U75</f>
        <v>17.845307395704147</v>
      </c>
      <c r="O75" s="8">
        <f>N75/$N$51</f>
        <v>0.46427495522251555</v>
      </c>
      <c r="U75" s="1">
        <v>1.007</v>
      </c>
    </row>
    <row r="76" spans="1:15" ht="22.5">
      <c r="A76" s="11" t="s">
        <v>24</v>
      </c>
      <c r="B76" s="11"/>
      <c r="C76" s="11"/>
      <c r="D76" s="11">
        <f>fitModel!R16</f>
        <v>15.01110699893027</v>
      </c>
      <c r="E76" s="11"/>
      <c r="F76" s="11"/>
      <c r="G76" s="11">
        <f>simPp!I13</f>
        <v>0.0068006985758030615</v>
      </c>
      <c r="H76" s="11"/>
      <c r="I76" s="11"/>
      <c r="J76" s="11"/>
      <c r="K76" s="11"/>
      <c r="L76" s="11"/>
      <c r="M76" s="11"/>
      <c r="N76" s="8">
        <f>SQRT((D76/D75)^2+(G76/G75)^2)*N75</f>
        <v>1.879581451970402</v>
      </c>
      <c r="O76" s="8">
        <f>SQRT((N76/N75)^2+(0.15/0.654)^2)*O75</f>
        <v>0.11717645362307665</v>
      </c>
    </row>
    <row r="77" spans="1:15" ht="22.5">
      <c r="A77" s="11" t="s">
        <v>31</v>
      </c>
      <c r="B77" s="11"/>
      <c r="C77" s="11"/>
      <c r="D77" s="11"/>
      <c r="E77" s="11"/>
      <c r="F77" s="11"/>
      <c r="G77" s="11"/>
      <c r="H77" s="11"/>
      <c r="I77" s="12"/>
      <c r="J77" s="11"/>
      <c r="K77" s="11"/>
      <c r="L77" s="8">
        <f>L69</f>
        <v>0.0608276253029822</v>
      </c>
      <c r="M77" s="8">
        <f>M69</f>
        <v>0.1216552506059644</v>
      </c>
      <c r="N77" s="8">
        <f>SQRT((L77*N75)^2+N76^2)</f>
        <v>2.1705091384202246</v>
      </c>
      <c r="O77" s="8">
        <f>SQRT((M77*N75)^2+N76^2)</f>
        <v>2.8715780289048958</v>
      </c>
    </row>
    <row r="78" spans="1:18" ht="23.25">
      <c r="A78" s="11" t="s">
        <v>32</v>
      </c>
      <c r="B78" s="11"/>
      <c r="C78" s="11"/>
      <c r="D78" s="11"/>
      <c r="E78" s="11"/>
      <c r="F78" s="11"/>
      <c r="G78" s="11"/>
      <c r="H78" s="11"/>
      <c r="I78" s="12"/>
      <c r="J78" s="11"/>
      <c r="K78" s="11"/>
      <c r="L78" s="8">
        <f>L70</f>
        <v>0.06090155991434045</v>
      </c>
      <c r="M78" s="8">
        <f>M70</f>
        <v>0.13895682782792648</v>
      </c>
      <c r="N78" s="8">
        <f>SQRT((L78*N75)^2+N76^2)</f>
        <v>2.171169273670326</v>
      </c>
      <c r="O78" s="8">
        <f>SQRT((M78*N75)^2+N76^2)</f>
        <v>3.1115709783429386</v>
      </c>
      <c r="P78" s="5"/>
      <c r="Q78" s="5" t="s">
        <v>35</v>
      </c>
      <c r="R78" s="5" t="s">
        <v>36</v>
      </c>
    </row>
    <row r="79" spans="1:18" ht="23.25">
      <c r="A79" s="11"/>
      <c r="B79" s="2" t="s">
        <v>7</v>
      </c>
      <c r="C79" s="13"/>
      <c r="D79" s="11"/>
      <c r="E79" s="11"/>
      <c r="F79" s="11"/>
      <c r="G79" s="11"/>
      <c r="H79" s="11"/>
      <c r="I79" s="11"/>
      <c r="J79" s="11"/>
      <c r="K79" s="11"/>
      <c r="L79" s="9" t="s">
        <v>28</v>
      </c>
      <c r="M79" s="23" t="s">
        <v>25</v>
      </c>
      <c r="N79" s="24">
        <f>(N55/N56^2+N67/N68^2)/(1/N56^2+1/N68^2)</f>
        <v>25.110558940036107</v>
      </c>
      <c r="O79" s="24">
        <f>N79/$N$51</f>
        <v>0.6532923960897445</v>
      </c>
      <c r="P79" s="5" t="s">
        <v>31</v>
      </c>
      <c r="Q79" s="24">
        <f>SQRT(1/(1/N57^2+1/N69^2))</f>
        <v>2.0001488670026877</v>
      </c>
      <c r="R79" s="24">
        <f>SQRT(1/(1/O57^2+1/O69^2))</f>
        <v>2.7147811434239144</v>
      </c>
    </row>
    <row r="80" spans="1:18" ht="23.25">
      <c r="A80" s="11"/>
      <c r="B80" s="25">
        <v>0.0588</v>
      </c>
      <c r="C80" s="11"/>
      <c r="D80" s="11"/>
      <c r="E80" s="11"/>
      <c r="F80" s="11"/>
      <c r="G80" s="11"/>
      <c r="H80" s="11"/>
      <c r="I80" s="11"/>
      <c r="J80" s="11"/>
      <c r="K80" s="11"/>
      <c r="L80" s="9"/>
      <c r="M80" s="23" t="s">
        <v>24</v>
      </c>
      <c r="N80" s="24">
        <f>SQRT(1/(1/N56^2+1/N68^2))</f>
        <v>1.6608204660050436</v>
      </c>
      <c r="O80" s="24">
        <f>SQRT((N80/N79)^2+(0.15/0.654)^2)*O79</f>
        <v>0.15594342905082706</v>
      </c>
      <c r="P80" s="5" t="s">
        <v>32</v>
      </c>
      <c r="Q80" s="24">
        <f>SQRT(1/(1/N58^2+1/N70^2))</f>
        <v>2.00128606386901</v>
      </c>
      <c r="R80" s="24">
        <f>SQRT(1/(1/O58^2+1/O70^2))</f>
        <v>2.975047852162823</v>
      </c>
    </row>
    <row r="81" spans="12:18" ht="23.25">
      <c r="L81" s="9" t="s">
        <v>29</v>
      </c>
      <c r="M81" s="9" t="s">
        <v>25</v>
      </c>
      <c r="N81" s="10">
        <f>(N63/N64^2+N71/N72^2)/(1/N64^2+1/N72^2)</f>
        <v>34.06432353490817</v>
      </c>
      <c r="O81" s="10">
        <f>N81/$N$51</f>
        <v>0.886239274738519</v>
      </c>
      <c r="P81" s="5" t="s">
        <v>31</v>
      </c>
      <c r="Q81" s="24">
        <f>SQRT(1/(1/N65^2+1/N73^2))</f>
        <v>3.1854138312360516</v>
      </c>
      <c r="R81" s="24">
        <f>SQRT(1/(1/O65^2+1/O73^2))</f>
        <v>4.047592446245629</v>
      </c>
    </row>
    <row r="82" spans="12:18" ht="23.25">
      <c r="L82" s="9"/>
      <c r="M82" s="9" t="s">
        <v>24</v>
      </c>
      <c r="N82" s="10">
        <f>SQRT(1/(1/N64^2+1/N72^2))</f>
        <v>2.79389497860979</v>
      </c>
      <c r="O82" s="10">
        <f>SQRT((N82/N81)^2+(0.15/0.654)^2)*O81</f>
        <v>0.21587156443101949</v>
      </c>
      <c r="P82" s="5" t="s">
        <v>32</v>
      </c>
      <c r="Q82" s="24">
        <f>SQRT(1/(1/N66^2+1/N74^2))</f>
        <v>3.1866830259160013</v>
      </c>
      <c r="R82" s="24">
        <f>SQRT(1/(1/O66^2+1/O74^2))</f>
        <v>4.36534978204678</v>
      </c>
    </row>
    <row r="83" spans="12:18" ht="23.25">
      <c r="L83" s="9" t="s">
        <v>30</v>
      </c>
      <c r="M83" s="9" t="s">
        <v>25</v>
      </c>
      <c r="N83" s="10">
        <f>(N59/N60^2+N75/N76^2)/(1/N60^2+1/N76^2)</f>
        <v>18.803700519544766</v>
      </c>
      <c r="O83" s="10">
        <f>N83/$N$51</f>
        <v>0.4892091250179758</v>
      </c>
      <c r="P83" s="5" t="s">
        <v>31</v>
      </c>
      <c r="Q83" s="24">
        <f>SQRT(1/(1/N61^2+1/N77^2))</f>
        <v>1.7571274878190826</v>
      </c>
      <c r="R83" s="24">
        <f>SQRT(1/(1/O61^2+1/O77^2))</f>
        <v>2.2352873432051856</v>
      </c>
    </row>
    <row r="84" spans="12:18" ht="23.25">
      <c r="L84" s="9"/>
      <c r="M84" s="9" t="s">
        <v>24</v>
      </c>
      <c r="N84" s="10">
        <f>SQRT(1/(1/N60^2+1/N76^2))</f>
        <v>1.5449368183372245</v>
      </c>
      <c r="O84" s="10">
        <f>SQRT((N84/N83)^2+(0.15/0.654)^2)*O83</f>
        <v>0.11918592360543295</v>
      </c>
      <c r="P84" s="5" t="s">
        <v>32</v>
      </c>
      <c r="Q84" s="24">
        <f>SQRT(1/(1/N62^2+1/N78^2))</f>
        <v>1.757843105142835</v>
      </c>
      <c r="R84" s="24">
        <f>SQRT(1/(1/O62^2+1/O78^2))</f>
        <v>2.413983163877947</v>
      </c>
    </row>
    <row r="85" ht="22.5">
      <c r="D85" s="4"/>
    </row>
    <row r="86" spans="5:14" ht="26.25" customHeight="1">
      <c r="E86" s="5" t="s">
        <v>10</v>
      </c>
      <c r="G86" s="5" t="s">
        <v>9</v>
      </c>
      <c r="K86" s="5" t="s">
        <v>23</v>
      </c>
      <c r="L86" s="5" t="s">
        <v>20</v>
      </c>
      <c r="N86" s="2" t="s">
        <v>26</v>
      </c>
    </row>
    <row r="87" spans="2:20" s="2" customFormat="1" ht="21" customHeight="1">
      <c r="B87" s="2" t="s">
        <v>0</v>
      </c>
      <c r="C87" s="2" t="s">
        <v>1</v>
      </c>
      <c r="D87" s="2" t="s">
        <v>2</v>
      </c>
      <c r="E87" s="2" t="s">
        <v>3</v>
      </c>
      <c r="F87" s="2" t="s">
        <v>11</v>
      </c>
      <c r="G87" s="2" t="s">
        <v>8</v>
      </c>
      <c r="H87" s="2" t="s">
        <v>4</v>
      </c>
      <c r="I87" s="2" t="s">
        <v>12</v>
      </c>
      <c r="J87" s="2" t="s">
        <v>13</v>
      </c>
      <c r="K87" s="2" t="s">
        <v>22</v>
      </c>
      <c r="L87" s="2" t="s">
        <v>21</v>
      </c>
      <c r="M87" s="2" t="s">
        <v>14</v>
      </c>
      <c r="N87" s="2" t="s">
        <v>27</v>
      </c>
      <c r="O87" s="2" t="s">
        <v>15</v>
      </c>
      <c r="P87" s="6" t="s">
        <v>16</v>
      </c>
      <c r="Q87" s="2" t="s">
        <v>33</v>
      </c>
      <c r="R87" s="2" t="s">
        <v>34</v>
      </c>
      <c r="S87" s="2" t="s">
        <v>33</v>
      </c>
      <c r="T87" s="2" t="s">
        <v>34</v>
      </c>
    </row>
    <row r="88" ht="22.5">
      <c r="D88" s="4"/>
    </row>
    <row r="89" ht="22.5">
      <c r="D89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&amp;L&amp;F&amp;CPrepared by leitch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W102"/>
  <sheetViews>
    <sheetView tabSelected="1" workbookViewId="0" topLeftCell="A1">
      <selection activeCell="O3" sqref="O3"/>
    </sheetView>
  </sheetViews>
  <sheetFormatPr defaultColWidth="9.140625" defaultRowHeight="12.75"/>
  <cols>
    <col min="1" max="1" width="7.8515625" style="1" customWidth="1"/>
    <col min="2" max="2" width="6.00390625" style="1" customWidth="1"/>
    <col min="3" max="3" width="6.28125" style="1" customWidth="1"/>
    <col min="4" max="4" width="4.57421875" style="1" customWidth="1"/>
    <col min="5" max="5" width="5.421875" style="1" customWidth="1"/>
    <col min="6" max="6" width="6.421875" style="1" customWidth="1"/>
    <col min="7" max="7" width="6.57421875" style="1" customWidth="1"/>
    <col min="8" max="8" width="6.421875" style="1" customWidth="1"/>
    <col min="9" max="9" width="5.28125" style="1" customWidth="1"/>
    <col min="10" max="10" width="9.8515625" style="1" customWidth="1"/>
    <col min="11" max="11" width="7.421875" style="1" customWidth="1"/>
    <col min="12" max="12" width="7.00390625" style="1" customWidth="1"/>
    <col min="13" max="13" width="9.8515625" style="1" customWidth="1"/>
    <col min="14" max="14" width="8.28125" style="1" customWidth="1"/>
    <col min="15" max="15" width="9.57421875" style="1" bestFit="1" customWidth="1"/>
    <col min="16" max="16" width="8.57421875" style="1" customWidth="1"/>
    <col min="17" max="17" width="6.00390625" style="1" customWidth="1"/>
    <col min="18" max="16384" width="10.421875" style="1" customWidth="1"/>
  </cols>
  <sheetData>
    <row r="1" spans="6:21" ht="26.25" customHeight="1">
      <c r="F1" s="5" t="s">
        <v>10</v>
      </c>
      <c r="H1" s="5" t="s">
        <v>9</v>
      </c>
      <c r="L1" s="5" t="s">
        <v>23</v>
      </c>
      <c r="M1" s="5" t="s">
        <v>20</v>
      </c>
      <c r="O1" s="2" t="s">
        <v>26</v>
      </c>
      <c r="T1" s="5" t="s">
        <v>35</v>
      </c>
      <c r="U1" s="5" t="s">
        <v>35</v>
      </c>
    </row>
    <row r="2" spans="2:22" s="2" customFormat="1" ht="21" customHeight="1">
      <c r="B2" s="2" t="s">
        <v>0</v>
      </c>
      <c r="C2" s="2" t="s">
        <v>37</v>
      </c>
      <c r="D2" s="2" t="s">
        <v>1</v>
      </c>
      <c r="E2" s="2" t="s">
        <v>2</v>
      </c>
      <c r="F2" s="2" t="s">
        <v>3</v>
      </c>
      <c r="G2" s="2" t="s">
        <v>11</v>
      </c>
      <c r="H2" s="2" t="s">
        <v>8</v>
      </c>
      <c r="I2" s="2" t="s">
        <v>4</v>
      </c>
      <c r="J2" s="2" t="s">
        <v>12</v>
      </c>
      <c r="K2" s="2" t="s">
        <v>13</v>
      </c>
      <c r="L2" s="2" t="s">
        <v>22</v>
      </c>
      <c r="M2" s="2" t="s">
        <v>21</v>
      </c>
      <c r="N2" s="2" t="s">
        <v>14</v>
      </c>
      <c r="O2" s="2" t="s">
        <v>27</v>
      </c>
      <c r="P2" s="2" t="s">
        <v>15</v>
      </c>
      <c r="Q2" s="6" t="s">
        <v>16</v>
      </c>
      <c r="R2" s="2" t="s">
        <v>33</v>
      </c>
      <c r="S2" s="2" t="s">
        <v>34</v>
      </c>
      <c r="T2" s="2" t="s">
        <v>33</v>
      </c>
      <c r="U2" s="2" t="s">
        <v>34</v>
      </c>
      <c r="V2" s="2" t="s">
        <v>308</v>
      </c>
    </row>
    <row r="3" spans="1:22" s="131" customFormat="1" ht="22.5">
      <c r="A3" s="131" t="s">
        <v>17</v>
      </c>
      <c r="B3" s="131">
        <v>-1.7</v>
      </c>
      <c r="C3" s="132" t="s">
        <v>38</v>
      </c>
      <c r="D3" s="131">
        <v>1</v>
      </c>
      <c r="E3" s="131">
        <f>fitModel!R104</f>
        <v>214.75</v>
      </c>
      <c r="F3" s="131">
        <v>0.128</v>
      </c>
      <c r="G3" s="131">
        <f>simDau!$H$19</f>
        <v>0.7408500924118856</v>
      </c>
      <c r="H3" s="131">
        <f>simDau!K19</f>
        <v>0.6023313962853284</v>
      </c>
      <c r="I3" s="131">
        <v>0.99</v>
      </c>
      <c r="J3" s="133">
        <v>2750000000</v>
      </c>
      <c r="K3" s="131">
        <v>0.88</v>
      </c>
      <c r="L3" s="131">
        <v>2260</v>
      </c>
      <c r="M3" s="133">
        <f>J3/K3/(L3*1000000)</f>
        <v>1.3827433628318584</v>
      </c>
      <c r="N3" s="131">
        <v>0.9362</v>
      </c>
      <c r="O3" s="134">
        <f>(E3/F3/G3/H3/I3/N3)/(J3/(L3*1E-27*K3))/D3*1E+33/(2*3.14156*C4)*V3</f>
        <v>1008.5335386883659</v>
      </c>
      <c r="P3" s="134">
        <f>O3/(2*197)/R63</f>
        <v>0.75129866779647</v>
      </c>
      <c r="Q3" s="134">
        <f>1+(LN(P3)/LN(197*2))</f>
        <v>0.9521527405023116</v>
      </c>
      <c r="R3" s="134"/>
      <c r="T3" s="134">
        <f>syst!F23</f>
        <v>0.061392181912683315</v>
      </c>
      <c r="U3" s="134">
        <f>syst!H23</f>
        <v>0.010272519610113606</v>
      </c>
      <c r="V3" s="131">
        <v>1.08</v>
      </c>
    </row>
    <row r="4" spans="1:23" s="11" customFormat="1" ht="22.5">
      <c r="A4" s="11" t="s">
        <v>24</v>
      </c>
      <c r="C4" s="35" t="s">
        <v>307</v>
      </c>
      <c r="E4" s="11">
        <f>fitModel!R105</f>
        <v>20.076935357104016</v>
      </c>
      <c r="H4" s="11">
        <f>simDau!K20</f>
        <v>0.009002705402984616</v>
      </c>
      <c r="J4" s="12"/>
      <c r="L4" s="33" t="s">
        <v>35</v>
      </c>
      <c r="M4" s="34" t="s">
        <v>36</v>
      </c>
      <c r="N4" s="33" t="s">
        <v>35</v>
      </c>
      <c r="O4" s="8">
        <f>SQRT((E4/E3)^2+(H4/H3)^2)*O3</f>
        <v>95.4849560184215</v>
      </c>
      <c r="P4" s="8">
        <f>SQRT((O4/O3)^2+(R64/R63)^2)*P3</f>
        <v>0.09262376156002038</v>
      </c>
      <c r="Q4" s="8">
        <f>P4/LN(197*2)</f>
        <v>0.015498380695135799</v>
      </c>
      <c r="R4" s="34" t="s">
        <v>36</v>
      </c>
      <c r="S4" s="34" t="s">
        <v>36</v>
      </c>
      <c r="T4" s="8">
        <f>syst!F24</f>
        <v>0.06324555320336758</v>
      </c>
      <c r="U4" s="8">
        <f>syst!H24</f>
        <v>0.01058263715823161</v>
      </c>
      <c r="V4" s="33"/>
      <c r="W4" s="33"/>
    </row>
    <row r="5" spans="1:21" s="11" customFormat="1" ht="22.5">
      <c r="A5" s="11" t="s">
        <v>31</v>
      </c>
      <c r="C5" s="35"/>
      <c r="J5" s="12"/>
      <c r="L5" s="8">
        <f>syst!D23</f>
        <v>0.08627861844049196</v>
      </c>
      <c r="M5" s="8">
        <f>syst!D25</f>
        <v>0.12666491226855212</v>
      </c>
      <c r="N5" s="8">
        <f>SQRT((L5*O3)^2+O4^2)</f>
        <v>129.18578184715048</v>
      </c>
      <c r="O5" s="8">
        <f>SQRT((M5*O3)^2+O4^2)</f>
        <v>159.48783452015815</v>
      </c>
      <c r="P5" s="8">
        <f>SQRT((R5*P3)^2+P4^2)</f>
        <v>0.11558324106534941</v>
      </c>
      <c r="Q5" s="8">
        <f>P5/LN(197*2)</f>
        <v>0.019340102818515295</v>
      </c>
      <c r="R5" s="8">
        <f>syst!F25</f>
        <v>0.09202716990106781</v>
      </c>
      <c r="S5" s="8">
        <f>syst!H25</f>
        <v>0.015398555288628225</v>
      </c>
      <c r="T5" s="8">
        <f>SQRT((T3*P3)^2+P4^2)</f>
        <v>0.1034725668014317</v>
      </c>
      <c r="U5" s="8">
        <f>T5/LN(197*2)</f>
        <v>0.017313669891848276</v>
      </c>
    </row>
    <row r="6" spans="1:21" s="11" customFormat="1" ht="22.5">
      <c r="A6" s="11" t="s">
        <v>32</v>
      </c>
      <c r="C6" s="35"/>
      <c r="J6" s="12"/>
      <c r="L6" s="8">
        <f>syst!D24</f>
        <v>0.08774964387392122</v>
      </c>
      <c r="M6" s="8">
        <f>syst!D26</f>
        <v>0.1442220510185596</v>
      </c>
      <c r="N6" s="8">
        <f>SQRT((L6*O3)^2+O4^2)</f>
        <v>130.1896848660305</v>
      </c>
      <c r="O6" s="8">
        <f>SQRT((M6*O3)^2+O4^2)</f>
        <v>173.99392724446696</v>
      </c>
      <c r="P6" s="8">
        <f>SQRT((R6*P3)^2+P4^2)</f>
        <v>0.12253117012165055</v>
      </c>
      <c r="Q6" s="8">
        <f>P6/LN(197*2)</f>
        <v>0.020502673283628318</v>
      </c>
      <c r="R6" s="8">
        <f>syst!F26</f>
        <v>0.10677078252031312</v>
      </c>
      <c r="S6" s="8">
        <f>syst!H26</f>
        <v>0.01786554774656897</v>
      </c>
      <c r="T6" s="8">
        <f>SQRT((T4*P3)^2+P4^2)</f>
        <v>0.10410072025907655</v>
      </c>
      <c r="U6" s="8">
        <f>T6/LN(197*2)</f>
        <v>0.017418776413733992</v>
      </c>
    </row>
    <row r="7" spans="1:22" s="131" customFormat="1" ht="22.5">
      <c r="A7" s="131" t="s">
        <v>17</v>
      </c>
      <c r="B7" s="131">
        <f>B3</f>
        <v>-1.7</v>
      </c>
      <c r="C7" s="132" t="s">
        <v>39</v>
      </c>
      <c r="D7" s="131">
        <v>1</v>
      </c>
      <c r="E7" s="131">
        <f>fitModel!R106</f>
        <v>305.75</v>
      </c>
      <c r="F7" s="131">
        <v>0.128</v>
      </c>
      <c r="G7" s="131">
        <f>simDau!$H$21</f>
        <v>0.6714131489470898</v>
      </c>
      <c r="H7" s="131">
        <f>simDau!K21</f>
        <v>0.6026092105151544</v>
      </c>
      <c r="I7" s="131">
        <v>0.99</v>
      </c>
      <c r="J7" s="133">
        <f>J$3</f>
        <v>2750000000</v>
      </c>
      <c r="K7" s="131">
        <v>0.88</v>
      </c>
      <c r="L7" s="131">
        <f>$L$3</f>
        <v>2260</v>
      </c>
      <c r="M7" s="133">
        <f>J7/K7/(L7*1000000)</f>
        <v>1.3827433628318584</v>
      </c>
      <c r="N7" s="131">
        <f>$N$3</f>
        <v>0.9362</v>
      </c>
      <c r="O7" s="134">
        <f>(E7/F7/G7/H7/I7/N7)/(J7/(L7*1E-27*K7))/D7*1E+33/(2*3.14156*C8)*V7</f>
        <v>506.871202305943</v>
      </c>
      <c r="P7" s="134">
        <f>O7/(2*197)/R67</f>
        <v>1.1834969213126536</v>
      </c>
      <c r="Q7" s="134">
        <f>1+(LN(P7)/LN(197*2))</f>
        <v>1.028190036225145</v>
      </c>
      <c r="R7" s="134"/>
      <c r="T7" s="134">
        <f>T3</f>
        <v>0.061392181912683315</v>
      </c>
      <c r="U7" s="134">
        <f>U3</f>
        <v>0.010272519610113606</v>
      </c>
      <c r="V7" s="131">
        <v>1.037</v>
      </c>
    </row>
    <row r="8" spans="1:21" s="11" customFormat="1" ht="22.5">
      <c r="A8" s="11" t="s">
        <v>24</v>
      </c>
      <c r="C8" s="35" t="s">
        <v>44</v>
      </c>
      <c r="E8" s="11">
        <f>fitModel!R107</f>
        <v>18.05777764104247</v>
      </c>
      <c r="H8" s="11">
        <f>simDau!K22</f>
        <v>0.007460703259954066</v>
      </c>
      <c r="J8" s="12"/>
      <c r="M8" s="12"/>
      <c r="O8" s="8">
        <f>SQRT((E8/E7)^2+(H8/H7)^2)*O7</f>
        <v>30.586790008659122</v>
      </c>
      <c r="P8" s="8">
        <f>SQRT((O8/O7)^2+(R68/R67)^2)*P7</f>
        <v>0.12624640968995202</v>
      </c>
      <c r="Q8" s="8">
        <f>P8/LN(197*2)</f>
        <v>0.021124330148274827</v>
      </c>
      <c r="R8" s="8"/>
      <c r="T8" s="8">
        <f>T4</f>
        <v>0.06324555320336758</v>
      </c>
      <c r="U8" s="8">
        <f>U4</f>
        <v>0.01058263715823161</v>
      </c>
    </row>
    <row r="9" spans="1:21" s="11" customFormat="1" ht="22.5">
      <c r="A9" s="11" t="s">
        <v>31</v>
      </c>
      <c r="C9" s="35"/>
      <c r="J9" s="12"/>
      <c r="L9" s="8">
        <f>L5</f>
        <v>0.08627861844049196</v>
      </c>
      <c r="M9" s="8">
        <f>M5</f>
        <v>0.12666491226855212</v>
      </c>
      <c r="N9" s="8">
        <f>SQRT((L9*O7)^2+O8^2)</f>
        <v>53.367147288440805</v>
      </c>
      <c r="O9" s="8">
        <f>SQRT((M9*O7)^2+O8^2)</f>
        <v>71.11645931118166</v>
      </c>
      <c r="P9" s="8">
        <f>SQRT((R9*P7)^2+P8^2)</f>
        <v>0.1667344821240893</v>
      </c>
      <c r="Q9" s="8">
        <f>P9/LN(197*2)</f>
        <v>0.02789904486108502</v>
      </c>
      <c r="R9" s="8">
        <f>R5</f>
        <v>0.09202716990106781</v>
      </c>
      <c r="S9" s="8">
        <f>S5</f>
        <v>0.015398555288628225</v>
      </c>
      <c r="T9" s="8">
        <f>SQRT((T7*P7)^2+P8^2)</f>
        <v>0.14566146437624666</v>
      </c>
      <c r="U9" s="8">
        <f>T9/LN(197*2)</f>
        <v>0.024372977187405165</v>
      </c>
    </row>
    <row r="10" spans="1:21" s="11" customFormat="1" ht="22.5">
      <c r="A10" s="11" t="s">
        <v>32</v>
      </c>
      <c r="C10" s="35"/>
      <c r="J10" s="12"/>
      <c r="L10" s="8">
        <f>L6</f>
        <v>0.08774964387392122</v>
      </c>
      <c r="M10" s="8">
        <f>M6</f>
        <v>0.1442220510185596</v>
      </c>
      <c r="N10" s="8">
        <f>SQRT((L10*O7)^2+O8^2)</f>
        <v>53.979843683844294</v>
      </c>
      <c r="O10" s="8">
        <f>SQRT((M10*O7)^2+O8^2)</f>
        <v>79.24301085999264</v>
      </c>
      <c r="P10" s="8">
        <f>SQRT((R10*P7)^2+P8^2)</f>
        <v>0.17862176948800965</v>
      </c>
      <c r="Q10" s="8">
        <f>P10/LN(197*2)</f>
        <v>0.029888099309917038</v>
      </c>
      <c r="R10" s="8">
        <f>R6</f>
        <v>0.10677078252031312</v>
      </c>
      <c r="S10" s="8">
        <f>S6</f>
        <v>0.01786554774656897</v>
      </c>
      <c r="T10" s="8">
        <f>SQRT((T8*P7)^2+P8^2)</f>
        <v>0.14676789775229912</v>
      </c>
      <c r="U10" s="8">
        <f>T10/LN(197*2)</f>
        <v>0.024558112463570272</v>
      </c>
    </row>
    <row r="11" spans="1:22" s="131" customFormat="1" ht="22.5">
      <c r="A11" s="131" t="s">
        <v>17</v>
      </c>
      <c r="B11" s="131">
        <f>B3</f>
        <v>-1.7</v>
      </c>
      <c r="C11" s="132" t="s">
        <v>40</v>
      </c>
      <c r="D11" s="131">
        <v>1</v>
      </c>
      <c r="E11" s="131">
        <f>fitModel!R108</f>
        <v>185.25</v>
      </c>
      <c r="F11" s="131">
        <v>0.128</v>
      </c>
      <c r="G11" s="131">
        <f>simDau!$H$23</f>
        <v>0.5657271558488212</v>
      </c>
      <c r="H11" s="131">
        <f>simDau!K23</f>
        <v>0.6196038927130311</v>
      </c>
      <c r="I11" s="131">
        <v>0.99</v>
      </c>
      <c r="J11" s="133">
        <f>J$3</f>
        <v>2750000000</v>
      </c>
      <c r="K11" s="131">
        <v>0.88</v>
      </c>
      <c r="L11" s="131">
        <f>$L$3</f>
        <v>2260</v>
      </c>
      <c r="M11" s="133">
        <f>J11/K11/(L11*1000000)</f>
        <v>1.3827433628318584</v>
      </c>
      <c r="N11" s="131">
        <f>$N$3</f>
        <v>0.9362</v>
      </c>
      <c r="O11" s="134">
        <f>(E11/F11/G11/H11/I11/N11)/(J11/(L11*1E-27*K11))/D11*1E+33/(2*3.14156*C12)*V11</f>
        <v>202.63910144634903</v>
      </c>
      <c r="P11" s="134">
        <f>O11/(2*197)/R71</f>
        <v>2.7979247275802592</v>
      </c>
      <c r="Q11" s="134">
        <f>1+(LN(P11)/LN(197*2))</f>
        <v>1.1721582265287969</v>
      </c>
      <c r="R11" s="134"/>
      <c r="S11" s="134"/>
      <c r="T11" s="134">
        <f>T7</f>
        <v>0.061392181912683315</v>
      </c>
      <c r="U11" s="134">
        <f>U7</f>
        <v>0.010272519610113606</v>
      </c>
      <c r="V11" s="131">
        <v>0.988</v>
      </c>
    </row>
    <row r="12" spans="1:21" s="11" customFormat="1" ht="22.5">
      <c r="A12" s="11" t="s">
        <v>24</v>
      </c>
      <c r="C12" s="35" t="s">
        <v>45</v>
      </c>
      <c r="E12" s="11">
        <f>fitModel!R109</f>
        <v>18.24828759089466</v>
      </c>
      <c r="H12" s="11">
        <f>simDau!K24</f>
        <v>0.012656004762954016</v>
      </c>
      <c r="J12" s="12"/>
      <c r="M12" s="12"/>
      <c r="O12" s="8">
        <f>SQRT((E12/E11)^2+(H12/H11)^2)*O11</f>
        <v>20.38584232047979</v>
      </c>
      <c r="P12" s="8">
        <f>SQRT((O12/O11)^2+(R72/R71)^2)*P11</f>
        <v>0.6384955545254545</v>
      </c>
      <c r="Q12" s="8">
        <f>P12/LN(197*2)</f>
        <v>0.10683702550532816</v>
      </c>
      <c r="R12" s="8"/>
      <c r="S12" s="8"/>
      <c r="T12" s="8">
        <f>T8</f>
        <v>0.06324555320336758</v>
      </c>
      <c r="U12" s="8">
        <f>U8</f>
        <v>0.01058263715823161</v>
      </c>
    </row>
    <row r="13" spans="1:21" s="11" customFormat="1" ht="22.5">
      <c r="A13" s="11" t="s">
        <v>31</v>
      </c>
      <c r="C13" s="35"/>
      <c r="J13" s="12"/>
      <c r="L13" s="8">
        <f>L5</f>
        <v>0.08627861844049196</v>
      </c>
      <c r="M13" s="8">
        <f>M5</f>
        <v>0.12666491226855212</v>
      </c>
      <c r="N13" s="8">
        <f>SQRT((L13*O11)^2+O12^2)</f>
        <v>26.856146446828213</v>
      </c>
      <c r="O13" s="8">
        <f>SQRT((M13*O11)^2+O12^2)</f>
        <v>32.77790427581275</v>
      </c>
      <c r="P13" s="8">
        <f>SQRT((R13*P11)^2+P12^2)</f>
        <v>0.6884585295591836</v>
      </c>
      <c r="Q13" s="8">
        <f>P13/LN(197*2)</f>
        <v>0.11519713952674503</v>
      </c>
      <c r="R13" s="8">
        <f>R9</f>
        <v>0.09202716990106781</v>
      </c>
      <c r="S13" s="8">
        <f>S9</f>
        <v>0.015398555288628225</v>
      </c>
      <c r="T13" s="8">
        <f>SQRT((T11*P11)^2+P12^2)</f>
        <v>0.6611972079880023</v>
      </c>
      <c r="U13" s="8">
        <f>T13/LN(197*2)</f>
        <v>0.11063560658048371</v>
      </c>
    </row>
    <row r="14" spans="1:21" s="11" customFormat="1" ht="22.5">
      <c r="A14" s="11" t="s">
        <v>32</v>
      </c>
      <c r="C14" s="35"/>
      <c r="J14" s="12"/>
      <c r="L14" s="8">
        <f>L6</f>
        <v>0.08774964387392122</v>
      </c>
      <c r="M14" s="8">
        <f>M6</f>
        <v>0.1442220510185596</v>
      </c>
      <c r="N14" s="8">
        <f>SQRT((L14*O11)^2+O12^2)</f>
        <v>27.05114838532441</v>
      </c>
      <c r="O14" s="8">
        <f>SQRT((M14*O11)^2+O12^2)</f>
        <v>35.63263616634512</v>
      </c>
      <c r="P14" s="8">
        <f>SQRT((R14*P11)^2+P12^2)</f>
        <v>0.7049256250516827</v>
      </c>
      <c r="Q14" s="8">
        <f>P14/LN(197*2)</f>
        <v>0.11795251579939323</v>
      </c>
      <c r="R14" s="8">
        <f>R10</f>
        <v>0.10677078252031312</v>
      </c>
      <c r="S14" s="8">
        <f>S10</f>
        <v>0.01786554774656897</v>
      </c>
      <c r="T14" s="8">
        <f>SQRT((T12*P11)^2+P12^2)</f>
        <v>0.6625632832217523</v>
      </c>
      <c r="U14" s="8">
        <f>T14/LN(197*2)</f>
        <v>0.11086418673825602</v>
      </c>
    </row>
    <row r="15" spans="1:22" s="131" customFormat="1" ht="22.5">
      <c r="A15" s="131" t="s">
        <v>17</v>
      </c>
      <c r="B15" s="131">
        <f>B3</f>
        <v>-1.7</v>
      </c>
      <c r="C15" s="132" t="s">
        <v>41</v>
      </c>
      <c r="D15" s="131">
        <v>1</v>
      </c>
      <c r="E15" s="131">
        <f>fitModel!R110</f>
        <v>51.25</v>
      </c>
      <c r="F15" s="131">
        <v>0.128</v>
      </c>
      <c r="G15" s="131">
        <f>simDau!$H$25</f>
        <v>0.6337125995725665</v>
      </c>
      <c r="H15" s="131">
        <f>simDau!K25</f>
        <v>0.6025319542732717</v>
      </c>
      <c r="I15" s="131">
        <v>0.99</v>
      </c>
      <c r="J15" s="133">
        <f>J$3</f>
        <v>2750000000</v>
      </c>
      <c r="K15" s="131">
        <v>0.88</v>
      </c>
      <c r="L15" s="131">
        <f>$L$3</f>
        <v>2260</v>
      </c>
      <c r="M15" s="133">
        <f>J15/K15/(L15*1000000)</f>
        <v>1.3827433628318584</v>
      </c>
      <c r="N15" s="131">
        <f>$N$3</f>
        <v>0.9362</v>
      </c>
      <c r="O15" s="134">
        <f>(E15/F15/G15/H15/I15/N15)/(J15/(L15*1E-27*K15))/D15*1E+33/(2*3.14156*C16)*V15</f>
        <v>35.606935628635334</v>
      </c>
      <c r="P15" s="134">
        <f>O15/(2*197)/R75</f>
        <v>1.823342321256682</v>
      </c>
      <c r="Q15" s="134">
        <f>1+(LN(P15)/LN(197*2))</f>
        <v>1.1005080301108736</v>
      </c>
      <c r="R15" s="134"/>
      <c r="S15" s="134"/>
      <c r="T15" s="134">
        <f>T11</f>
        <v>0.061392181912683315</v>
      </c>
      <c r="U15" s="134">
        <f>U11</f>
        <v>0.010272519610113606</v>
      </c>
      <c r="V15" s="131">
        <v>0.957</v>
      </c>
    </row>
    <row r="16" spans="1:21" s="11" customFormat="1" ht="22.5">
      <c r="A16" s="11" t="s">
        <v>24</v>
      </c>
      <c r="C16" s="35" t="s">
        <v>46</v>
      </c>
      <c r="E16" s="11">
        <f>fitModel!R111</f>
        <v>10.214368964029708</v>
      </c>
      <c r="H16" s="11">
        <f>simDau!K26</f>
        <v>0.02668757075286823</v>
      </c>
      <c r="J16" s="12"/>
      <c r="M16" s="12"/>
      <c r="O16" s="8">
        <f>SQRT((E16/E15)^2+(H16/H15)^2)*O15</f>
        <v>7.269764538903593</v>
      </c>
      <c r="P16" s="8">
        <f>SQRT((O16/O15)^2+(R76/R75)^2)*P15</f>
        <v>0.6300975077973058</v>
      </c>
      <c r="Q16" s="8">
        <f>P16/LN(197*2)</f>
        <v>0.10543181238186797</v>
      </c>
      <c r="R16" s="8"/>
      <c r="S16" s="8"/>
      <c r="T16" s="8">
        <f>T12</f>
        <v>0.06324555320336758</v>
      </c>
      <c r="U16" s="8">
        <f>U12</f>
        <v>0.01058263715823161</v>
      </c>
    </row>
    <row r="17" spans="1:21" s="11" customFormat="1" ht="22.5">
      <c r="A17" s="11" t="s">
        <v>31</v>
      </c>
      <c r="C17" s="35"/>
      <c r="J17" s="12"/>
      <c r="L17" s="8">
        <f>L5</f>
        <v>0.08627861844049196</v>
      </c>
      <c r="M17" s="8">
        <f>M5</f>
        <v>0.12666491226855212</v>
      </c>
      <c r="N17" s="8">
        <f>SQRT((L17*O15)^2+O16^2)</f>
        <v>7.892235464121129</v>
      </c>
      <c r="O17" s="8">
        <f>SQRT((M17*O15)^2+O16^2)</f>
        <v>8.555169423158292</v>
      </c>
      <c r="P17" s="8">
        <f>SQRT((R17*P15)^2+P16^2)</f>
        <v>0.6520572933513352</v>
      </c>
      <c r="Q17" s="8">
        <f>P17/LN(197*2)</f>
        <v>0.10910625952985331</v>
      </c>
      <c r="R17" s="8">
        <f>R13</f>
        <v>0.09202716990106781</v>
      </c>
      <c r="S17" s="8">
        <f>S13</f>
        <v>0.015398555288628225</v>
      </c>
      <c r="T17" s="8">
        <f>SQRT((T15*P15)^2+P16^2)</f>
        <v>0.6399634371402685</v>
      </c>
      <c r="U17" s="8">
        <f>T17/LN(197*2)</f>
        <v>0.10708264070381496</v>
      </c>
    </row>
    <row r="18" spans="1:21" s="11" customFormat="1" ht="22.5">
      <c r="A18" s="11" t="s">
        <v>32</v>
      </c>
      <c r="C18" s="35"/>
      <c r="J18" s="12"/>
      <c r="L18" s="8">
        <f>L6</f>
        <v>0.08774964387392122</v>
      </c>
      <c r="M18" s="8">
        <f>M6</f>
        <v>0.1442220510185596</v>
      </c>
      <c r="N18" s="8">
        <f>SQRT((L18*O15)^2+O16^2)</f>
        <v>7.9127713988548845</v>
      </c>
      <c r="O18" s="8">
        <f>SQRT((M18*O15)^2+O16^2)</f>
        <v>8.900608790426935</v>
      </c>
      <c r="P18" s="8">
        <f>SQRT((R18*P15)^2+P16^2)</f>
        <v>0.6594869594206643</v>
      </c>
      <c r="Q18" s="8">
        <f>P18/LN(197*2)</f>
        <v>0.11034943721170096</v>
      </c>
      <c r="R18" s="8">
        <f>R14</f>
        <v>0.10677078252031312</v>
      </c>
      <c r="S18" s="8">
        <f>S14</f>
        <v>0.01786554774656897</v>
      </c>
      <c r="T18" s="8">
        <f>SQRT((T16*P15)^2+P16^2)</f>
        <v>0.6405631726959634</v>
      </c>
      <c r="U18" s="8">
        <f>T18/LN(197*2)</f>
        <v>0.10718299216657158</v>
      </c>
    </row>
    <row r="19" spans="1:22" s="131" customFormat="1" ht="22.5">
      <c r="A19" s="131" t="s">
        <v>17</v>
      </c>
      <c r="B19" s="131">
        <f>B3</f>
        <v>-1.7</v>
      </c>
      <c r="C19" s="132" t="s">
        <v>42</v>
      </c>
      <c r="D19" s="131">
        <v>1</v>
      </c>
      <c r="E19" s="183">
        <f>fitModel!R112</f>
        <v>23.5</v>
      </c>
      <c r="F19" s="131">
        <v>0.128</v>
      </c>
      <c r="G19" s="131">
        <f>simDau!$H$27</f>
        <v>0.6604626808834729</v>
      </c>
      <c r="H19" s="131">
        <f>simDau!K27</f>
        <v>0.6363898443898444</v>
      </c>
      <c r="I19" s="131">
        <v>0.99</v>
      </c>
      <c r="J19" s="133">
        <f>J$3</f>
        <v>2750000000</v>
      </c>
      <c r="K19" s="131">
        <v>0.88</v>
      </c>
      <c r="L19" s="131">
        <f>$L$3</f>
        <v>2260</v>
      </c>
      <c r="M19" s="133">
        <f>J19/K19/(L19*1000000)</f>
        <v>1.3827433628318584</v>
      </c>
      <c r="N19" s="131">
        <f>$N$3</f>
        <v>0.9362</v>
      </c>
      <c r="O19" s="134">
        <f>(E19/F19/G19/H19/I19/N19)/(J19/(L19*1E-27*K19))/D19*1E+33/(2*3.14156*C20)*V19</f>
        <v>11.379549816673823</v>
      </c>
      <c r="P19" s="134">
        <f>O19/(2*197)/R79</f>
        <v>3.588272862167873</v>
      </c>
      <c r="Q19" s="134">
        <f>1+(LN(P19)/LN(197*2))</f>
        <v>1.2137878128707253</v>
      </c>
      <c r="R19" s="134"/>
      <c r="S19" s="134"/>
      <c r="T19" s="134">
        <f>T15</f>
        <v>0.061392181912683315</v>
      </c>
      <c r="U19" s="134">
        <f>U15</f>
        <v>0.010272519610113606</v>
      </c>
      <c r="V19" s="131">
        <v>0.944</v>
      </c>
    </row>
    <row r="20" spans="1:21" s="11" customFormat="1" ht="22.5">
      <c r="A20" s="11" t="s">
        <v>24</v>
      </c>
      <c r="C20" s="35" t="s">
        <v>201</v>
      </c>
      <c r="E20" s="11">
        <f>fitModel!R113</f>
        <v>5.204164998665332</v>
      </c>
      <c r="H20" s="11">
        <f>simDau!K28</f>
        <v>0.07550502693789043</v>
      </c>
      <c r="J20" s="12"/>
      <c r="M20" s="12"/>
      <c r="O20" s="8">
        <f>SQRT((E20/E19)^2+(H20/H19)^2)*O19</f>
        <v>2.858932502021122</v>
      </c>
      <c r="P20" s="8">
        <f>SQRT((O20/O19)^2+(R80/R79)^2)*P19</f>
        <v>2.2207607372390457</v>
      </c>
      <c r="Q20" s="8">
        <f>P20/LN(197*2)</f>
        <v>0.37159142274996154</v>
      </c>
      <c r="R20" s="8"/>
      <c r="S20" s="8"/>
      <c r="T20" s="8">
        <f>T16</f>
        <v>0.06324555320336758</v>
      </c>
      <c r="U20" s="8">
        <f>U16</f>
        <v>0.01058263715823161</v>
      </c>
    </row>
    <row r="21" spans="1:21" s="11" customFormat="1" ht="22.5">
      <c r="A21" s="11" t="s">
        <v>31</v>
      </c>
      <c r="C21" s="35"/>
      <c r="J21" s="12"/>
      <c r="L21" s="8">
        <f>L5</f>
        <v>0.08627861844049196</v>
      </c>
      <c r="M21" s="8">
        <f>M5</f>
        <v>0.12666491226855212</v>
      </c>
      <c r="N21" s="8">
        <f>SQRT((L21*O19)^2+O20^2)</f>
        <v>3.022821452503153</v>
      </c>
      <c r="O21" s="8">
        <f>SQRT((M21*O19)^2+O20^2)</f>
        <v>3.2017337894291993</v>
      </c>
      <c r="P21" s="8">
        <f>SQRT((R21*P19)^2+P20^2)</f>
        <v>2.245177626253661</v>
      </c>
      <c r="Q21" s="8">
        <f>P21/LN(197*2)</f>
        <v>0.37567700764703105</v>
      </c>
      <c r="R21" s="8">
        <f>R17</f>
        <v>0.09202716990106781</v>
      </c>
      <c r="S21" s="8">
        <f>S17</f>
        <v>0.015398555288628225</v>
      </c>
      <c r="T21" s="8">
        <f>SQRT((T19*P19)^2+P20^2)</f>
        <v>2.2316600936081605</v>
      </c>
      <c r="U21" s="8">
        <f>T21/LN(197*2)</f>
        <v>0.3734151704740381</v>
      </c>
    </row>
    <row r="22" spans="1:21" s="11" customFormat="1" ht="22.5">
      <c r="A22" s="11" t="s">
        <v>32</v>
      </c>
      <c r="C22" s="35"/>
      <c r="J22" s="12"/>
      <c r="L22" s="8">
        <f>L6</f>
        <v>0.08774964387392122</v>
      </c>
      <c r="M22" s="8">
        <f>M6</f>
        <v>0.1442220510185596</v>
      </c>
      <c r="N22" s="8">
        <f>SQRT((L22*O19)^2+O20^2)</f>
        <v>3.0282998591858425</v>
      </c>
      <c r="O22" s="8">
        <f>SQRT((M22*O19)^2+O20^2)</f>
        <v>3.29650928330865</v>
      </c>
      <c r="P22" s="8">
        <f>SQRT((R22*P19)^2+P20^2)</f>
        <v>2.2535663416866463</v>
      </c>
      <c r="Q22" s="8">
        <f>P22/LN(197*2)</f>
        <v>0.37708065940046714</v>
      </c>
      <c r="R22" s="8">
        <f>R18</f>
        <v>0.10677078252031312</v>
      </c>
      <c r="S22" s="8">
        <f>S18</f>
        <v>0.01786554774656897</v>
      </c>
      <c r="T22" s="8">
        <f>SQRT((T20*P19)^2+P20^2)</f>
        <v>2.232326378600583</v>
      </c>
      <c r="U22" s="8">
        <f>T22/LN(197*2)</f>
        <v>0.3735266574001799</v>
      </c>
    </row>
    <row r="23" spans="1:22" s="135" customFormat="1" ht="22.5">
      <c r="A23" s="135" t="s">
        <v>17</v>
      </c>
      <c r="B23" s="135">
        <v>1.8</v>
      </c>
      <c r="C23" s="136" t="s">
        <v>38</v>
      </c>
      <c r="D23" s="135">
        <v>1.2</v>
      </c>
      <c r="E23" s="135">
        <f>fitModel!R114</f>
        <v>309</v>
      </c>
      <c r="F23" s="135">
        <v>0.127</v>
      </c>
      <c r="G23" s="135">
        <f>simDau!$H$29</f>
        <v>0.8413468607033632</v>
      </c>
      <c r="H23" s="135">
        <f>simDau!K29</f>
        <v>0.7031889222539259</v>
      </c>
      <c r="I23" s="135">
        <v>0.93</v>
      </c>
      <c r="J23" s="137">
        <v>3264000000</v>
      </c>
      <c r="K23" s="135">
        <f>$K$3</f>
        <v>0.88</v>
      </c>
      <c r="L23" s="135">
        <f>$L$3</f>
        <v>2260</v>
      </c>
      <c r="M23" s="137">
        <f>J23/K23/(L23*1000000)</f>
        <v>1.6411906677393402</v>
      </c>
      <c r="N23" s="135">
        <f>$N$3</f>
        <v>0.9362</v>
      </c>
      <c r="O23" s="138">
        <f>(E23/F23/G23/H23/I23/N23)/(J23/(L23*1E-27*K23))/D23*1E+33/(2*3.14156*C24)*V23</f>
        <v>838.2484725894087</v>
      </c>
      <c r="P23" s="138">
        <f>O23/(2*197)/R63</f>
        <v>0.6244462247213847</v>
      </c>
      <c r="Q23" s="138">
        <f>1+(LN(P23)/LN(197*2))</f>
        <v>0.9212077621270912</v>
      </c>
      <c r="R23" s="134"/>
      <c r="T23" s="138">
        <f>syst!G23</f>
        <v>0.022912878474779203</v>
      </c>
      <c r="U23" s="138">
        <f>syst!I23</f>
        <v>0.0038339245507039467</v>
      </c>
      <c r="V23" s="135">
        <v>1.098</v>
      </c>
    </row>
    <row r="24" spans="1:21" ht="22.5">
      <c r="A24" s="1" t="s">
        <v>24</v>
      </c>
      <c r="C24" s="36" t="s">
        <v>43</v>
      </c>
      <c r="E24" s="1">
        <f>fitModel!R115</f>
        <v>19.42506971244462</v>
      </c>
      <c r="H24" s="1">
        <f>simDau!K30</f>
        <v>0.008761944380750269</v>
      </c>
      <c r="J24" s="16"/>
      <c r="M24" s="16"/>
      <c r="O24" s="3">
        <f>SQRT((E24/E23)^2+(H24/H23)^2)*O23</f>
        <v>53.72106604611707</v>
      </c>
      <c r="P24" s="3">
        <f>SQRT((O24/O23)^2+(R64/R63)^2)*P23</f>
        <v>0.06350529253233035</v>
      </c>
      <c r="Q24" s="3">
        <f>P24/LN(197*2)</f>
        <v>0.010626098349333804</v>
      </c>
      <c r="R24" s="8"/>
      <c r="T24" s="3">
        <f>syst!G24</f>
        <v>0.02310844001658269</v>
      </c>
      <c r="U24" s="3">
        <f>syst!I24</f>
        <v>0.0038666471174962067</v>
      </c>
    </row>
    <row r="25" spans="1:21" ht="22.5">
      <c r="A25" s="1" t="s">
        <v>31</v>
      </c>
      <c r="C25" s="36"/>
      <c r="J25" s="16"/>
      <c r="L25" s="3">
        <f>syst!E23</f>
        <v>0.065</v>
      </c>
      <c r="M25" s="3">
        <f>syst!E25</f>
        <v>0.12379418403139947</v>
      </c>
      <c r="N25" s="3">
        <f>SQRT((L25*O23)^2+O24^2)</f>
        <v>76.5159692954996</v>
      </c>
      <c r="O25" s="3">
        <f>SQRT((M25*O23)^2+O24^2)</f>
        <v>116.85129493160495</v>
      </c>
      <c r="P25" s="3">
        <f>SQRT((R25*P23)^2+P24^2)</f>
        <v>0.08393542327936254</v>
      </c>
      <c r="Q25" s="3">
        <f>P25/LN(197*2)</f>
        <v>0.014044594193553266</v>
      </c>
      <c r="R25" s="3">
        <f>syst!G25</f>
        <v>0.08789197915623473</v>
      </c>
      <c r="S25" s="3">
        <f>syst!I25</f>
        <v>0.014706629595577038</v>
      </c>
      <c r="T25" s="3">
        <f>SQRT((T23*P23)^2+P24^2)</f>
        <v>0.06509713550218986</v>
      </c>
      <c r="U25" s="3">
        <f>SQRT(U23^2+Q24^2)</f>
        <v>0.011296589909800436</v>
      </c>
    </row>
    <row r="26" spans="1:21" ht="22.5">
      <c r="A26" s="1" t="s">
        <v>32</v>
      </c>
      <c r="C26" s="36"/>
      <c r="J26" s="16"/>
      <c r="L26" s="3">
        <f>syst!E24</f>
        <v>0.06503076195155644</v>
      </c>
      <c r="M26" s="3">
        <f>syst!E26</f>
        <v>0.14081548210335398</v>
      </c>
      <c r="N26" s="3">
        <f>SQRT((L26*O23)^2+O24^2)</f>
        <v>76.53433346699396</v>
      </c>
      <c r="O26" s="3">
        <f>SQRT((M26*O23)^2+O24^2)</f>
        <v>129.68811829652427</v>
      </c>
      <c r="P26" s="3">
        <f>SQRT((R26*P23)^2+P24^2)</f>
        <v>0.09000824415190872</v>
      </c>
      <c r="Q26" s="3">
        <f>P26/LN(197*2)</f>
        <v>0.015060736144505002</v>
      </c>
      <c r="R26" s="3">
        <f>syst!G26</f>
        <v>0.10214695296483396</v>
      </c>
      <c r="S26" s="3">
        <f>syst!I26</f>
        <v>0.017091859985315618</v>
      </c>
      <c r="T26" s="3">
        <f>SQRT((T24*P23)^2+P24^2)</f>
        <v>0.06512408500991462</v>
      </c>
      <c r="U26" s="3">
        <f>SQRT(U24^2+Q24^2)</f>
        <v>0.01130773744216571</v>
      </c>
    </row>
    <row r="27" spans="1:22" s="135" customFormat="1" ht="22.5">
      <c r="A27" s="135" t="s">
        <v>17</v>
      </c>
      <c r="B27" s="135">
        <f>B23</f>
        <v>1.8</v>
      </c>
      <c r="C27" s="136" t="s">
        <v>39</v>
      </c>
      <c r="D27" s="135">
        <v>1.2</v>
      </c>
      <c r="E27" s="135">
        <f>fitModel!R116</f>
        <v>338.5</v>
      </c>
      <c r="F27" s="135">
        <v>0.127</v>
      </c>
      <c r="G27" s="135">
        <f>simDau!$H$31</f>
        <v>0.7760410767126257</v>
      </c>
      <c r="H27" s="135">
        <f>simDau!K31</f>
        <v>0.6963834421681784</v>
      </c>
      <c r="I27" s="135">
        <v>0.93</v>
      </c>
      <c r="J27" s="137">
        <f>J$23</f>
        <v>3264000000</v>
      </c>
      <c r="K27" s="135">
        <f>$K$3</f>
        <v>0.88</v>
      </c>
      <c r="L27" s="135">
        <f>$L$3</f>
        <v>2260</v>
      </c>
      <c r="M27" s="137">
        <f>J27/K27/(L27*1000000)</f>
        <v>1.6411906677393402</v>
      </c>
      <c r="N27" s="135">
        <f>$N$3</f>
        <v>0.9362</v>
      </c>
      <c r="O27" s="138">
        <f>(E27/F27/G27/H27/I27/N27)/(J27/(L27*1E-27*K27))/D27*1E+33/(2*3.14156*C28)*V27</f>
        <v>315.86657578850657</v>
      </c>
      <c r="P27" s="138">
        <f>O27/(2*197)/R67</f>
        <v>0.7375189560791594</v>
      </c>
      <c r="Q27" s="138">
        <f>1+(LN(P27)/LN(197*2))</f>
        <v>0.9490552859828528</v>
      </c>
      <c r="R27" s="134"/>
      <c r="S27" s="138"/>
      <c r="T27" s="138">
        <f>T23</f>
        <v>0.022912878474779203</v>
      </c>
      <c r="U27" s="138">
        <f>U23</f>
        <v>0.0038339245507039467</v>
      </c>
      <c r="V27" s="135">
        <v>1.035</v>
      </c>
    </row>
    <row r="28" spans="1:21" ht="22.5">
      <c r="A28" s="1" t="s">
        <v>24</v>
      </c>
      <c r="C28" s="36" t="s">
        <v>44</v>
      </c>
      <c r="E28" s="1">
        <f>fitModel!R117</f>
        <v>21.1266025033211</v>
      </c>
      <c r="H28" s="1">
        <f>simDau!K32</f>
        <v>0.007166841378628381</v>
      </c>
      <c r="J28" s="16"/>
      <c r="M28" s="16"/>
      <c r="O28" s="3">
        <f>SQRT((E28/E27)^2+(H28/H27)^2)*O27</f>
        <v>19.980214738690147</v>
      </c>
      <c r="P28" s="3">
        <f>SQRT((O28/O27)^2+(R68/R67)^2)*P27</f>
        <v>0.0799069786265495</v>
      </c>
      <c r="Q28" s="3">
        <f>P28/LN(197*2)</f>
        <v>0.013370529916881419</v>
      </c>
      <c r="R28" s="8"/>
      <c r="S28" s="3"/>
      <c r="T28" s="3">
        <f>T24</f>
        <v>0.02310844001658269</v>
      </c>
      <c r="U28" s="3">
        <f>U24</f>
        <v>0.0038666471174962067</v>
      </c>
    </row>
    <row r="29" spans="1:21" ht="22.5">
      <c r="A29" s="1" t="s">
        <v>31</v>
      </c>
      <c r="C29" s="36"/>
      <c r="J29" s="16"/>
      <c r="L29" s="3">
        <f>L25</f>
        <v>0.065</v>
      </c>
      <c r="M29" s="3">
        <f>M25</f>
        <v>0.12379418403139947</v>
      </c>
      <c r="N29" s="3">
        <f>SQRT((L29*O27)^2+O28^2)</f>
        <v>28.648636736992856</v>
      </c>
      <c r="O29" s="3">
        <f>SQRT((M29*O27)^2+O28^2)</f>
        <v>43.911390173417786</v>
      </c>
      <c r="P29" s="3">
        <f>SQRT((R29*P27)^2+P28^2)</f>
        <v>0.10289323111810687</v>
      </c>
      <c r="Q29" s="3">
        <f>P29/LN(197*2)</f>
        <v>0.017216731861917085</v>
      </c>
      <c r="R29" s="3">
        <f>R25</f>
        <v>0.08789197915623473</v>
      </c>
      <c r="S29" s="3">
        <f>S25</f>
        <v>0.014706629595577038</v>
      </c>
      <c r="T29" s="3">
        <f>SQRT((T27*P27)^2+P28^2)</f>
        <v>0.08167429640821088</v>
      </c>
      <c r="U29" s="3">
        <f>T29/LN(197*2)</f>
        <v>0.013666248459598147</v>
      </c>
    </row>
    <row r="30" spans="1:21" ht="22.5">
      <c r="A30" s="1" t="s">
        <v>32</v>
      </c>
      <c r="C30" s="36"/>
      <c r="J30" s="16"/>
      <c r="L30" s="3">
        <f>L26</f>
        <v>0.06503076195155644</v>
      </c>
      <c r="M30" s="3">
        <f>M26</f>
        <v>0.14081548210335398</v>
      </c>
      <c r="N30" s="3">
        <f>SQRT((L30*O27)^2+O28^2)</f>
        <v>28.6556010870995</v>
      </c>
      <c r="O30" s="3">
        <f>SQRT((M30*O27)^2+O28^2)</f>
        <v>48.760454216388695</v>
      </c>
      <c r="P30" s="3">
        <f>SQRT((R30*P27)^2+P28^2)</f>
        <v>0.10982046615442312</v>
      </c>
      <c r="Q30" s="3">
        <f>P30/LN(197*2)</f>
        <v>0.01837583967560636</v>
      </c>
      <c r="R30" s="3">
        <f>R26</f>
        <v>0.10214695296483396</v>
      </c>
      <c r="S30" s="3">
        <f>S26</f>
        <v>0.017091859985315618</v>
      </c>
      <c r="T30" s="3">
        <f>SQRT((T28*P27)^2+P28^2)</f>
        <v>0.08170425999708626</v>
      </c>
      <c r="U30" s="3">
        <f>T30/LN(197*2)</f>
        <v>0.013671262152624233</v>
      </c>
    </row>
    <row r="31" spans="1:22" s="135" customFormat="1" ht="22.5">
      <c r="A31" s="135" t="s">
        <v>17</v>
      </c>
      <c r="B31" s="135">
        <f>B23</f>
        <v>1.8</v>
      </c>
      <c r="C31" s="136" t="s">
        <v>40</v>
      </c>
      <c r="D31" s="135">
        <v>1.2</v>
      </c>
      <c r="E31" s="135">
        <f>fitModel!R118</f>
        <v>177.25</v>
      </c>
      <c r="F31" s="135">
        <v>0.127</v>
      </c>
      <c r="G31" s="135">
        <f>simDau!$H$33</f>
        <v>0.63977990951721</v>
      </c>
      <c r="H31" s="135">
        <f>simDau!K33</f>
        <v>0.7209764843311264</v>
      </c>
      <c r="I31" s="135">
        <v>0.93</v>
      </c>
      <c r="J31" s="137">
        <f>J$23</f>
        <v>3264000000</v>
      </c>
      <c r="K31" s="135">
        <f>$K$3</f>
        <v>0.88</v>
      </c>
      <c r="L31" s="135">
        <f>$L$3</f>
        <v>2260</v>
      </c>
      <c r="M31" s="137">
        <f>J31/K31/(L31*1000000)</f>
        <v>1.6411906677393402</v>
      </c>
      <c r="N31" s="135">
        <f>$N$3</f>
        <v>0.9362</v>
      </c>
      <c r="O31" s="138">
        <f>(E31/F31/G31/H31/I31/N31)/(J31/(L31*1E-27*K31))/D31*1E+33/(2*3.14156*C32)*V31</f>
        <v>109.19175761082575</v>
      </c>
      <c r="P31" s="138">
        <f>O31/(2*197)/R71</f>
        <v>1.5076572906545709</v>
      </c>
      <c r="Q31" s="138">
        <f>1+(LN(P31)/LN(197*2))</f>
        <v>1.0686969338229828</v>
      </c>
      <c r="R31" s="134"/>
      <c r="S31" s="138"/>
      <c r="T31" s="138">
        <f>T27</f>
        <v>0.022912878474779203</v>
      </c>
      <c r="U31" s="138">
        <f>U27</f>
        <v>0.0038339245507039467</v>
      </c>
      <c r="V31" s="135">
        <v>0.972</v>
      </c>
    </row>
    <row r="32" spans="1:21" ht="22.5">
      <c r="A32" s="1" t="s">
        <v>24</v>
      </c>
      <c r="C32" s="36" t="s">
        <v>45</v>
      </c>
      <c r="E32" s="1">
        <f>fitModel!R119</f>
        <v>17.7857620959388</v>
      </c>
      <c r="H32" s="1">
        <f>simDau!K34</f>
        <v>0.01221817852059483</v>
      </c>
      <c r="J32" s="16"/>
      <c r="M32" s="16"/>
      <c r="O32" s="3">
        <f>SQRT((E32/E31)^2+(H32/H31)^2)*O31</f>
        <v>11.111767303952316</v>
      </c>
      <c r="P32" s="3">
        <f>SQRT((O32/O31)^2+(R72/R71)^2)*P31</f>
        <v>0.34482825858060584</v>
      </c>
      <c r="Q32" s="3">
        <f>P32/LN(197*2)</f>
        <v>0.05769879711114791</v>
      </c>
      <c r="R32" s="8"/>
      <c r="S32" s="3"/>
      <c r="T32" s="3">
        <f>T28</f>
        <v>0.02310844001658269</v>
      </c>
      <c r="U32" s="3">
        <f>U28</f>
        <v>0.0038666471174962067</v>
      </c>
    </row>
    <row r="33" spans="1:21" ht="22.5">
      <c r="A33" s="1" t="s">
        <v>31</v>
      </c>
      <c r="C33" s="36"/>
      <c r="J33" s="16"/>
      <c r="L33" s="3">
        <f>L25</f>
        <v>0.065</v>
      </c>
      <c r="M33" s="3">
        <f>M25</f>
        <v>0.12379418403139947</v>
      </c>
      <c r="N33" s="3">
        <f>SQRT((L33*O31)^2+O32^2)</f>
        <v>13.185043470615893</v>
      </c>
      <c r="O33" s="3">
        <f>SQRT((M33*O31)^2+O32^2)</f>
        <v>17.498254042806654</v>
      </c>
      <c r="P33" s="3">
        <f>SQRT((R33*P31)^2+P32^2)</f>
        <v>0.3694126264424061</v>
      </c>
      <c r="Q33" s="3">
        <f>P33/LN(197*2)</f>
        <v>0.06181240560484466</v>
      </c>
      <c r="R33" s="3">
        <f>R29</f>
        <v>0.08789197915623473</v>
      </c>
      <c r="S33" s="3">
        <f>S29</f>
        <v>0.014706629595577038</v>
      </c>
      <c r="T33" s="3">
        <f>SQRT((T31*P31)^2+P32^2)</f>
        <v>0.3465542799207892</v>
      </c>
      <c r="U33" s="3">
        <f>T33/LN(197*2)</f>
        <v>0.057987605677843355</v>
      </c>
    </row>
    <row r="34" spans="1:21" ht="22.5">
      <c r="A34" s="1" t="s">
        <v>32</v>
      </c>
      <c r="C34" s="36"/>
      <c r="J34" s="16"/>
      <c r="L34" s="3">
        <f>L26</f>
        <v>0.06503076195155644</v>
      </c>
      <c r="M34" s="3">
        <f>M26</f>
        <v>0.14081548210335398</v>
      </c>
      <c r="N34" s="3">
        <f>SQRT((L34*O31)^2+O32^2)</f>
        <v>13.186851886699547</v>
      </c>
      <c r="O34" s="3">
        <f>SQRT((M34*O31)^2+O32^2)</f>
        <v>18.970750264339998</v>
      </c>
      <c r="P34" s="3">
        <f>SQRT((R34*P31)^2+P32^2)</f>
        <v>0.3776550386477105</v>
      </c>
      <c r="Q34" s="3">
        <f>P34/LN(197*2)</f>
        <v>0.06319157699728765</v>
      </c>
      <c r="R34" s="3">
        <f>R30</f>
        <v>0.10214695296483396</v>
      </c>
      <c r="S34" s="3">
        <f>S30</f>
        <v>0.017091859985315618</v>
      </c>
      <c r="T34" s="3">
        <f>SQRT((T32*P31)^2+P32^2)</f>
        <v>0.34658379391710065</v>
      </c>
      <c r="U34" s="3">
        <f>T34/LN(197*2)</f>
        <v>0.05799254414226076</v>
      </c>
    </row>
    <row r="35" spans="1:22" s="135" customFormat="1" ht="22.5">
      <c r="A35" s="135" t="s">
        <v>17</v>
      </c>
      <c r="B35" s="135">
        <f>B23</f>
        <v>1.8</v>
      </c>
      <c r="C35" s="136" t="s">
        <v>41</v>
      </c>
      <c r="D35" s="135">
        <v>1.2</v>
      </c>
      <c r="E35" s="135">
        <f>fitModel!R120</f>
        <v>62</v>
      </c>
      <c r="F35" s="135">
        <v>0.127</v>
      </c>
      <c r="G35" s="135">
        <f>simDau!$H$35</f>
        <v>0.6935335850448178</v>
      </c>
      <c r="H35" s="135">
        <f>simDau!K35</f>
        <v>0.7353434828110498</v>
      </c>
      <c r="I35" s="135">
        <v>0.93</v>
      </c>
      <c r="J35" s="137">
        <f>J$23</f>
        <v>3264000000</v>
      </c>
      <c r="K35" s="135">
        <f>$K$3</f>
        <v>0.88</v>
      </c>
      <c r="L35" s="135">
        <f>$L$3</f>
        <v>2260</v>
      </c>
      <c r="M35" s="137">
        <f>J35/K35/(L35*1000000)</f>
        <v>1.6411906677393402</v>
      </c>
      <c r="N35" s="135">
        <f>$N$3</f>
        <v>0.9362</v>
      </c>
      <c r="O35" s="138">
        <f>(E35/F35/G35/H35/I35/N35)/(J35/(L35*1E-27*K35))/D35*1E+33/(2*3.14156*C36)*V35</f>
        <v>23.83749128164512</v>
      </c>
      <c r="P35" s="138">
        <f>O35/(2*197)/R75</f>
        <v>1.2206584453017848</v>
      </c>
      <c r="Q35" s="138">
        <f>1+(LN(P35)/LN(197*2))</f>
        <v>1.0333632387797127</v>
      </c>
      <c r="R35" s="134"/>
      <c r="S35" s="138"/>
      <c r="T35" s="138">
        <f>T31</f>
        <v>0.022912878474779203</v>
      </c>
      <c r="U35" s="138">
        <f>U31</f>
        <v>0.0038339245507039467</v>
      </c>
      <c r="V35" s="135">
        <v>0.939</v>
      </c>
    </row>
    <row r="36" spans="1:21" ht="22.5">
      <c r="A36" s="1" t="s">
        <v>24</v>
      </c>
      <c r="C36" s="36" t="s">
        <v>46</v>
      </c>
      <c r="E36" s="1">
        <f>fitModel!R121</f>
        <v>10.851267207105353</v>
      </c>
      <c r="H36" s="1">
        <f>simDau!K36</f>
        <v>0.02760023957915585</v>
      </c>
      <c r="J36" s="16"/>
      <c r="M36" s="16"/>
      <c r="O36" s="3">
        <f>SQRT((E36/E35)^2+(H36/H35)^2)*O35</f>
        <v>4.266906983866291</v>
      </c>
      <c r="P36" s="3">
        <f>SQRT((O36/O35)^2+(R76/R75)^2)*P35</f>
        <v>0.404436578581771</v>
      </c>
      <c r="Q36" s="3">
        <f>P36/LN(197*2)</f>
        <v>0.06767282991240584</v>
      </c>
      <c r="R36" s="8"/>
      <c r="S36" s="3"/>
      <c r="T36" s="3">
        <f>T32</f>
        <v>0.02310844001658269</v>
      </c>
      <c r="U36" s="3">
        <f>U32</f>
        <v>0.0038666471174962067</v>
      </c>
    </row>
    <row r="37" spans="1:21" ht="22.5">
      <c r="A37" s="1" t="s">
        <v>31</v>
      </c>
      <c r="C37" s="36"/>
      <c r="J37" s="16"/>
      <c r="L37" s="3">
        <f>L25</f>
        <v>0.065</v>
      </c>
      <c r="M37" s="3">
        <f>M25</f>
        <v>0.12379418403139947</v>
      </c>
      <c r="N37" s="3">
        <f>SQRT((L37*O35)^2+O36^2)</f>
        <v>4.539520901952377</v>
      </c>
      <c r="O37" s="3">
        <f>SQRT((M37*O35)^2+O36^2)</f>
        <v>5.187924297341891</v>
      </c>
      <c r="P37" s="3">
        <f>SQRT((R37*P35)^2+P36^2)</f>
        <v>0.4184247249859857</v>
      </c>
      <c r="Q37" s="3">
        <f>P37/LN(197*2)</f>
        <v>0.07001341309042038</v>
      </c>
      <c r="R37" s="3">
        <f>R33</f>
        <v>0.08789197915623473</v>
      </c>
      <c r="S37" s="3">
        <f>S33</f>
        <v>0.014706629595577038</v>
      </c>
      <c r="T37" s="3">
        <f>SQRT((T35*P35)^2+P36^2)</f>
        <v>0.40540251576793956</v>
      </c>
      <c r="U37" s="3">
        <f>T37/LN(197*2)</f>
        <v>0.06783445649706066</v>
      </c>
    </row>
    <row r="38" spans="1:21" ht="22.5">
      <c r="A38" s="1" t="s">
        <v>32</v>
      </c>
      <c r="C38" s="36"/>
      <c r="J38" s="16"/>
      <c r="L38" s="3">
        <f>L26</f>
        <v>0.06503076195155644</v>
      </c>
      <c r="M38" s="3">
        <f>M26</f>
        <v>0.14081548210335398</v>
      </c>
      <c r="N38" s="3">
        <f>SQRT((L38*O35)^2+O36^2)</f>
        <v>4.539771241287927</v>
      </c>
      <c r="O38" s="3">
        <f>SQRT((M38*O35)^2+O36^2)</f>
        <v>5.428982259744827</v>
      </c>
      <c r="P38" s="3">
        <f>SQRT((R38*P35)^2+P36^2)</f>
        <v>0.42322060388311944</v>
      </c>
      <c r="Q38" s="3">
        <f>P38/LN(197*2)</f>
        <v>0.07081588921170576</v>
      </c>
      <c r="R38" s="3">
        <f>R34</f>
        <v>0.10214695296483396</v>
      </c>
      <c r="S38" s="3">
        <f>S34</f>
        <v>0.017091859985315618</v>
      </c>
      <c r="T38" s="3">
        <f>SQRT((T36*P35)^2+P36^2)</f>
        <v>0.4054190546266113</v>
      </c>
      <c r="U38" s="3">
        <f>T38/LN(197*2)</f>
        <v>0.06783722388119233</v>
      </c>
    </row>
    <row r="39" spans="1:22" s="135" customFormat="1" ht="22.5">
      <c r="A39" s="135" t="s">
        <v>17</v>
      </c>
      <c r="B39" s="135">
        <f>B23</f>
        <v>1.8</v>
      </c>
      <c r="C39" s="136" t="s">
        <v>42</v>
      </c>
      <c r="D39" s="135">
        <v>1.2</v>
      </c>
      <c r="E39" s="184">
        <f>fitModel!R122</f>
        <v>15</v>
      </c>
      <c r="F39" s="135">
        <v>0.127</v>
      </c>
      <c r="G39" s="135">
        <f>simDau!$H$37</f>
        <v>0.839422099264619</v>
      </c>
      <c r="H39" s="135">
        <f>simDau!K37</f>
        <v>0.7193907932891467</v>
      </c>
      <c r="I39" s="135">
        <v>0.93</v>
      </c>
      <c r="J39" s="137">
        <f>J$23</f>
        <v>3264000000</v>
      </c>
      <c r="K39" s="135">
        <f>$K$3</f>
        <v>0.88</v>
      </c>
      <c r="L39" s="135">
        <f>$L$3</f>
        <v>2260</v>
      </c>
      <c r="M39" s="137">
        <f>J39/K39/(L39*1000000)</f>
        <v>1.6411906677393402</v>
      </c>
      <c r="N39" s="135">
        <f>$N$3</f>
        <v>0.9362</v>
      </c>
      <c r="O39" s="138">
        <f>(E39/F39/G39/H39/I39/N39)/(J39/(L39*1E-27*K39))/D39*1E+33/(2*3.14156*C40)*V39</f>
        <v>3.7478158176143515</v>
      </c>
      <c r="P39" s="138">
        <f>O39/(2*197)/R79</f>
        <v>1.1817853963822185</v>
      </c>
      <c r="Q39" s="138">
        <f>1+(LN(P39)/LN(197*2))</f>
        <v>1.0279478807872153</v>
      </c>
      <c r="R39" s="134"/>
      <c r="S39" s="138"/>
      <c r="T39" s="138">
        <f>T35</f>
        <v>0.022912878474779203</v>
      </c>
      <c r="U39" s="138">
        <f>U35</f>
        <v>0.0038339245507039467</v>
      </c>
      <c r="V39" s="135">
        <v>0.929</v>
      </c>
    </row>
    <row r="40" spans="1:21" ht="22.5">
      <c r="A40" s="1" t="s">
        <v>24</v>
      </c>
      <c r="C40" s="36" t="s">
        <v>201</v>
      </c>
      <c r="E40" s="1">
        <f>fitModel!R123</f>
        <v>6.082762530298219</v>
      </c>
      <c r="H40" s="1">
        <f>simDau!K38</f>
        <v>0.07237237081885574</v>
      </c>
      <c r="J40" s="16"/>
      <c r="M40" s="16"/>
      <c r="O40" s="3">
        <f>SQRT((E40/E39)^2+(H40/H39)^2)*O39</f>
        <v>1.565875248719294</v>
      </c>
      <c r="P40" s="3">
        <f>SQRT((O40/O39)^2+(R80/R79)^2)*P39</f>
        <v>0.8310199251212029</v>
      </c>
      <c r="Q40" s="3">
        <f>P40/LN(197*2)</f>
        <v>0.1390513940251253</v>
      </c>
      <c r="R40" s="8"/>
      <c r="S40" s="3"/>
      <c r="T40" s="3">
        <f>T36</f>
        <v>0.02310844001658269</v>
      </c>
      <c r="U40" s="3">
        <f>U36</f>
        <v>0.0038666471174962067</v>
      </c>
    </row>
    <row r="41" spans="1:21" ht="22.5">
      <c r="A41" s="1" t="s">
        <v>31</v>
      </c>
      <c r="C41" s="36"/>
      <c r="J41" s="16"/>
      <c r="L41" s="3">
        <f>L25</f>
        <v>0.065</v>
      </c>
      <c r="M41" s="3">
        <f>M25</f>
        <v>0.12379418403139947</v>
      </c>
      <c r="N41" s="3">
        <f>SQRT((L41*O39)^2+O40^2)</f>
        <v>1.5847113825325962</v>
      </c>
      <c r="O41" s="3">
        <f>SQRT((M41*O39)^2+O40^2)</f>
        <v>1.6331632299617245</v>
      </c>
      <c r="P41" s="3">
        <f>SQRT((R41*P39)^2+P40^2)</f>
        <v>0.8374861074277082</v>
      </c>
      <c r="Q41" s="3">
        <f>P41/LN(197*2)</f>
        <v>0.14013335564428747</v>
      </c>
      <c r="R41" s="3">
        <f>R37</f>
        <v>0.08789197915623473</v>
      </c>
      <c r="S41" s="3">
        <f>S37</f>
        <v>0.014706629595577038</v>
      </c>
      <c r="T41" s="3">
        <f>SQRT((T39*P39)^2+P40^2)</f>
        <v>0.8314609670502149</v>
      </c>
      <c r="U41" s="3">
        <f>T41/LN(197*2)</f>
        <v>0.1391251918886888</v>
      </c>
    </row>
    <row r="42" spans="1:21" ht="22.5">
      <c r="A42" s="1" t="s">
        <v>32</v>
      </c>
      <c r="C42" s="36"/>
      <c r="J42" s="16"/>
      <c r="L42" s="3">
        <f>L26</f>
        <v>0.06503076195155644</v>
      </c>
      <c r="M42" s="3">
        <f>M26</f>
        <v>0.14081548210335398</v>
      </c>
      <c r="N42" s="3">
        <f>SQRT((L42*O39)^2+O40^2)</f>
        <v>1.584729109476438</v>
      </c>
      <c r="O42" s="3">
        <f>SQRT((M42*O39)^2+O40^2)</f>
        <v>1.652418190260881</v>
      </c>
      <c r="P42" s="3">
        <f>SQRT((R42*P39)^2+P40^2)</f>
        <v>0.8397418739334719</v>
      </c>
      <c r="Q42" s="3">
        <f>P42/LN(197*2)</f>
        <v>0.1405108044487501</v>
      </c>
      <c r="R42" s="3">
        <f>R38</f>
        <v>0.10214695296483396</v>
      </c>
      <c r="S42" s="3">
        <f>S38</f>
        <v>0.017091859985315618</v>
      </c>
      <c r="T42" s="3">
        <f>SQRT((T40*P39)^2+P40^2)</f>
        <v>0.8314685257293786</v>
      </c>
      <c r="U42" s="3">
        <f>T42/LN(197*2)</f>
        <v>0.1391264566536396</v>
      </c>
    </row>
    <row r="43" spans="1:22" s="11" customFormat="1" ht="22.5">
      <c r="A43" s="11" t="s">
        <v>6</v>
      </c>
      <c r="B43" s="11">
        <v>-1.7</v>
      </c>
      <c r="C43" s="35" t="s">
        <v>38</v>
      </c>
      <c r="D43" s="11">
        <v>1</v>
      </c>
      <c r="E43" s="11">
        <f>fitModel!R84</f>
        <v>71</v>
      </c>
      <c r="F43" s="11">
        <v>0.128</v>
      </c>
      <c r="G43" s="11">
        <f>simPp!$H$18</f>
        <v>0.5587930232257564</v>
      </c>
      <c r="H43" s="11">
        <f>simPp!I18</f>
        <v>0.5811348030357788</v>
      </c>
      <c r="I43" s="11">
        <v>0.99</v>
      </c>
      <c r="J43" s="12">
        <v>4531000000</v>
      </c>
      <c r="K43" s="11">
        <v>0.545</v>
      </c>
      <c r="L43" s="11">
        <v>42.2</v>
      </c>
      <c r="M43" s="12">
        <f>J43/K43/(L43*1000000)</f>
        <v>197.00856558980826</v>
      </c>
      <c r="N43" s="11">
        <v>0.79</v>
      </c>
      <c r="O43" s="8">
        <f>(E43/F43/G43/H43/I43/N43)/(J43/(L43*1E-27*K43))/D43*1E+33/(2*3.14156*C44)*V43</f>
        <v>4.0122522559025295</v>
      </c>
      <c r="P43" s="8"/>
      <c r="Q43" s="8"/>
      <c r="V43" s="11">
        <v>1.137</v>
      </c>
    </row>
    <row r="44" spans="1:17" s="11" customFormat="1" ht="22.5">
      <c r="A44" s="11" t="s">
        <v>24</v>
      </c>
      <c r="C44" s="35" t="s">
        <v>43</v>
      </c>
      <c r="E44" s="11">
        <f>fitModel!R85</f>
        <v>8.18535277187245</v>
      </c>
      <c r="H44" s="11">
        <f>simPp!I19</f>
        <v>0.010247522138603415</v>
      </c>
      <c r="J44" s="12"/>
      <c r="L44" s="33" t="s">
        <v>35</v>
      </c>
      <c r="M44" s="34" t="s">
        <v>36</v>
      </c>
      <c r="O44" s="8">
        <f>SQRT((E44/E43)^2+(H44/H43)^2)*O43</f>
        <v>0.467938695486761</v>
      </c>
      <c r="P44" s="8"/>
      <c r="Q44" s="8"/>
    </row>
    <row r="45" spans="1:19" s="11" customFormat="1" ht="22.5">
      <c r="A45" s="11" t="s">
        <v>31</v>
      </c>
      <c r="C45" s="35"/>
      <c r="J45" s="12"/>
      <c r="L45" s="8">
        <f>syst!B23</f>
        <v>0.0608276253029822</v>
      </c>
      <c r="M45" s="8">
        <f>syst!B25</f>
        <v>0.11090536506409417</v>
      </c>
      <c r="N45" s="8">
        <f>SQRT((L45*O43)^2+O44^2)</f>
        <v>0.5277592679852556</v>
      </c>
      <c r="O45" s="8">
        <f>SQRT((M45*O43)^2+O44^2)</f>
        <v>0.6457353104510309</v>
      </c>
      <c r="P45" s="3"/>
      <c r="Q45" s="3"/>
      <c r="R45" s="1"/>
      <c r="S45" s="1"/>
    </row>
    <row r="46" spans="1:19" s="11" customFormat="1" ht="22.5">
      <c r="A46" s="11" t="s">
        <v>32</v>
      </c>
      <c r="C46" s="35"/>
      <c r="J46" s="12"/>
      <c r="L46" s="8">
        <f>syst!B24</f>
        <v>0.06103277807866851</v>
      </c>
      <c r="M46" s="8">
        <f>syst!B26</f>
        <v>0.1297112177107285</v>
      </c>
      <c r="N46" s="8">
        <f>SQRT((L46*O43)^2+O44^2)</f>
        <v>0.5281404161285688</v>
      </c>
      <c r="O46" s="8">
        <f>SQRT((M46*O43)^2+O44^2)</f>
        <v>0.6998702037591624</v>
      </c>
      <c r="P46" s="3"/>
      <c r="Q46" s="3"/>
      <c r="R46" s="1"/>
      <c r="S46" s="1"/>
    </row>
    <row r="47" spans="1:22" s="11" customFormat="1" ht="22.5">
      <c r="A47" s="11" t="s">
        <v>6</v>
      </c>
      <c r="B47" s="11">
        <f>B43</f>
        <v>-1.7</v>
      </c>
      <c r="C47" s="35" t="s">
        <v>39</v>
      </c>
      <c r="D47" s="11">
        <v>1</v>
      </c>
      <c r="E47" s="11">
        <f>fitModel!R86</f>
        <v>59.75</v>
      </c>
      <c r="F47" s="11">
        <v>0.128</v>
      </c>
      <c r="G47" s="11">
        <f>simPp!$H$20</f>
        <v>0.5107175506407275</v>
      </c>
      <c r="H47" s="11">
        <f>simPp!I20</f>
        <v>0.5647693817468106</v>
      </c>
      <c r="I47" s="11">
        <v>0.99</v>
      </c>
      <c r="J47" s="12">
        <f>J$43</f>
        <v>4531000000</v>
      </c>
      <c r="K47" s="11">
        <f>$K$43</f>
        <v>0.545</v>
      </c>
      <c r="L47" s="11">
        <f>$L$43</f>
        <v>42.2</v>
      </c>
      <c r="M47" s="12">
        <f>J47/K47/(L47*1000000)</f>
        <v>197.00856558980826</v>
      </c>
      <c r="N47" s="11">
        <f>N43</f>
        <v>0.79</v>
      </c>
      <c r="O47" s="8">
        <f>(E47/F47/G47/H47/I47/N47)/(J47/(L47*1E-27*K47))/D47*1E+33/(2*3.14156*C48)*V47</f>
        <v>1.1367427083432424</v>
      </c>
      <c r="P47" s="8"/>
      <c r="Q47" s="8"/>
      <c r="V47" s="11">
        <v>1.02</v>
      </c>
    </row>
    <row r="48" spans="1:17" s="11" customFormat="1" ht="22.5">
      <c r="A48" s="11" t="s">
        <v>24</v>
      </c>
      <c r="C48" s="35" t="s">
        <v>44</v>
      </c>
      <c r="E48" s="11">
        <f>fitModel!R87</f>
        <v>8.836477427874375</v>
      </c>
      <c r="H48" s="11">
        <f>simPp!I21</f>
        <v>0.008323452136254844</v>
      </c>
      <c r="J48" s="12"/>
      <c r="M48" s="12"/>
      <c r="O48" s="8">
        <f>SQRT((E48/E47)^2+(H48/H47)^2)*O47</f>
        <v>0.16894651523685814</v>
      </c>
      <c r="P48" s="8"/>
      <c r="Q48" s="8"/>
    </row>
    <row r="49" spans="1:17" s="11" customFormat="1" ht="22.5">
      <c r="A49" s="11" t="s">
        <v>31</v>
      </c>
      <c r="C49" s="35"/>
      <c r="J49" s="12"/>
      <c r="L49" s="8">
        <f>L45</f>
        <v>0.0608276253029822</v>
      </c>
      <c r="M49" s="8">
        <f>M45</f>
        <v>0.11090536506409417</v>
      </c>
      <c r="N49" s="8">
        <f>SQRT((L49*O47)^2+O48^2)</f>
        <v>0.18254863942268262</v>
      </c>
      <c r="O49" s="8">
        <f>SQRT((M49*O47)^2+O48^2)</f>
        <v>0.21080035110461212</v>
      </c>
      <c r="P49" s="8"/>
      <c r="Q49" s="8"/>
    </row>
    <row r="50" spans="1:17" s="11" customFormat="1" ht="22.5">
      <c r="A50" s="11" t="s">
        <v>32</v>
      </c>
      <c r="C50" s="35"/>
      <c r="J50" s="12"/>
      <c r="L50" s="8">
        <f>L46</f>
        <v>0.06103277807866851</v>
      </c>
      <c r="M50" s="8">
        <f>M46</f>
        <v>0.1297112177107285</v>
      </c>
      <c r="N50" s="8">
        <f>SQRT((L50*O47)^2+O48^2)</f>
        <v>0.18263710015957021</v>
      </c>
      <c r="O50" s="8">
        <f>SQRT((M50*O47)^2+O48^2)</f>
        <v>0.2242407647102193</v>
      </c>
      <c r="P50" s="8"/>
      <c r="Q50" s="8"/>
    </row>
    <row r="51" spans="1:22" s="11" customFormat="1" ht="22.5">
      <c r="A51" s="11" t="s">
        <v>6</v>
      </c>
      <c r="B51" s="11">
        <f>B43</f>
        <v>-1.7</v>
      </c>
      <c r="C51" s="35" t="s">
        <v>40</v>
      </c>
      <c r="D51" s="11">
        <v>1</v>
      </c>
      <c r="E51" s="11">
        <f>fitModel!R88</f>
        <v>13.25</v>
      </c>
      <c r="F51" s="11">
        <v>0.128</v>
      </c>
      <c r="G51" s="11">
        <f>simPp!$H$22</f>
        <v>0.43751536178177763</v>
      </c>
      <c r="H51" s="11">
        <f>simPp!I22</f>
        <v>0.5665091154625254</v>
      </c>
      <c r="I51" s="11">
        <v>0.99</v>
      </c>
      <c r="J51" s="12">
        <f>J$43</f>
        <v>4531000000</v>
      </c>
      <c r="K51" s="11">
        <f>$K$43</f>
        <v>0.545</v>
      </c>
      <c r="L51" s="11">
        <f>$L$43</f>
        <v>42.2</v>
      </c>
      <c r="M51" s="12">
        <f>J51/K51/(L51*1000000)</f>
        <v>197.00856558980826</v>
      </c>
      <c r="N51" s="11">
        <f>N43</f>
        <v>0.79</v>
      </c>
      <c r="O51" s="8">
        <f>(E51/F51/G51/H51/I51/N51)/(J51/(L51*1E-27*K51))/D51*1E+33/(2*3.14156*C52)*V51</f>
        <v>0.1609995217464329</v>
      </c>
      <c r="P51" s="8"/>
      <c r="Q51" s="8"/>
      <c r="V51" s="11">
        <v>0.933</v>
      </c>
    </row>
    <row r="52" spans="1:17" s="11" customFormat="1" ht="22.5">
      <c r="A52" s="11" t="s">
        <v>24</v>
      </c>
      <c r="C52" s="35" t="s">
        <v>45</v>
      </c>
      <c r="E52" s="11">
        <f>fitModel!R89</f>
        <v>5.107184482014854</v>
      </c>
      <c r="H52" s="11">
        <f>simPp!I23</f>
        <v>0.013829641558584769</v>
      </c>
      <c r="J52" s="12"/>
      <c r="M52" s="12"/>
      <c r="O52" s="8">
        <f>SQRT((E52/E51)^2+(H52/H51)^2)*O51</f>
        <v>0.062181262706381996</v>
      </c>
      <c r="P52" s="8"/>
      <c r="Q52" s="8"/>
    </row>
    <row r="53" spans="1:17" s="11" customFormat="1" ht="22.5">
      <c r="A53" s="11" t="s">
        <v>31</v>
      </c>
      <c r="C53" s="35"/>
      <c r="J53" s="12"/>
      <c r="L53" s="8">
        <f>L45</f>
        <v>0.0608276253029822</v>
      </c>
      <c r="M53" s="8">
        <f>M45</f>
        <v>0.11090536506409417</v>
      </c>
      <c r="N53" s="8">
        <f>SQRT((L53*O51)^2+O52^2)</f>
        <v>0.0629477288070796</v>
      </c>
      <c r="O53" s="8">
        <f>SQRT((M53*O51)^2+O52^2)</f>
        <v>0.06469417158903751</v>
      </c>
      <c r="P53" s="8"/>
      <c r="Q53" s="8"/>
    </row>
    <row r="54" spans="1:17" s="11" customFormat="1" ht="22.5">
      <c r="A54" s="11" t="s">
        <v>32</v>
      </c>
      <c r="C54" s="35"/>
      <c r="J54" s="12"/>
      <c r="L54" s="8">
        <f>L46</f>
        <v>0.06103277807866851</v>
      </c>
      <c r="M54" s="8">
        <f>M46</f>
        <v>0.1297112177107285</v>
      </c>
      <c r="N54" s="8">
        <f>SQRT((L54*O51)^2+O52^2)</f>
        <v>0.06295287589236653</v>
      </c>
      <c r="O54" s="8">
        <f>SQRT((M54*O51)^2+O52^2)</f>
        <v>0.065594417946602</v>
      </c>
      <c r="P54" s="8"/>
      <c r="Q54" s="8"/>
    </row>
    <row r="55" spans="1:22" s="11" customFormat="1" ht="22.5">
      <c r="A55" s="11" t="s">
        <v>6</v>
      </c>
      <c r="B55" s="11">
        <f>B43</f>
        <v>-1.7</v>
      </c>
      <c r="C55" s="35" t="s">
        <v>41</v>
      </c>
      <c r="D55" s="11">
        <v>1</v>
      </c>
      <c r="E55" s="11">
        <f>fitModel!R90</f>
        <v>9.75</v>
      </c>
      <c r="F55" s="11">
        <v>0.128</v>
      </c>
      <c r="G55" s="11">
        <f>simPp!$H$24</f>
        <v>0.4705410918981931</v>
      </c>
      <c r="H55" s="11">
        <f>simPp!I24</f>
        <v>0.5596774193548387</v>
      </c>
      <c r="I55" s="11">
        <v>0.99</v>
      </c>
      <c r="J55" s="12">
        <f>J$43</f>
        <v>4531000000</v>
      </c>
      <c r="K55" s="11">
        <f>$K$43</f>
        <v>0.545</v>
      </c>
      <c r="L55" s="11">
        <f>$L$43</f>
        <v>42.2</v>
      </c>
      <c r="M55" s="12">
        <f>J55/K55/(L55*1000000)</f>
        <v>197.00856558980826</v>
      </c>
      <c r="N55" s="11">
        <f>N43</f>
        <v>0.79</v>
      </c>
      <c r="O55" s="8">
        <f>(E55/F55/G55/H55/I55/N55)/(J55/(L55*1E-27*K55))/D55*1E+33/(2*3.14156*C56)*V55</f>
        <v>0.0769972206600712</v>
      </c>
      <c r="P55" s="8"/>
      <c r="Q55" s="8"/>
      <c r="V55" s="11">
        <v>0.902</v>
      </c>
    </row>
    <row r="56" spans="1:17" s="11" customFormat="1" ht="22.5">
      <c r="A56" s="11" t="s">
        <v>24</v>
      </c>
      <c r="C56" s="35" t="s">
        <v>46</v>
      </c>
      <c r="E56" s="11">
        <f>fitModel!R91</f>
        <v>4.092676385936225</v>
      </c>
      <c r="H56" s="11">
        <f>simPp!I25</f>
        <v>0.030045058080963156</v>
      </c>
      <c r="J56" s="12"/>
      <c r="M56" s="12"/>
      <c r="O56" s="8">
        <f>SQRT((E56/E55)^2+(H56/H55)^2)*O55</f>
        <v>0.03258372027312114</v>
      </c>
      <c r="P56" s="8"/>
      <c r="Q56" s="8"/>
    </row>
    <row r="57" spans="1:17" s="11" customFormat="1" ht="22.5">
      <c r="A57" s="11" t="s">
        <v>31</v>
      </c>
      <c r="C57" s="35"/>
      <c r="J57" s="12"/>
      <c r="L57" s="8">
        <f>L45</f>
        <v>0.0608276253029822</v>
      </c>
      <c r="M57" s="8">
        <f>M45</f>
        <v>0.11090536506409417</v>
      </c>
      <c r="N57" s="8">
        <f>SQRT((L57*O55)^2+O56^2)</f>
        <v>0.03291860481851708</v>
      </c>
      <c r="O57" s="8">
        <f>SQRT((M57*O55)^2+O56^2)</f>
        <v>0.033684124781658296</v>
      </c>
      <c r="P57" s="8"/>
      <c r="Q57" s="8"/>
    </row>
    <row r="58" spans="1:17" s="11" customFormat="1" ht="22.5">
      <c r="A58" s="11" t="s">
        <v>32</v>
      </c>
      <c r="C58" s="35"/>
      <c r="J58" s="12"/>
      <c r="L58" s="8">
        <f>L46</f>
        <v>0.06103277807866851</v>
      </c>
      <c r="M58" s="8">
        <f>M46</f>
        <v>0.1297112177107285</v>
      </c>
      <c r="N58" s="8">
        <f>SQRT((L58*O55)^2+O56^2)</f>
        <v>0.03292085596544279</v>
      </c>
      <c r="O58" s="8">
        <f>SQRT((M58*O55)^2+O56^2)</f>
        <v>0.03408000954457395</v>
      </c>
      <c r="P58" s="8"/>
      <c r="Q58" s="8"/>
    </row>
    <row r="59" spans="1:22" s="11" customFormat="1" ht="22.5">
      <c r="A59" s="11" t="s">
        <v>6</v>
      </c>
      <c r="B59" s="11">
        <f>B43</f>
        <v>-1.7</v>
      </c>
      <c r="C59" s="35" t="s">
        <v>42</v>
      </c>
      <c r="D59" s="11">
        <v>1</v>
      </c>
      <c r="E59" s="30">
        <f>fitModel!R92</f>
        <v>2.25</v>
      </c>
      <c r="F59" s="11">
        <v>0.128</v>
      </c>
      <c r="G59" s="11">
        <f>simPp!$H$26</f>
        <v>0.5355102817974104</v>
      </c>
      <c r="H59" s="11">
        <f>simPp!I26</f>
        <v>0.5777777777777777</v>
      </c>
      <c r="I59" s="11">
        <v>0.99</v>
      </c>
      <c r="J59" s="12">
        <f>J$43</f>
        <v>4531000000</v>
      </c>
      <c r="K59" s="11">
        <f>$K$43</f>
        <v>0.545</v>
      </c>
      <c r="L59" s="11">
        <f>$L$43</f>
        <v>42.2</v>
      </c>
      <c r="M59" s="12">
        <f>J59/K59/(L59*1000000)</f>
        <v>197.00856558980826</v>
      </c>
      <c r="N59" s="11">
        <f>N43</f>
        <v>0.79</v>
      </c>
      <c r="O59" s="8">
        <f>(E59/F59/G59/H59/I59/N59)/(J59/(L59*1E-27*K59))/D59*1E+33/(2*3.14156*C60)*V59</f>
        <v>0.01176292086211199</v>
      </c>
      <c r="P59" s="8"/>
      <c r="Q59" s="8"/>
      <c r="V59" s="11">
        <v>0.902</v>
      </c>
    </row>
    <row r="60" spans="1:17" s="11" customFormat="1" ht="22.5">
      <c r="A60" s="11" t="s">
        <v>24</v>
      </c>
      <c r="C60" s="35" t="s">
        <v>201</v>
      </c>
      <c r="E60" s="11">
        <f>fitModel!R93</f>
        <v>2.179449471770337</v>
      </c>
      <c r="H60" s="11">
        <f>simPp!I27</f>
        <v>0.08012336167697753</v>
      </c>
      <c r="J60" s="12"/>
      <c r="M60" s="12"/>
      <c r="O60" s="8">
        <f>SQRT((E60/E59)^2+(H60/H59)^2)*O59</f>
        <v>0.011510259235002453</v>
      </c>
      <c r="P60" s="8"/>
      <c r="Q60" s="8"/>
    </row>
    <row r="61" spans="1:17" s="11" customFormat="1" ht="22.5">
      <c r="A61" s="11" t="s">
        <v>31</v>
      </c>
      <c r="C61" s="35"/>
      <c r="J61" s="12"/>
      <c r="L61" s="8">
        <f>L45</f>
        <v>0.0608276253029822</v>
      </c>
      <c r="M61" s="8">
        <f>M45</f>
        <v>0.11090536506409417</v>
      </c>
      <c r="N61" s="8">
        <f>SQRT((L61*O59)^2+O60^2)</f>
        <v>0.011532476880255603</v>
      </c>
      <c r="O61" s="8">
        <f>SQRT((M61*O59)^2+O60^2)</f>
        <v>0.0115839532645648</v>
      </c>
      <c r="P61" s="8"/>
      <c r="Q61" s="8"/>
    </row>
    <row r="62" spans="1:18" s="11" customFormat="1" ht="22.5">
      <c r="A62" s="11" t="s">
        <v>32</v>
      </c>
      <c r="C62" s="35"/>
      <c r="J62" s="12"/>
      <c r="L62" s="8">
        <f>L46</f>
        <v>0.06103277807866851</v>
      </c>
      <c r="M62" s="8">
        <f>M46</f>
        <v>0.1297112177107285</v>
      </c>
      <c r="N62" s="8">
        <f>SQRT((L62*O59)^2+O60^2)</f>
        <v>0.011532626853900642</v>
      </c>
      <c r="O62" s="8">
        <f>SQRT((M62*O59)^2+O60^2)</f>
        <v>0.01161094659257974</v>
      </c>
      <c r="P62" s="8"/>
      <c r="Q62" s="8"/>
      <c r="R62" s="230" t="s">
        <v>342</v>
      </c>
    </row>
    <row r="63" spans="1:22" ht="22.5">
      <c r="A63" s="1" t="s">
        <v>6</v>
      </c>
      <c r="B63" s="1">
        <v>1.8</v>
      </c>
      <c r="C63" s="36" t="s">
        <v>38</v>
      </c>
      <c r="D63" s="1">
        <v>1.2</v>
      </c>
      <c r="E63" s="1">
        <f>fitModel!R94</f>
        <v>118.75</v>
      </c>
      <c r="F63" s="1">
        <v>0.127</v>
      </c>
      <c r="G63" s="1">
        <f>simPp!$H$28</f>
        <v>0.826733337598581</v>
      </c>
      <c r="H63" s="1">
        <f>simPp!I28</f>
        <v>0.8363871524035352</v>
      </c>
      <c r="I63" s="1">
        <v>0.95</v>
      </c>
      <c r="J63" s="16">
        <v>4021000000</v>
      </c>
      <c r="K63" s="1">
        <f>$K$43</f>
        <v>0.545</v>
      </c>
      <c r="L63" s="1">
        <f>$L$43</f>
        <v>42.2</v>
      </c>
      <c r="M63" s="16">
        <f>J63/K63/(L63*1000000)</f>
        <v>174.8336884212357</v>
      </c>
      <c r="N63" s="1">
        <v>0.79</v>
      </c>
      <c r="O63" s="3">
        <f>(E63/F63/G63/H63/I63/N63)/(J63/(L63*1E-27*K63))/D63*1E+33/(2*3.14156*C64)*V63</f>
        <v>3.1082442373662875</v>
      </c>
      <c r="P63" s="3">
        <f>(O43^3/O44^2+O63^3/O64^2)/(O43^2/O44^2+O63^2/O64^2)</f>
        <v>3.516303105072251</v>
      </c>
      <c r="Q63" s="3"/>
      <c r="R63" s="3">
        <f>(O43/O44^2+O63/O64^2)/(1/O44^2+1/O64^2)</f>
        <v>3.4070735159598815</v>
      </c>
      <c r="V63" s="1">
        <v>1.137</v>
      </c>
    </row>
    <row r="64" spans="1:19" ht="22.5">
      <c r="A64" s="1" t="s">
        <v>24</v>
      </c>
      <c r="C64" s="36" t="s">
        <v>43</v>
      </c>
      <c r="E64" s="1">
        <f>fitModel!R95</f>
        <v>12.489995996796797</v>
      </c>
      <c r="H64" s="1">
        <f>simPp!I29</f>
        <v>0.009494596053263738</v>
      </c>
      <c r="L64" s="231" t="s">
        <v>35</v>
      </c>
      <c r="M64" s="232" t="s">
        <v>36</v>
      </c>
      <c r="O64" s="3">
        <f>SQRT((E64/E63)^2+(H64/H63)^2)*O63</f>
        <v>0.32882036101329354</v>
      </c>
      <c r="P64" s="3">
        <f>(O43^2/O44+O63^2/O64)/(O43^2/O44^2+O63^2/O64^2)</f>
        <v>0.3916167841404926</v>
      </c>
      <c r="R64" s="3">
        <f>SQRT(1/(1/O44^2+1/O64^2))</f>
        <v>0.26903847454962354</v>
      </c>
      <c r="S64" s="1" t="s">
        <v>36</v>
      </c>
    </row>
    <row r="65" spans="1:19" ht="22.5">
      <c r="A65" s="1" t="s">
        <v>31</v>
      </c>
      <c r="C65" s="36"/>
      <c r="J65" s="16"/>
      <c r="L65" s="3">
        <f>syst!C23</f>
        <v>0.0608276253029822</v>
      </c>
      <c r="M65" s="3">
        <f>syst!C25</f>
        <v>0.1216552506059644</v>
      </c>
      <c r="N65" s="3">
        <f>SQRT((L65*O63)^2+O64^2)</f>
        <v>0.37930094134032866</v>
      </c>
      <c r="O65" s="3">
        <f>SQRT((M65*O63)^2+O64^2)</f>
        <v>0.5011071012826496</v>
      </c>
      <c r="P65" s="3"/>
      <c r="R65" s="3">
        <f>SQRT(1/(1/N45^2+1/N65^2))</f>
        <v>0.3080053947790133</v>
      </c>
      <c r="S65" s="3">
        <f>SQRT(1/(1/O45^2+1/O65^2))</f>
        <v>0.3958859339831892</v>
      </c>
    </row>
    <row r="66" spans="1:19" ht="22.5">
      <c r="A66" s="1" t="s">
        <v>32</v>
      </c>
      <c r="C66" s="36"/>
      <c r="J66" s="16"/>
      <c r="L66" s="3">
        <f>syst!C24</f>
        <v>0.06090155991434045</v>
      </c>
      <c r="M66" s="3">
        <f>syst!C26</f>
        <v>0.13895682782792648</v>
      </c>
      <c r="N66" s="3">
        <f>SQRT((L66*O63)^2+O64^2)</f>
        <v>0.37941554362178087</v>
      </c>
      <c r="O66" s="3">
        <f>SQRT((M66*O63)^2+O64^2)</f>
        <v>0.5428357004399167</v>
      </c>
      <c r="P66" s="3"/>
      <c r="R66" s="3">
        <f>SQRT(1/(1/N46^2+1/N66^2))</f>
        <v>0.3081425045779213</v>
      </c>
      <c r="S66" s="3">
        <f>SQRT(1/(1/O46^2+1/O66^2))</f>
        <v>0.42893600723616476</v>
      </c>
    </row>
    <row r="67" spans="1:22" ht="22.5">
      <c r="A67" s="1" t="s">
        <v>6</v>
      </c>
      <c r="B67" s="1">
        <f>B63</f>
        <v>1.8</v>
      </c>
      <c r="C67" s="36" t="s">
        <v>39</v>
      </c>
      <c r="D67" s="1">
        <v>1.2</v>
      </c>
      <c r="E67" s="1">
        <f>fitModel!R96</f>
        <v>123.75</v>
      </c>
      <c r="F67" s="1">
        <v>0.127</v>
      </c>
      <c r="G67" s="1">
        <f>simPp!$H$30</f>
        <v>0.7588501173102168</v>
      </c>
      <c r="H67" s="1">
        <f>simPp!I30</f>
        <v>0.8298387096774194</v>
      </c>
      <c r="I67" s="1">
        <v>0.95</v>
      </c>
      <c r="J67" s="16">
        <f>J$63</f>
        <v>4021000000</v>
      </c>
      <c r="K67" s="1">
        <f>$K$43</f>
        <v>0.545</v>
      </c>
      <c r="L67" s="1">
        <f>$L$43</f>
        <v>42.2</v>
      </c>
      <c r="M67" s="16">
        <f>J67/K67/(L67*1000000)</f>
        <v>174.8336884212357</v>
      </c>
      <c r="N67" s="1">
        <f>N63</f>
        <v>0.79</v>
      </c>
      <c r="O67" s="3">
        <f>(E67/F67/G67/H67/I67/N67)/(J67/(L67*1E-27*K67))/D67*1E+33/(2*3.14156*C68)*V67</f>
        <v>1.0635754088640756</v>
      </c>
      <c r="P67" s="3">
        <f>(O47^3/O48^2+O67^3/O68^2)/(O47^2/O48^2+O67^2/O68^2)</f>
        <v>1.089180045204396</v>
      </c>
      <c r="Q67" s="3"/>
      <c r="R67" s="3">
        <f>(O47/O48^2+O67/O68^2)/(1/O48^2+1/O68^2)</f>
        <v>1.0870118118510443</v>
      </c>
      <c r="V67" s="1">
        <v>1.02</v>
      </c>
    </row>
    <row r="68" spans="1:18" ht="22.5">
      <c r="A68" s="1" t="s">
        <v>24</v>
      </c>
      <c r="C68" s="36" t="s">
        <v>44</v>
      </c>
      <c r="E68" s="1">
        <f>fitModel!R97</f>
        <v>13.444329659748751</v>
      </c>
      <c r="H68" s="1">
        <f>simPp!I31</f>
        <v>0.007799911222506939</v>
      </c>
      <c r="O68" s="3">
        <f>SQRT((E68/E67)^2+(H68/H67)^2)*O67</f>
        <v>0.1159795909383487</v>
      </c>
      <c r="P68" s="3">
        <f>(O47^2/O48+O67^2/O68)/(O47^2/O48^2+O67^2/O68^2)</f>
        <v>0.1345151777972674</v>
      </c>
      <c r="R68" s="3">
        <f>SQRT(1/(1/O48^2+1/O68^2))</f>
        <v>0.09561724004082924</v>
      </c>
    </row>
    <row r="69" spans="1:19" ht="22.5">
      <c r="A69" s="1" t="s">
        <v>31</v>
      </c>
      <c r="C69" s="36"/>
      <c r="J69" s="16"/>
      <c r="L69" s="3">
        <f>L65</f>
        <v>0.0608276253029822</v>
      </c>
      <c r="M69" s="3">
        <f>M65</f>
        <v>0.1216552506059644</v>
      </c>
      <c r="N69" s="3">
        <f>SQRT((L69*O67)^2+O68^2)</f>
        <v>0.13280315628962333</v>
      </c>
      <c r="O69" s="3">
        <f>SQRT((M69*O67)^2+O68^2)</f>
        <v>0.1737610909820274</v>
      </c>
      <c r="P69" s="3"/>
      <c r="R69" s="3">
        <f>SQRT(1/(1/N49^2+1/N69^2))</f>
        <v>0.10739136751975917</v>
      </c>
      <c r="S69" s="3">
        <f>SQRT(1/(1/O49^2+1/O69^2))</f>
        <v>0.13408123539782119</v>
      </c>
    </row>
    <row r="70" spans="1:19" ht="22.5">
      <c r="A70" s="1" t="s">
        <v>32</v>
      </c>
      <c r="C70" s="36"/>
      <c r="J70" s="16"/>
      <c r="L70" s="3">
        <f>L66</f>
        <v>0.06090155991434045</v>
      </c>
      <c r="M70" s="3">
        <f>M66</f>
        <v>0.13895682782792648</v>
      </c>
      <c r="N70" s="3">
        <f>SQRT((L70*O67)^2+O68^2)</f>
        <v>0.13284148092497006</v>
      </c>
      <c r="O70" s="3">
        <f>SQRT((M70*O67)^2+O68^2)</f>
        <v>0.18786554873006708</v>
      </c>
      <c r="P70" s="3"/>
      <c r="R70" s="3">
        <f>SQRT(1/(1/N50^2+1/N70^2))</f>
        <v>0.10742964216919894</v>
      </c>
      <c r="S70" s="3">
        <f>SQRT(1/(1/O50^2+1/O70^2))</f>
        <v>0.14400653656060308</v>
      </c>
    </row>
    <row r="71" spans="1:22" ht="22.5">
      <c r="A71" s="1" t="s">
        <v>6</v>
      </c>
      <c r="B71" s="1">
        <f>B63</f>
        <v>1.8</v>
      </c>
      <c r="C71" s="36" t="s">
        <v>40</v>
      </c>
      <c r="D71" s="1">
        <v>1.2</v>
      </c>
      <c r="E71" s="1">
        <f>fitModel!R98</f>
        <v>35</v>
      </c>
      <c r="F71" s="1">
        <v>0.127</v>
      </c>
      <c r="G71" s="42">
        <f>simPp!$H$32</f>
        <v>0.6286824766373229</v>
      </c>
      <c r="H71" s="1">
        <f>simPp!I32</f>
        <v>0.8392857142857143</v>
      </c>
      <c r="I71" s="1">
        <v>0.95</v>
      </c>
      <c r="J71" s="16">
        <f>J$63</f>
        <v>4021000000</v>
      </c>
      <c r="K71" s="1">
        <f>$K$43</f>
        <v>0.545</v>
      </c>
      <c r="L71" s="1">
        <f>$L$43</f>
        <v>42.2</v>
      </c>
      <c r="M71" s="16">
        <f>J71/K71/(L71*1000000)</f>
        <v>174.8336884212357</v>
      </c>
      <c r="N71" s="1">
        <f>N63</f>
        <v>0.79</v>
      </c>
      <c r="O71" s="3">
        <f>(E71/F71/G71/H71/I71/N71)/(J71/(L71*1E-27*K71))/D71*1E+33/(2*3.14156*C72)*V71</f>
        <v>0.19702999911461264</v>
      </c>
      <c r="P71" s="3">
        <f>(O51^3/O52^2+O71^3/O72^2)/(O51^2/O52^2+O71^2/O72^2)</f>
        <v>0.1869853008174855</v>
      </c>
      <c r="Q71" s="3"/>
      <c r="R71" s="3">
        <f>(O51/O52^2+O71/O72^2)/(1/O52^2+1/O72^2)</f>
        <v>0.18381925544650193</v>
      </c>
      <c r="V71" s="1">
        <v>0.933</v>
      </c>
    </row>
    <row r="72" spans="1:18" ht="22.5">
      <c r="A72" s="1" t="s">
        <v>24</v>
      </c>
      <c r="C72" s="36" t="s">
        <v>45</v>
      </c>
      <c r="E72" s="1">
        <f>fitModel!R99</f>
        <v>8.386497083606084</v>
      </c>
      <c r="H72" s="1">
        <f>simPp!I33</f>
        <v>0.013125059342157774</v>
      </c>
      <c r="O72" s="3">
        <f>SQRT((E72/E71)^2+(H72/H71)^2)*O71</f>
        <v>0.047311627069197316</v>
      </c>
      <c r="P72" s="3">
        <f>(O51^2/O52+O71^2/O72)/(O51^2/O52^2+O71^2/O72^2)</f>
        <v>0.051457034365289304</v>
      </c>
      <c r="R72" s="3">
        <f>SQRT(1/(1/O52^2+1/O72^2))</f>
        <v>0.03765200969474555</v>
      </c>
    </row>
    <row r="73" spans="1:19" ht="22.5">
      <c r="A73" s="1" t="s">
        <v>31</v>
      </c>
      <c r="C73" s="36"/>
      <c r="J73" s="16"/>
      <c r="L73" s="3">
        <f>L65</f>
        <v>0.0608276253029822</v>
      </c>
      <c r="M73" s="3">
        <f>M65</f>
        <v>0.1216552506059644</v>
      </c>
      <c r="N73" s="3">
        <f>SQRT((L73*O71)^2+O72^2)</f>
        <v>0.048806014915929063</v>
      </c>
      <c r="O73" s="3">
        <f>SQRT((M73*O71)^2+O72^2)</f>
        <v>0.05303713981816089</v>
      </c>
      <c r="P73" s="3"/>
      <c r="R73" s="3">
        <f>SQRT(1/(1/N53^2+1/N73^2))</f>
        <v>0.03857062187629842</v>
      </c>
      <c r="S73" s="3">
        <f>SQRT(1/(1/O53^2+1/O73^2))</f>
        <v>0.04101566707316135</v>
      </c>
    </row>
    <row r="74" spans="1:19" ht="22.5">
      <c r="A74" s="1" t="s">
        <v>32</v>
      </c>
      <c r="C74" s="36"/>
      <c r="J74" s="16"/>
      <c r="L74" s="3">
        <f>L66</f>
        <v>0.06090155991434045</v>
      </c>
      <c r="M74" s="3">
        <f>M66</f>
        <v>0.13895682782792648</v>
      </c>
      <c r="N74" s="3">
        <f>SQRT((L74*O71)^2+O72^2)</f>
        <v>0.04880959413228971</v>
      </c>
      <c r="O74" s="3">
        <f>SQRT((M74*O71)^2+O72^2)</f>
        <v>0.05466243024195024</v>
      </c>
      <c r="P74" s="3"/>
      <c r="R74" s="3">
        <f>SQRT(1/(1/N54^2+1/N74^2))</f>
        <v>0.038573572581116</v>
      </c>
      <c r="S74" s="3">
        <f>SQRT(1/(1/O54^2+1/O74^2))</f>
        <v>0.041992711354720616</v>
      </c>
    </row>
    <row r="75" spans="1:22" ht="22.5">
      <c r="A75" s="1" t="s">
        <v>6</v>
      </c>
      <c r="B75" s="1">
        <f>B63</f>
        <v>1.8</v>
      </c>
      <c r="C75" s="36" t="s">
        <v>41</v>
      </c>
      <c r="D75" s="1">
        <v>1.2</v>
      </c>
      <c r="E75" s="1">
        <f>fitModel!R100</f>
        <v>12.5</v>
      </c>
      <c r="F75" s="1">
        <v>0.127</v>
      </c>
      <c r="G75" s="1">
        <f>simPp!$H$34</f>
        <v>0.6872477821592152</v>
      </c>
      <c r="H75" s="1">
        <f>simPp!I34</f>
        <v>0.8567073170731707</v>
      </c>
      <c r="I75" s="1">
        <v>0.95</v>
      </c>
      <c r="J75" s="16">
        <f>J$63</f>
        <v>4021000000</v>
      </c>
      <c r="K75" s="1">
        <f>$K$43</f>
        <v>0.545</v>
      </c>
      <c r="L75" s="1">
        <f>$L$43</f>
        <v>42.2</v>
      </c>
      <c r="M75" s="16">
        <f>J75/K75/(L75*1000000)</f>
        <v>174.8336884212357</v>
      </c>
      <c r="N75" s="1">
        <f>N63</f>
        <v>0.79</v>
      </c>
      <c r="O75" s="3">
        <f>(E75/F75/G75/H75/I75/N75)/(J75/(L75*1E-27*K75))/D75*1E+33/(2*3.14156*C76)*V75</f>
        <v>0.04354783264717917</v>
      </c>
      <c r="P75" s="3">
        <f>(O55^3/O56^2+O75^3/O76^2)/(O55^2/O56^2+O75^2/O76^2)</f>
        <v>0.05715353188613021</v>
      </c>
      <c r="Q75" s="3"/>
      <c r="R75" s="3">
        <f>(O55/O56^2+O75/O76^2)/(1/O56^2+1/O76^2)</f>
        <v>0.04956443560489269</v>
      </c>
      <c r="V75" s="1">
        <v>0.902</v>
      </c>
    </row>
    <row r="76" spans="1:18" ht="22.5">
      <c r="A76" s="1" t="s">
        <v>24</v>
      </c>
      <c r="C76" s="36" t="s">
        <v>46</v>
      </c>
      <c r="E76" s="1">
        <f>fitModel!R101</f>
        <v>4.358898943540674</v>
      </c>
      <c r="H76" s="1">
        <f>simPp!I35</f>
        <v>0.029506567359670683</v>
      </c>
      <c r="O76" s="3">
        <f>SQRT((E76/E75)^2+(H76/H75)^2)*O75</f>
        <v>0.01525953834355353</v>
      </c>
      <c r="P76" s="3">
        <f>(O55^2/O56+O75^2/O76)/(O55^2/O56^2+O75^2/O76^2)</f>
        <v>0.022306232555230027</v>
      </c>
      <c r="R76" s="3">
        <f>SQRT(1/(1/O56^2+1/O76^2))</f>
        <v>0.013819179467631969</v>
      </c>
    </row>
    <row r="77" spans="1:19" ht="22.5">
      <c r="A77" s="1" t="s">
        <v>31</v>
      </c>
      <c r="C77" s="36"/>
      <c r="J77" s="16"/>
      <c r="L77" s="3">
        <f>L65</f>
        <v>0.0608276253029822</v>
      </c>
      <c r="M77" s="3">
        <f>M65</f>
        <v>0.1216552506059644</v>
      </c>
      <c r="N77" s="3">
        <f>SQRT((L77*O75)^2+O76^2)</f>
        <v>0.015487744873059064</v>
      </c>
      <c r="O77" s="3">
        <f>SQRT((M77*O75)^2+O76^2)</f>
        <v>0.01615303171657655</v>
      </c>
      <c r="P77" s="3"/>
      <c r="R77" s="3">
        <f>SQRT(1/(1/N57^2+1/N77^2))</f>
        <v>0.01401415280258398</v>
      </c>
      <c r="S77" s="3">
        <f>SQRT(1/(1/O57^2+1/O77^2))</f>
        <v>0.014564918556518515</v>
      </c>
    </row>
    <row r="78" spans="1:19" ht="22.5">
      <c r="A78" s="1" t="s">
        <v>32</v>
      </c>
      <c r="C78" s="36"/>
      <c r="J78" s="16"/>
      <c r="L78" s="3">
        <f>L66</f>
        <v>0.06090155991434045</v>
      </c>
      <c r="M78" s="3">
        <f>M66</f>
        <v>0.13895682782792648</v>
      </c>
      <c r="N78" s="3">
        <f>SQRT((L78*O75)^2+O76^2)</f>
        <v>0.015488295870641215</v>
      </c>
      <c r="O78" s="3">
        <f>SQRT((M78*O75)^2+O76^2)</f>
        <v>0.01641558293626768</v>
      </c>
      <c r="P78" s="3"/>
      <c r="R78" s="3">
        <f>SQRT(1/(1/N58^2+1/N78^2))</f>
        <v>0.014014734703268866</v>
      </c>
      <c r="S78" s="3">
        <f>SQRT(1/(1/O58^2+1/O78^2))</f>
        <v>0.01478933277630093</v>
      </c>
    </row>
    <row r="79" spans="1:22" ht="22.5">
      <c r="A79" s="1" t="s">
        <v>6</v>
      </c>
      <c r="B79" s="1">
        <f>B63</f>
        <v>1.8</v>
      </c>
      <c r="C79" s="36" t="s">
        <v>42</v>
      </c>
      <c r="D79" s="1">
        <v>1.2</v>
      </c>
      <c r="E79" s="185">
        <f>fitModel!R102</f>
        <v>3</v>
      </c>
      <c r="F79" s="1">
        <v>0.127</v>
      </c>
      <c r="G79" s="1">
        <f>simPp!$H$36</f>
        <v>0.786219290156298</v>
      </c>
      <c r="H79" s="1">
        <f>simPp!I36</f>
        <v>0.8270676691729323</v>
      </c>
      <c r="I79" s="1">
        <v>0.95</v>
      </c>
      <c r="J79" s="16">
        <f>J$63</f>
        <v>4021000000</v>
      </c>
      <c r="K79" s="1">
        <f>$K$43</f>
        <v>0.545</v>
      </c>
      <c r="L79" s="1">
        <f>$L$43</f>
        <v>42.2</v>
      </c>
      <c r="M79" s="16">
        <f>J79/K79/(L79*1000000)</f>
        <v>174.8336884212357</v>
      </c>
      <c r="N79" s="1">
        <f>N63</f>
        <v>0.79</v>
      </c>
      <c r="O79" s="3">
        <f>(E79/F79/G79/H79/I79/N79)/(J79/(L79*1E-27*K79))/D79*1E+33/(2*3.14156*C80)*V79</f>
        <v>0.00736028110634257</v>
      </c>
      <c r="P79" s="3">
        <f>(O59^3/O60^2+O79^3/O80^2)/(O59^2/O60^2+O79^2/O80^2)</f>
        <v>0.008775376350727131</v>
      </c>
      <c r="R79" s="3">
        <f>(O59/O60^2+O79/O80^2)/(1/O60^2+1/O80^2)</f>
        <v>0.008049027273873658</v>
      </c>
      <c r="V79" s="1">
        <v>0.902</v>
      </c>
    </row>
    <row r="80" spans="1:18" ht="22.5">
      <c r="A80" s="1" t="s">
        <v>24</v>
      </c>
      <c r="C80" s="36" t="s">
        <v>201</v>
      </c>
      <c r="E80" s="1">
        <f>fitModel!R103</f>
        <v>2</v>
      </c>
      <c r="H80" s="1">
        <f>simPp!I37</f>
        <v>0.07885780813309409</v>
      </c>
      <c r="O80" s="3">
        <f>SQRT((E80/E79)^2+(H80/H79)^2)*O79</f>
        <v>0.00495678377579739</v>
      </c>
      <c r="P80" s="3">
        <f>(O59^2/O60+O79^2/O80)/(O59^2/O60^2+O79^2/O80^2)</f>
        <v>0.007063200033080129</v>
      </c>
      <c r="R80" s="3">
        <f>SQRT(1/(1/O60^2+1/O80^2))</f>
        <v>0.004552585670805943</v>
      </c>
    </row>
    <row r="81" spans="1:19" ht="22.5">
      <c r="A81" s="1" t="s">
        <v>31</v>
      </c>
      <c r="C81" s="36"/>
      <c r="J81" s="16"/>
      <c r="L81" s="3">
        <f>L65</f>
        <v>0.0608276253029822</v>
      </c>
      <c r="M81" s="3">
        <f>M65</f>
        <v>0.1216552506059644</v>
      </c>
      <c r="N81" s="3">
        <f>SQRT((L81*O79)^2+O80^2)</f>
        <v>0.004976961746937227</v>
      </c>
      <c r="O81" s="3">
        <f>SQRT((M81*O79)^2+O80^2)</f>
        <v>0.00503701069304812</v>
      </c>
      <c r="P81" s="3"/>
      <c r="R81" s="3">
        <f>SQRT(1/(1/N61^2+1/N81^2))</f>
        <v>0.004569589624542314</v>
      </c>
      <c r="S81" s="3">
        <f>SQRT(1/(1/O61^2+1/O81^2))</f>
        <v>0.004619217419015795</v>
      </c>
    </row>
    <row r="82" spans="1:19" ht="22.5">
      <c r="A82" s="1" t="s">
        <v>32</v>
      </c>
      <c r="C82" s="36"/>
      <c r="J82" s="16"/>
      <c r="L82" s="3">
        <f>L66</f>
        <v>0.06090155991434045</v>
      </c>
      <c r="M82" s="3">
        <f>M66</f>
        <v>0.13895682782792648</v>
      </c>
      <c r="N82" s="3">
        <f>SQRT((L82*O79)^2+O80^2)</f>
        <v>0.004977010728752564</v>
      </c>
      <c r="O82" s="3">
        <f>SQRT((M82*O79)^2+O80^2)</f>
        <v>0.005061200065830485</v>
      </c>
      <c r="P82" s="3"/>
      <c r="R82" s="3">
        <f>SQRT(1/(1/N62^2+1/N82^2))</f>
        <v>0.004569636866198379</v>
      </c>
      <c r="S82" s="3">
        <f>SQRT(1/(1/O62^2+1/O82^2))</f>
        <v>0.00463957901042579</v>
      </c>
    </row>
    <row r="83" spans="1:16" ht="22.5">
      <c r="A83" s="9" t="s">
        <v>5</v>
      </c>
      <c r="B83" s="9">
        <v>-1.7</v>
      </c>
      <c r="C83" s="37" t="s">
        <v>38</v>
      </c>
      <c r="D83" s="9">
        <v>1</v>
      </c>
      <c r="E83" s="9">
        <v>15</v>
      </c>
      <c r="F83" s="9">
        <v>0.1265</v>
      </c>
      <c r="G83" s="9">
        <v>0.468</v>
      </c>
      <c r="H83" s="9">
        <v>0.6</v>
      </c>
      <c r="I83" s="9">
        <v>0.99</v>
      </c>
      <c r="J83" s="38">
        <v>1450000000</v>
      </c>
      <c r="K83" s="9">
        <v>0.53</v>
      </c>
      <c r="L83" s="9">
        <v>42.1</v>
      </c>
      <c r="M83" s="38">
        <f>J83/K83/(L83*1000000)</f>
        <v>64.98453816160982</v>
      </c>
      <c r="N83" s="9">
        <v>0.74</v>
      </c>
      <c r="O83" s="39">
        <f>(E83/F83/G83/H83/I83/N83)/(J83/(L83*1E-27*K83))/D83*1E+33/(2*3.14156*C84)</f>
        <v>2.823457925241388</v>
      </c>
      <c r="P83" s="3"/>
    </row>
    <row r="84" spans="1:16" ht="22.5">
      <c r="A84" s="9" t="s">
        <v>24</v>
      </c>
      <c r="B84" s="9"/>
      <c r="C84" s="37" t="s">
        <v>43</v>
      </c>
      <c r="D84" s="9"/>
      <c r="E84" s="9">
        <v>5</v>
      </c>
      <c r="F84" s="9"/>
      <c r="G84" s="9"/>
      <c r="H84" s="9"/>
      <c r="I84" s="9"/>
      <c r="J84" s="38"/>
      <c r="K84" s="9"/>
      <c r="L84" s="9"/>
      <c r="M84" s="38"/>
      <c r="N84" s="9"/>
      <c r="O84" s="39">
        <f>E84/E83*O83</f>
        <v>0.9411526417471292</v>
      </c>
      <c r="P84" s="3"/>
    </row>
    <row r="85" spans="1:16" ht="22.5">
      <c r="A85" s="9" t="s">
        <v>5</v>
      </c>
      <c r="B85" s="9">
        <v>-1.7</v>
      </c>
      <c r="C85" s="37" t="s">
        <v>39</v>
      </c>
      <c r="D85" s="9">
        <v>1</v>
      </c>
      <c r="E85" s="9">
        <v>31</v>
      </c>
      <c r="F85" s="9">
        <v>0.1265</v>
      </c>
      <c r="G85" s="9">
        <v>0.468</v>
      </c>
      <c r="H85" s="9">
        <v>0.6</v>
      </c>
      <c r="I85" s="9">
        <v>0.99</v>
      </c>
      <c r="J85" s="38">
        <v>1450000000</v>
      </c>
      <c r="K85" s="9">
        <v>0.53</v>
      </c>
      <c r="L85" s="9">
        <v>42.1</v>
      </c>
      <c r="M85" s="38">
        <f>J85/K85/(L85*1000000)</f>
        <v>64.98453816160982</v>
      </c>
      <c r="N85" s="9">
        <v>0.74</v>
      </c>
      <c r="O85" s="39">
        <f>(E85/F85/G85/H85/I85/N85)/(J85/(L85*1E-27*K85))/D85*1E+33/(2*3.14156*C86)</f>
        <v>1.9450487929440674</v>
      </c>
      <c r="P85" s="3"/>
    </row>
    <row r="86" spans="1:16" ht="22.5">
      <c r="A86" s="9" t="s">
        <v>24</v>
      </c>
      <c r="B86" s="9"/>
      <c r="C86" s="37" t="s">
        <v>44</v>
      </c>
      <c r="D86" s="9"/>
      <c r="E86" s="9">
        <v>6.5</v>
      </c>
      <c r="F86" s="9"/>
      <c r="G86" s="9"/>
      <c r="H86" s="9"/>
      <c r="I86" s="9"/>
      <c r="J86" s="38"/>
      <c r="K86" s="9"/>
      <c r="L86" s="9"/>
      <c r="M86" s="38"/>
      <c r="N86" s="9"/>
      <c r="O86" s="39">
        <f>E86/E85*O85</f>
        <v>0.4078328114237561</v>
      </c>
      <c r="P86" s="3"/>
    </row>
    <row r="87" spans="1:16" ht="22.5">
      <c r="A87" s="9" t="s">
        <v>5</v>
      </c>
      <c r="B87" s="9">
        <v>-1.7</v>
      </c>
      <c r="C87" s="37" t="s">
        <v>40</v>
      </c>
      <c r="D87" s="9">
        <v>1</v>
      </c>
      <c r="E87" s="9">
        <v>10</v>
      </c>
      <c r="F87" s="9">
        <v>0.1265</v>
      </c>
      <c r="G87" s="9">
        <v>0.468</v>
      </c>
      <c r="H87" s="9">
        <v>0.6</v>
      </c>
      <c r="I87" s="9">
        <v>0.99</v>
      </c>
      <c r="J87" s="38">
        <v>1450000000</v>
      </c>
      <c r="K87" s="9">
        <v>0.53</v>
      </c>
      <c r="L87" s="9">
        <v>42.1</v>
      </c>
      <c r="M87" s="38">
        <f>J87/K87/(L87*1000000)</f>
        <v>64.98453816160982</v>
      </c>
      <c r="N87" s="9">
        <v>0.74</v>
      </c>
      <c r="O87" s="39">
        <f>(E87/F87/G87/H87/I87/N87)/(J87/(L87*1E-27*K87))/D87*1E+33/(2*3.14156*C88)</f>
        <v>0.3764610566988517</v>
      </c>
      <c r="P87" s="3"/>
    </row>
    <row r="88" spans="1:16" ht="22.5">
      <c r="A88" s="9" t="s">
        <v>24</v>
      </c>
      <c r="B88" s="9"/>
      <c r="C88" s="37" t="s">
        <v>45</v>
      </c>
      <c r="D88" s="9"/>
      <c r="E88" s="9">
        <v>4</v>
      </c>
      <c r="F88" s="9"/>
      <c r="G88" s="9"/>
      <c r="H88" s="9"/>
      <c r="I88" s="9"/>
      <c r="J88" s="38"/>
      <c r="K88" s="9"/>
      <c r="L88" s="9"/>
      <c r="M88" s="38"/>
      <c r="N88" s="9"/>
      <c r="O88" s="39">
        <f>E88/E87*O87</f>
        <v>0.1505844226795407</v>
      </c>
      <c r="P88" s="3"/>
    </row>
    <row r="89" spans="1:16" ht="22.5">
      <c r="A89" s="9" t="s">
        <v>5</v>
      </c>
      <c r="B89" s="9">
        <v>-1.7</v>
      </c>
      <c r="C89" s="37" t="s">
        <v>41</v>
      </c>
      <c r="D89" s="9">
        <v>1</v>
      </c>
      <c r="E89" s="9">
        <v>8</v>
      </c>
      <c r="F89" s="9">
        <v>0.1265</v>
      </c>
      <c r="G89" s="9">
        <v>0.468</v>
      </c>
      <c r="H89" s="9">
        <v>0.6</v>
      </c>
      <c r="I89" s="9">
        <v>0.99</v>
      </c>
      <c r="J89" s="38">
        <v>1450000000</v>
      </c>
      <c r="K89" s="9">
        <v>0.53</v>
      </c>
      <c r="L89" s="9">
        <v>42.1</v>
      </c>
      <c r="M89" s="38">
        <f>J89/K89/(L89*1000000)</f>
        <v>64.98453816160982</v>
      </c>
      <c r="N89" s="9">
        <v>0.74</v>
      </c>
      <c r="O89" s="39">
        <f>(E89/F89/G89/H89/I89/N89)/(J89/(L89*1E-27*K89))/D89*1E+33/(2*3.14156*C90)</f>
        <v>0.21512060382791526</v>
      </c>
      <c r="P89" s="3"/>
    </row>
    <row r="90" spans="1:16" ht="22.5">
      <c r="A90" s="9" t="s">
        <v>24</v>
      </c>
      <c r="B90" s="9"/>
      <c r="C90" s="37" t="s">
        <v>46</v>
      </c>
      <c r="D90" s="9"/>
      <c r="E90" s="9">
        <v>2.8</v>
      </c>
      <c r="F90" s="9"/>
      <c r="G90" s="9"/>
      <c r="H90" s="9"/>
      <c r="I90" s="9"/>
      <c r="J90" s="38"/>
      <c r="K90" s="9"/>
      <c r="L90" s="9"/>
      <c r="M90" s="38"/>
      <c r="N90" s="9"/>
      <c r="O90" s="39">
        <f>E90/E89*O89</f>
        <v>0.07529221133977033</v>
      </c>
      <c r="P90" s="3"/>
    </row>
    <row r="91" spans="2:16" ht="23.25">
      <c r="B91" s="2" t="s">
        <v>7</v>
      </c>
      <c r="C91" s="2"/>
      <c r="D91" s="2"/>
      <c r="O91" s="3"/>
      <c r="P91" s="8"/>
    </row>
    <row r="92" spans="2:16" ht="22.5">
      <c r="B92" s="3">
        <v>0.0588</v>
      </c>
      <c r="C92" s="3"/>
      <c r="O92" s="3"/>
      <c r="P92" s="8"/>
    </row>
    <row r="93" spans="6:21" ht="26.25" customHeight="1">
      <c r="F93" s="5" t="s">
        <v>10</v>
      </c>
      <c r="H93" s="5" t="s">
        <v>9</v>
      </c>
      <c r="L93" s="5" t="s">
        <v>23</v>
      </c>
      <c r="M93" s="5" t="s">
        <v>20</v>
      </c>
      <c r="O93" s="2" t="s">
        <v>26</v>
      </c>
      <c r="T93" s="5"/>
      <c r="U93" s="5"/>
    </row>
    <row r="94" spans="2:22" s="2" customFormat="1" ht="21" customHeight="1">
      <c r="B94" s="2" t="s">
        <v>0</v>
      </c>
      <c r="C94" s="2" t="s">
        <v>37</v>
      </c>
      <c r="D94" s="2" t="s">
        <v>1</v>
      </c>
      <c r="E94" s="2" t="s">
        <v>2</v>
      </c>
      <c r="F94" s="2" t="s">
        <v>3</v>
      </c>
      <c r="G94" s="2" t="s">
        <v>11</v>
      </c>
      <c r="H94" s="2" t="s">
        <v>8</v>
      </c>
      <c r="I94" s="2" t="s">
        <v>4</v>
      </c>
      <c r="J94" s="2" t="s">
        <v>12</v>
      </c>
      <c r="K94" s="2" t="s">
        <v>13</v>
      </c>
      <c r="L94" s="2" t="s">
        <v>22</v>
      </c>
      <c r="M94" s="2" t="s">
        <v>21</v>
      </c>
      <c r="N94" s="2" t="s">
        <v>14</v>
      </c>
      <c r="O94" s="2" t="s">
        <v>27</v>
      </c>
      <c r="Q94" s="6"/>
      <c r="V94" s="2" t="s">
        <v>308</v>
      </c>
    </row>
    <row r="98" ht="22.5">
      <c r="E98" s="4"/>
    </row>
    <row r="99" ht="22.5">
      <c r="E99" s="4"/>
    </row>
    <row r="100" ht="22.5">
      <c r="E100" s="4"/>
    </row>
    <row r="101" ht="22.5">
      <c r="E101" s="4"/>
    </row>
    <row r="102" ht="22.5">
      <c r="E102" s="4"/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X44"/>
  <sheetViews>
    <sheetView workbookViewId="0" topLeftCell="A1">
      <selection activeCell="D3" sqref="D3:D4"/>
    </sheetView>
  </sheetViews>
  <sheetFormatPr defaultColWidth="9.140625" defaultRowHeight="12.75"/>
  <cols>
    <col min="1" max="1" width="11.00390625" style="1" customWidth="1"/>
    <col min="2" max="2" width="6.57421875" style="1" customWidth="1"/>
    <col min="3" max="3" width="5.00390625" style="1" customWidth="1"/>
    <col min="4" max="4" width="7.421875" style="1" customWidth="1"/>
    <col min="5" max="5" width="6.7109375" style="1" customWidth="1"/>
    <col min="6" max="6" width="6.421875" style="1" hidden="1" customWidth="1"/>
    <col min="7" max="7" width="7.421875" style="1" customWidth="1"/>
    <col min="8" max="8" width="8.1406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10.57421875" style="1" customWidth="1"/>
    <col min="13" max="13" width="12.7109375" style="1" customWidth="1"/>
    <col min="14" max="14" width="7.8515625" style="1" customWidth="1"/>
    <col min="15" max="15" width="11.421875" style="1" customWidth="1"/>
    <col min="16" max="16" width="11.00390625" style="1" customWidth="1"/>
    <col min="17" max="17" width="7.7109375" style="1" customWidth="1"/>
    <col min="18" max="18" width="11.57421875" style="1" customWidth="1"/>
    <col min="19" max="19" width="10.57421875" style="1" customWidth="1"/>
    <col min="20" max="16384" width="10.421875" style="1" customWidth="1"/>
  </cols>
  <sheetData>
    <row r="1" spans="4:20" ht="26.25" customHeight="1">
      <c r="D1" s="1" t="s">
        <v>67</v>
      </c>
      <c r="E1" s="1" t="s">
        <v>68</v>
      </c>
      <c r="F1" s="1" t="s">
        <v>69</v>
      </c>
      <c r="G1" s="1" t="s">
        <v>70</v>
      </c>
      <c r="H1" s="5" t="s">
        <v>10</v>
      </c>
      <c r="J1" s="5" t="s">
        <v>9</v>
      </c>
      <c r="M1" s="1" t="s">
        <v>71</v>
      </c>
      <c r="N1" s="5" t="s">
        <v>23</v>
      </c>
      <c r="O1" s="2"/>
      <c r="T1" s="5" t="s">
        <v>36</v>
      </c>
    </row>
    <row r="2" spans="2:24" s="2" customFormat="1" ht="21" customHeight="1">
      <c r="B2" s="2" t="s">
        <v>0</v>
      </c>
      <c r="C2" s="2" t="s">
        <v>1</v>
      </c>
      <c r="D2" s="2" t="s">
        <v>72</v>
      </c>
      <c r="E2" s="2" t="s">
        <v>73</v>
      </c>
      <c r="F2" s="2" t="s">
        <v>74</v>
      </c>
      <c r="G2" s="2" t="s">
        <v>74</v>
      </c>
      <c r="H2" s="2" t="s">
        <v>3</v>
      </c>
      <c r="I2" s="2" t="s">
        <v>11</v>
      </c>
      <c r="J2" s="2" t="s">
        <v>8</v>
      </c>
      <c r="K2" s="2" t="s">
        <v>4</v>
      </c>
      <c r="L2" s="2" t="s">
        <v>12</v>
      </c>
      <c r="M2" s="2" t="s">
        <v>75</v>
      </c>
      <c r="N2" s="2" t="s">
        <v>22</v>
      </c>
      <c r="O2" s="2" t="s">
        <v>76</v>
      </c>
      <c r="P2" s="2" t="s">
        <v>15</v>
      </c>
      <c r="Q2" s="2" t="s">
        <v>77</v>
      </c>
      <c r="R2" s="2" t="s">
        <v>78</v>
      </c>
      <c r="S2" s="2" t="s">
        <v>79</v>
      </c>
      <c r="T2" s="2" t="s">
        <v>193</v>
      </c>
      <c r="U2" s="2" t="s">
        <v>308</v>
      </c>
      <c r="W2" s="2" t="s">
        <v>343</v>
      </c>
      <c r="X2" s="2" t="s">
        <v>344</v>
      </c>
    </row>
    <row r="3" spans="1:21" ht="22.5">
      <c r="A3" s="14" t="s">
        <v>80</v>
      </c>
      <c r="B3" s="14">
        <v>-1.7</v>
      </c>
      <c r="C3" s="14">
        <v>1</v>
      </c>
      <c r="D3" s="14">
        <v>7.58</v>
      </c>
      <c r="E3" s="14">
        <f>fitModel!R58</f>
        <v>760.25</v>
      </c>
      <c r="F3" s="14">
        <f>G8+G10+G12+G14</f>
        <v>0.8800000000000001</v>
      </c>
      <c r="G3" s="14">
        <f>G8+G10+G12+G14</f>
        <v>0.8800000000000001</v>
      </c>
      <c r="H3" s="14">
        <v>0.128</v>
      </c>
      <c r="I3" s="14">
        <f>simDau!$H$2</f>
        <v>0.709601535842548</v>
      </c>
      <c r="J3" s="14">
        <f>simDau!$K$2</f>
        <v>0.5693496543735754</v>
      </c>
      <c r="K3" s="14">
        <v>0.99</v>
      </c>
      <c r="L3" s="15">
        <v>2750000000</v>
      </c>
      <c r="M3" s="14">
        <v>0.94</v>
      </c>
      <c r="N3" s="14">
        <v>2180</v>
      </c>
      <c r="O3" s="7">
        <f>(E3/H3/I3/J3/K3)/L3*10^6/C3*M3*U3</f>
        <v>5.152035637423399</v>
      </c>
      <c r="P3" s="204">
        <f>O3/(O$41/N$37)/D3</f>
        <v>1.1416129610567145</v>
      </c>
      <c r="Q3" s="3"/>
      <c r="R3" s="45">
        <v>0.096</v>
      </c>
      <c r="S3" s="45"/>
      <c r="U3" s="1">
        <v>1.015</v>
      </c>
    </row>
    <row r="4" spans="1:19" ht="22.5">
      <c r="A4" s="14" t="s">
        <v>24</v>
      </c>
      <c r="B4" s="14">
        <f>B3</f>
        <v>-1.7</v>
      </c>
      <c r="C4" s="14">
        <v>1</v>
      </c>
      <c r="D4" s="14">
        <v>0.3</v>
      </c>
      <c r="E4" s="14">
        <f>fitModel!R59</f>
        <v>31.89566323708183</v>
      </c>
      <c r="F4" s="14"/>
      <c r="G4" s="14"/>
      <c r="H4" s="14"/>
      <c r="I4" s="14"/>
      <c r="J4" s="14"/>
      <c r="K4" s="14"/>
      <c r="L4" s="15"/>
      <c r="M4" s="14">
        <v>0.02</v>
      </c>
      <c r="N4" s="14"/>
      <c r="O4" s="46">
        <f>SQRT((E4/E3)^2+(M4/M3)^2)*O3</f>
        <v>0.2423564063862871</v>
      </c>
      <c r="P4" s="7">
        <f>SQRT((O4/O3)^2+(D4/D3)^2)*P3</f>
        <v>0.07018136266775848</v>
      </c>
      <c r="Q4" s="3"/>
      <c r="R4" s="45">
        <f>SQRT(P4^2+(R3*P3)^2)</f>
        <v>0.13014013045403688</v>
      </c>
      <c r="S4" s="45"/>
    </row>
    <row r="5" spans="1:21" s="11" customFormat="1" ht="22.5">
      <c r="A5" s="11" t="s">
        <v>81</v>
      </c>
      <c r="B5" s="142">
        <f>B3</f>
        <v>-1.7</v>
      </c>
      <c r="C5" s="11">
        <v>1</v>
      </c>
      <c r="D5" s="11">
        <v>3.6</v>
      </c>
      <c r="E5" s="11">
        <v>0</v>
      </c>
      <c r="F5" s="11">
        <v>0.88</v>
      </c>
      <c r="G5" s="11">
        <v>0.148</v>
      </c>
      <c r="H5" s="11">
        <v>0.128</v>
      </c>
      <c r="I5" s="11">
        <f aca="true" t="shared" si="0" ref="I5:J14">I$3</f>
        <v>0.709601535842548</v>
      </c>
      <c r="J5" s="11">
        <f t="shared" si="0"/>
        <v>0.5693496543735754</v>
      </c>
      <c r="K5" s="11">
        <v>0.99</v>
      </c>
      <c r="L5" s="12">
        <f aca="true" t="shared" si="1" ref="L5:L14">L$3</f>
        <v>2750000000</v>
      </c>
      <c r="M5" s="11">
        <f>1</f>
        <v>1</v>
      </c>
      <c r="N5" s="11">
        <v>2180</v>
      </c>
      <c r="O5" s="7">
        <f>(E5/H5/I5/J5/K5)/L5*10^6/C5*M5*U5</f>
        <v>0</v>
      </c>
      <c r="P5" s="203">
        <f>O5/(O$41/N$37)/D5/(G5/G$3)</f>
        <v>0</v>
      </c>
      <c r="Q5" s="8"/>
      <c r="U5" s="1">
        <f>U3</f>
        <v>1.015</v>
      </c>
    </row>
    <row r="6" spans="1:17" s="11" customFormat="1" ht="22.5">
      <c r="A6" s="47" t="s">
        <v>24</v>
      </c>
      <c r="B6" s="142">
        <f>B3</f>
        <v>-1.7</v>
      </c>
      <c r="C6" s="11">
        <v>1</v>
      </c>
      <c r="D6" s="11">
        <v>0.25</v>
      </c>
      <c r="E6" s="11">
        <v>8</v>
      </c>
      <c r="L6" s="12"/>
      <c r="O6" s="8" t="e">
        <f>E6/E5*O5</f>
        <v>#DIV/0!</v>
      </c>
      <c r="P6" s="8" t="e">
        <f>O6/O5*P5</f>
        <v>#DIV/0!</v>
      </c>
      <c r="Q6" s="8"/>
    </row>
    <row r="7" spans="1:19" ht="22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4"/>
      <c r="O7" s="7"/>
      <c r="P7" s="7"/>
      <c r="Q7" s="3"/>
      <c r="R7" s="45"/>
      <c r="S7" s="45"/>
    </row>
    <row r="8" spans="1:24" s="49" customFormat="1" ht="22.5">
      <c r="A8" s="48" t="s">
        <v>82</v>
      </c>
      <c r="B8" s="49">
        <f>B3</f>
        <v>-1.7</v>
      </c>
      <c r="C8" s="49">
        <v>1</v>
      </c>
      <c r="D8" s="49">
        <v>15.37</v>
      </c>
      <c r="E8" s="49">
        <f>fitModel!R60</f>
        <v>384.75</v>
      </c>
      <c r="F8" s="49">
        <f>G8+G10+G12+G14</f>
        <v>0.8800000000000001</v>
      </c>
      <c r="G8" s="49">
        <v>0.2</v>
      </c>
      <c r="H8" s="49">
        <v>0.128</v>
      </c>
      <c r="I8" s="49">
        <f t="shared" si="0"/>
        <v>0.709601535842548</v>
      </c>
      <c r="J8" s="49">
        <f t="shared" si="0"/>
        <v>0.5693496543735754</v>
      </c>
      <c r="K8" s="49">
        <v>0.99</v>
      </c>
      <c r="L8" s="50">
        <f t="shared" si="1"/>
        <v>2750000000</v>
      </c>
      <c r="M8" s="49">
        <v>0.93</v>
      </c>
      <c r="N8" s="49">
        <v>2180</v>
      </c>
      <c r="O8" s="44">
        <f>(E8/H8/I8/J8/K8)/L8*10^6/C8*M8*U8</f>
        <v>2.579622480978048</v>
      </c>
      <c r="P8" s="44">
        <f>O8/(O$41/N$37)/D8/(G8/G$3)</f>
        <v>1.2403498545665272</v>
      </c>
      <c r="Q8" s="51">
        <f>P8/P14</f>
        <v>1.0859696711876283</v>
      </c>
      <c r="R8" s="51">
        <f>syst!$B$34</f>
        <v>0.10012492197250393</v>
      </c>
      <c r="S8" s="51">
        <f>syst!$B$34</f>
        <v>0.10012492197250393</v>
      </c>
      <c r="T8" s="51">
        <f>syst!$B$35</f>
        <v>0.12134661099511598</v>
      </c>
      <c r="U8" s="208">
        <f>U3</f>
        <v>1.015</v>
      </c>
      <c r="W8" s="233">
        <v>16.2</v>
      </c>
      <c r="X8" s="44">
        <f>O8/(O$41/N$37)/W8/(G8/G$3)</f>
        <v>1.1768010657214523</v>
      </c>
    </row>
    <row r="9" spans="1:24" s="53" customFormat="1" ht="22.5">
      <c r="A9" s="52" t="s">
        <v>24</v>
      </c>
      <c r="B9" s="53">
        <f>B3</f>
        <v>-1.7</v>
      </c>
      <c r="C9" s="53">
        <v>1</v>
      </c>
      <c r="D9" s="53">
        <v>1</v>
      </c>
      <c r="E9" s="53">
        <f>fitModel!R61</f>
        <v>22.89832599412746</v>
      </c>
      <c r="L9" s="54"/>
      <c r="M9" s="53">
        <v>0.03</v>
      </c>
      <c r="O9" s="55">
        <f>SQRT((E9/E8)^2+(M9/M8)^2)*O8</f>
        <v>0.17462722358917332</v>
      </c>
      <c r="P9" s="55">
        <f>SQRT((D9/D8)^2+(O9/O8)^2)*P8</f>
        <v>0.11645844970709951</v>
      </c>
      <c r="Q9" s="55">
        <f>P9/P8*Q8</f>
        <v>0.10196344512785724</v>
      </c>
      <c r="R9" s="55">
        <f>SQRT(P9^2+(R8*P8)^2)</f>
        <v>0.17025190107442606</v>
      </c>
      <c r="S9" s="55">
        <f>SQRT(Q9^2+(S8*Q8)^2)</f>
        <v>0.1490614928910337</v>
      </c>
      <c r="T9" s="55">
        <f>SQRT(P9^2+(T8*P8)^2)</f>
        <v>0.190306353807631</v>
      </c>
      <c r="W9" s="234">
        <f>E9/E8*W8</f>
        <v>0.9641400418579983</v>
      </c>
      <c r="X9" s="55">
        <f>SQRT((W9/W8)^2+(O9/O8)^2)*X8</f>
        <v>0.10607286682933893</v>
      </c>
    </row>
    <row r="10" spans="1:24" s="57" customFormat="1" ht="22.5">
      <c r="A10" s="56" t="s">
        <v>83</v>
      </c>
      <c r="B10" s="57">
        <f>B3</f>
        <v>-1.7</v>
      </c>
      <c r="C10" s="57">
        <v>1</v>
      </c>
      <c r="D10" s="57">
        <v>10.63</v>
      </c>
      <c r="E10" s="57">
        <f>fitModel!R62</f>
        <v>175.75</v>
      </c>
      <c r="F10" s="57">
        <f>G8+G10+G12+G14</f>
        <v>0.8800000000000001</v>
      </c>
      <c r="G10" s="57">
        <v>0.2</v>
      </c>
      <c r="H10" s="57">
        <v>0.128</v>
      </c>
      <c r="I10" s="57">
        <f t="shared" si="0"/>
        <v>0.709601535842548</v>
      </c>
      <c r="J10" s="57">
        <f t="shared" si="0"/>
        <v>0.5693496543735754</v>
      </c>
      <c r="K10" s="57">
        <v>0.99</v>
      </c>
      <c r="L10" s="58">
        <f t="shared" si="1"/>
        <v>2750000000</v>
      </c>
      <c r="M10" s="57">
        <v>0.99</v>
      </c>
      <c r="N10" s="57">
        <v>2180</v>
      </c>
      <c r="O10" s="3">
        <f>(E10/H10/I10/J10/K10)/L10*10^6/C10*M10*U10</f>
        <v>1.2543683987551557</v>
      </c>
      <c r="P10" s="203">
        <f>O10/(O$41/N$37)/D10/(G10/G$3)</f>
        <v>0.8720748346104408</v>
      </c>
      <c r="Q10" s="59">
        <f>P10/P14</f>
        <v>0.7635320130898681</v>
      </c>
      <c r="R10" s="59">
        <f>syst!$C$34</f>
        <v>0.04031128874149275</v>
      </c>
      <c r="S10" s="59">
        <f>syst!$C$34</f>
        <v>0.04031128874149275</v>
      </c>
      <c r="T10" s="139">
        <f>syst!$C$35</f>
        <v>0.07952986860293433</v>
      </c>
      <c r="U10" s="1">
        <f>U3</f>
        <v>1.015</v>
      </c>
      <c r="W10" s="235">
        <v>11.1</v>
      </c>
      <c r="X10" s="203">
        <f>O10/(O$41/N$37)/W10/(G10/G$3)</f>
        <v>0.8351491434152241</v>
      </c>
    </row>
    <row r="11" spans="1:24" s="57" customFormat="1" ht="22.5">
      <c r="A11" s="56" t="s">
        <v>24</v>
      </c>
      <c r="B11" s="57">
        <f>B3</f>
        <v>-1.7</v>
      </c>
      <c r="C11" s="57">
        <v>1</v>
      </c>
      <c r="D11" s="57">
        <v>0.7</v>
      </c>
      <c r="E11" s="57">
        <f>fitModel!R63</f>
        <v>15.971328477410179</v>
      </c>
      <c r="L11" s="58"/>
      <c r="M11" s="57">
        <v>0.007</v>
      </c>
      <c r="O11" s="59">
        <f>SQRT((E11/E10)^2+(M11/M10)^2)*O10</f>
        <v>0.11433558915544179</v>
      </c>
      <c r="P11" s="59">
        <f>SQRT((D11/D10)^2+(O11/O10)^2)*P10</f>
        <v>0.09806368680843518</v>
      </c>
      <c r="Q11" s="59">
        <f>P11/P10*Q10</f>
        <v>0.08585818696775684</v>
      </c>
      <c r="R11" s="59">
        <f>SQRT(P11^2+(R10*P10)^2)</f>
        <v>0.10417448229220631</v>
      </c>
      <c r="S11" s="59">
        <f>SQRT(Q11^2+(S10*Q10)^2)</f>
        <v>0.09120840210082908</v>
      </c>
      <c r="T11" s="59">
        <f>SQRT(P11^2+(T10*P10)^2)</f>
        <v>0.12011136911843565</v>
      </c>
      <c r="W11" s="235">
        <f>E11/E10*W10</f>
        <v>1.0087154827838007</v>
      </c>
      <c r="X11" s="59">
        <f>SQRT((W11/W10)^2+(O11/O10)^2)*X10</f>
        <v>0.10749321331044255</v>
      </c>
    </row>
    <row r="12" spans="1:24" s="53" customFormat="1" ht="22.5">
      <c r="A12" s="52" t="s">
        <v>84</v>
      </c>
      <c r="B12" s="53">
        <f>B3</f>
        <v>-1.7</v>
      </c>
      <c r="C12" s="53">
        <v>1</v>
      </c>
      <c r="D12" s="53">
        <v>6.95</v>
      </c>
      <c r="E12" s="53">
        <f>fitModel!R64</f>
        <v>112</v>
      </c>
      <c r="F12" s="53">
        <f>G8+G10+G12+G14</f>
        <v>0.8800000000000001</v>
      </c>
      <c r="G12" s="53">
        <v>0.2</v>
      </c>
      <c r="H12" s="53">
        <v>0.128</v>
      </c>
      <c r="I12" s="53">
        <f t="shared" si="0"/>
        <v>0.709601535842548</v>
      </c>
      <c r="J12" s="53">
        <f t="shared" si="0"/>
        <v>0.5693496543735754</v>
      </c>
      <c r="K12" s="53">
        <v>0.99</v>
      </c>
      <c r="L12" s="54">
        <f t="shared" si="1"/>
        <v>2750000000</v>
      </c>
      <c r="M12" s="53">
        <v>1.04</v>
      </c>
      <c r="N12" s="53">
        <v>2180</v>
      </c>
      <c r="O12" s="44">
        <f>(E12/H12/I12/J12/K12)/L12*10^6/C12*M12*U12</f>
        <v>0.8397421215684615</v>
      </c>
      <c r="P12" s="44">
        <f>O12/(O$41/N$37)/D12/(G12/G$3)</f>
        <v>0.8929415829633429</v>
      </c>
      <c r="Q12" s="55">
        <f>P12/P14</f>
        <v>0.7818015809574561</v>
      </c>
      <c r="R12" s="55">
        <f>syst!$D$34</f>
        <v>0.04031128874149275</v>
      </c>
      <c r="S12" s="55">
        <f>syst!$D$34</f>
        <v>0.04031128874149275</v>
      </c>
      <c r="T12" s="51">
        <f>syst!$D$35</f>
        <v>0.07952986860293433</v>
      </c>
      <c r="U12" s="208">
        <f>U3</f>
        <v>1.015</v>
      </c>
      <c r="W12" s="234">
        <v>7.4</v>
      </c>
      <c r="X12" s="44">
        <f>O12/(O$41/N$37)/W12/(G12/G$3)</f>
        <v>0.8386410812966532</v>
      </c>
    </row>
    <row r="13" spans="1:24" s="53" customFormat="1" ht="22.5">
      <c r="A13" s="52" t="s">
        <v>24</v>
      </c>
      <c r="B13" s="53">
        <f>B3</f>
        <v>-1.7</v>
      </c>
      <c r="C13" s="53">
        <v>1</v>
      </c>
      <c r="D13" s="53">
        <v>0.6</v>
      </c>
      <c r="E13" s="53">
        <f>fitModel!R65</f>
        <v>12.858201014657274</v>
      </c>
      <c r="L13" s="54"/>
      <c r="M13" s="53">
        <v>0.011</v>
      </c>
      <c r="O13" s="55">
        <f>SQRT((E13/E12)^2+(M13/M12)^2)*O12</f>
        <v>0.09681517774893761</v>
      </c>
      <c r="P13" s="55">
        <f>SQRT((D13/D12)^2+(O13/O12)^2)*P12</f>
        <v>0.12861202806684702</v>
      </c>
      <c r="Q13" s="55">
        <f>P13/P12*Q12</f>
        <v>0.11260432797755983</v>
      </c>
      <c r="R13" s="55">
        <f>SQRT(P13^2+(R12*P12)^2)</f>
        <v>0.13355425434320017</v>
      </c>
      <c r="S13" s="55">
        <f>SQRT(Q13^2+(S12*Q12)^2)</f>
        <v>0.11693141990610427</v>
      </c>
      <c r="T13" s="55">
        <f>SQRT(P13^2+(T12*P12)^2)</f>
        <v>0.14691582217350888</v>
      </c>
      <c r="W13" s="234">
        <f>E13/E12*W12</f>
        <v>0.8495597098969985</v>
      </c>
      <c r="X13" s="55">
        <f>SQRT((W13/W12)^2+(O13/O12)^2)*X12</f>
        <v>0.13644980465476406</v>
      </c>
    </row>
    <row r="14" spans="1:24" s="57" customFormat="1" ht="22.5">
      <c r="A14" s="56" t="s">
        <v>85</v>
      </c>
      <c r="B14" s="57">
        <f>B3</f>
        <v>-1.7</v>
      </c>
      <c r="C14" s="57">
        <v>1</v>
      </c>
      <c r="D14" s="57">
        <v>3.07</v>
      </c>
      <c r="E14" s="186">
        <f>fitModel!R66</f>
        <v>87.75</v>
      </c>
      <c r="F14" s="57">
        <f>G8+G10+G12+G14</f>
        <v>0.8800000000000001</v>
      </c>
      <c r="G14" s="57">
        <v>0.28</v>
      </c>
      <c r="H14" s="57">
        <v>0.128</v>
      </c>
      <c r="I14" s="57">
        <f t="shared" si="0"/>
        <v>0.709601535842548</v>
      </c>
      <c r="J14" s="57">
        <f t="shared" si="0"/>
        <v>0.5693496543735754</v>
      </c>
      <c r="K14" s="57">
        <v>0.99</v>
      </c>
      <c r="L14" s="58">
        <f t="shared" si="1"/>
        <v>2750000000</v>
      </c>
      <c r="M14" s="57">
        <v>1.05</v>
      </c>
      <c r="N14" s="57">
        <v>2180</v>
      </c>
      <c r="O14" s="3">
        <f>(E14/H14/I14/J14/K14)/L14*10^6/C14*M14*U14</f>
        <v>0.6642491391313026</v>
      </c>
      <c r="P14" s="203">
        <f>O14/(O$41/N$37)/D14/(G14/G$3)</f>
        <v>1.142158835071395</v>
      </c>
      <c r="Q14" s="59">
        <f>P14/P14</f>
        <v>1</v>
      </c>
      <c r="R14" s="59">
        <f>syst!$E$34</f>
        <v>0.035355339059327376</v>
      </c>
      <c r="S14" s="59">
        <f>syst!$E$34</f>
        <v>0.035355339059327376</v>
      </c>
      <c r="T14" s="139">
        <f>syst!$E$35</f>
        <v>0.07713624310270757</v>
      </c>
      <c r="U14" s="1">
        <f>U3</f>
        <v>1.015</v>
      </c>
      <c r="W14" s="235">
        <v>4.1</v>
      </c>
      <c r="X14" s="203">
        <f>O14/(O$41/N$37)/W14/(G14/G$3)</f>
        <v>0.8552262496754103</v>
      </c>
    </row>
    <row r="15" spans="1:24" s="57" customFormat="1" ht="22.5">
      <c r="A15" s="56" t="s">
        <v>24</v>
      </c>
      <c r="B15" s="57">
        <f>B3</f>
        <v>-1.7</v>
      </c>
      <c r="C15" s="57">
        <v>1</v>
      </c>
      <c r="D15" s="57">
        <v>0.3</v>
      </c>
      <c r="E15" s="57">
        <f>fitModel!R67</f>
        <v>10.016652800877813</v>
      </c>
      <c r="L15" s="58"/>
      <c r="M15" s="57">
        <v>0.028</v>
      </c>
      <c r="O15" s="59">
        <f>SQRT((E15/E14)^2+(M15/M14)^2)*O14</f>
        <v>0.07786549400017652</v>
      </c>
      <c r="P15" s="59">
        <f>SQRT((D15/D14)^2+(O15/O14)^2)*P14</f>
        <v>0.17430736405098066</v>
      </c>
      <c r="Q15" s="59">
        <f>P15/P14*Q14</f>
        <v>0.15261219254157843</v>
      </c>
      <c r="R15" s="59">
        <f>SQRT(P15^2+(R14*P14)^2)</f>
        <v>0.17892377055066122</v>
      </c>
      <c r="S15" s="59">
        <f>SQRT(Q15^2+(S14*Q14)^2)</f>
        <v>0.15665401786212765</v>
      </c>
      <c r="T15" s="59">
        <f>SQRT(P15^2+(T14*P14)^2)</f>
        <v>0.19530742855653085</v>
      </c>
      <c r="W15" s="235">
        <f>E15/E14*W14</f>
        <v>0.46801454682164134</v>
      </c>
      <c r="X15" s="59">
        <f>SQRT((W15/W14)^2+(O15/O14)^2)*X14</f>
        <v>0.1399321222192121</v>
      </c>
    </row>
    <row r="16" spans="1:17" s="62" customFormat="1" ht="22.5">
      <c r="A16" s="60"/>
      <c r="B16" s="60"/>
      <c r="C16" s="60"/>
      <c r="D16" s="62" t="s">
        <v>204</v>
      </c>
      <c r="E16" s="62">
        <f>E8+E10+E12+E14</f>
        <v>760.25</v>
      </c>
      <c r="F16" s="60"/>
      <c r="G16" s="60"/>
      <c r="H16" s="60"/>
      <c r="I16" s="60"/>
      <c r="J16" s="60"/>
      <c r="K16" s="60"/>
      <c r="L16" s="61" t="s">
        <v>86</v>
      </c>
      <c r="M16" s="62">
        <f>(M8*E8+M10*E10+M12*E12+M14*E14)/(E8+E10+E12+E14)</f>
        <v>0.9739263400197303</v>
      </c>
      <c r="N16" s="60"/>
      <c r="O16" s="63" t="s">
        <v>87</v>
      </c>
      <c r="P16" s="63">
        <f>(P8*E8+P10*E10+P12*E12+P14*E14)/(E8+E10+E12+E14)</f>
        <v>1.0927006297884456</v>
      </c>
      <c r="Q16" s="210">
        <f>(P8*E8*(E8/E9)^2+P10*E10*(E10/E11)^2+P12*E12*(E12/E13)^2+P14*E14*(E14/E15)^2)/(E8*(E8/E9)^2+E10*(E10/E11)^2+E12*(E12/E13)^2+E14*(E14/E15)^2)</f>
        <v>1.161453660908789</v>
      </c>
    </row>
    <row r="17" spans="1:17" ht="22.5">
      <c r="A17" s="14"/>
      <c r="B17" s="14"/>
      <c r="C17" s="14"/>
      <c r="D17" s="14">
        <f>(D8*G8+D10*G10+D12*G12+D14*G14)</f>
        <v>7.4496</v>
      </c>
      <c r="E17" s="14"/>
      <c r="F17" s="14"/>
      <c r="G17" s="14"/>
      <c r="H17" s="14"/>
      <c r="I17" s="14"/>
      <c r="J17" s="14"/>
      <c r="K17" s="14"/>
      <c r="L17" s="15"/>
      <c r="M17" s="62">
        <f>(M8*G8+M10*G10+M12*G12+M14*G14)/(G8+G10+G12+G14)</f>
        <v>1.0068181818181818</v>
      </c>
      <c r="N17" s="14"/>
      <c r="O17" s="3" t="s">
        <v>287</v>
      </c>
      <c r="P17" s="63">
        <f>(P8*E8/P9^2+P10*E10/P11^2+P12*E12/P13^2+P14*E14/P15^2)/(E8/P9^2+E10/P11^2+E12/P13^2+E14/P15^2)</f>
        <v>1.07399346614345</v>
      </c>
      <c r="Q17" s="3"/>
    </row>
    <row r="18" spans="1:21" ht="22.5">
      <c r="A18" s="14" t="s">
        <v>80</v>
      </c>
      <c r="B18" s="14">
        <v>1.8</v>
      </c>
      <c r="C18" s="14">
        <v>1.2</v>
      </c>
      <c r="D18" s="14">
        <f>D3</f>
        <v>7.58</v>
      </c>
      <c r="E18" s="14">
        <f>fitModel!R70</f>
        <v>895.75</v>
      </c>
      <c r="F18" s="14">
        <f>G23+G25+G27+G29</f>
        <v>0.88</v>
      </c>
      <c r="G18" s="14">
        <f>G23+G25+G27+G29</f>
        <v>0.88</v>
      </c>
      <c r="H18" s="14">
        <v>0.127</v>
      </c>
      <c r="I18" s="14">
        <f>simDau!$H$8</f>
        <v>0.8161130143639365</v>
      </c>
      <c r="J18" s="14">
        <f>simDau!$K$8</f>
        <v>0.6597665703119843</v>
      </c>
      <c r="K18" s="14">
        <v>0.93</v>
      </c>
      <c r="L18" s="15">
        <v>3264000000</v>
      </c>
      <c r="M18" s="14">
        <v>0.94</v>
      </c>
      <c r="N18" s="14">
        <f>$N$3</f>
        <v>2180</v>
      </c>
      <c r="O18" s="7">
        <f>(E18/H18/I18/J18/K18)/L18*10^6/C18*M18*U18</f>
        <v>3.4546725609454647</v>
      </c>
      <c r="P18" s="204">
        <f>O18/(O$41/N$37)/D18</f>
        <v>0.7655030456572561</v>
      </c>
      <c r="Q18" s="3"/>
      <c r="R18" s="45">
        <v>0.111</v>
      </c>
      <c r="U18" s="1">
        <v>1.022</v>
      </c>
    </row>
    <row r="19" spans="1:18" ht="22.5">
      <c r="A19" s="14" t="s">
        <v>24</v>
      </c>
      <c r="B19" s="14">
        <f>B18</f>
        <v>1.8</v>
      </c>
      <c r="C19" s="14">
        <v>1.2</v>
      </c>
      <c r="D19" s="14">
        <f>D4</f>
        <v>0.3</v>
      </c>
      <c r="E19" s="14">
        <f>fitModel!R71</f>
        <v>35.388321990924254</v>
      </c>
      <c r="F19" s="14"/>
      <c r="G19" s="14"/>
      <c r="H19" s="14"/>
      <c r="I19" s="14"/>
      <c r="J19" s="14"/>
      <c r="K19" s="14"/>
      <c r="L19" s="15"/>
      <c r="M19" s="14">
        <v>0.02</v>
      </c>
      <c r="N19" s="14"/>
      <c r="O19" s="46">
        <f>SQRT((E19/E18)^2+(M19/M18)^2)*O18</f>
        <v>0.15501782576612455</v>
      </c>
      <c r="P19" s="7">
        <f>SQRT((O19/O18)^2+(D19/D18)^2)*P18</f>
        <v>0.045801751104944784</v>
      </c>
      <c r="Q19" s="3"/>
      <c r="R19" s="45">
        <f>SQRT(P19^2+(R18*P18)^2)</f>
        <v>0.09652897868645464</v>
      </c>
    </row>
    <row r="20" spans="1:21" s="11" customFormat="1" ht="22.5">
      <c r="A20" s="11" t="s">
        <v>81</v>
      </c>
      <c r="B20" s="11">
        <f>B18</f>
        <v>1.8</v>
      </c>
      <c r="C20" s="11">
        <v>1.2</v>
      </c>
      <c r="D20" s="11">
        <f>D5</f>
        <v>3.6</v>
      </c>
      <c r="E20" s="11">
        <v>0</v>
      </c>
      <c r="F20" s="11">
        <v>0.88</v>
      </c>
      <c r="G20" s="11">
        <f>0.148</f>
        <v>0.148</v>
      </c>
      <c r="H20" s="11">
        <v>0.127</v>
      </c>
      <c r="I20" s="11">
        <f aca="true" t="shared" si="2" ref="I20:J29">I$18</f>
        <v>0.8161130143639365</v>
      </c>
      <c r="J20" s="11">
        <f t="shared" si="2"/>
        <v>0.6597665703119843</v>
      </c>
      <c r="K20" s="11">
        <v>0.93</v>
      </c>
      <c r="L20" s="12">
        <f aca="true" t="shared" si="3" ref="L20:L29">L$18</f>
        <v>3264000000</v>
      </c>
      <c r="M20" s="11">
        <v>1</v>
      </c>
      <c r="N20" s="11">
        <f aca="true" t="shared" si="4" ref="N20:N29">$N$3</f>
        <v>2180</v>
      </c>
      <c r="O20" s="8">
        <f>(E20/H20/I20/J20/K20)/L20*10^6/C20*M20*U20</f>
        <v>0</v>
      </c>
      <c r="P20" s="203">
        <f>O20/(O$41/N$37)/D20/(G20/G$3)</f>
        <v>0</v>
      </c>
      <c r="Q20" s="8"/>
      <c r="U20" s="1">
        <f>U18</f>
        <v>1.022</v>
      </c>
    </row>
    <row r="21" spans="1:17" s="11" customFormat="1" ht="22.5">
      <c r="A21" s="47" t="s">
        <v>24</v>
      </c>
      <c r="B21" s="11">
        <f>B18</f>
        <v>1.8</v>
      </c>
      <c r="C21" s="11">
        <v>1.2</v>
      </c>
      <c r="D21" s="11">
        <f>D6</f>
        <v>0.25</v>
      </c>
      <c r="E21" s="11">
        <v>10</v>
      </c>
      <c r="L21" s="12"/>
      <c r="O21" s="8" t="e">
        <f>E21/E20*O20</f>
        <v>#DIV/0!</v>
      </c>
      <c r="P21" s="8" t="e">
        <f>O21/O20*P20</f>
        <v>#DIV/0!</v>
      </c>
      <c r="Q21" s="8"/>
    </row>
    <row r="22" spans="1:18" ht="22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4"/>
      <c r="O22" s="7"/>
      <c r="P22" s="7"/>
      <c r="Q22" s="3"/>
      <c r="R22" s="45"/>
    </row>
    <row r="23" spans="1:24" s="71" customFormat="1" ht="22.5">
      <c r="A23" s="66" t="s">
        <v>82</v>
      </c>
      <c r="B23" s="67">
        <f>B18</f>
        <v>1.8</v>
      </c>
      <c r="C23" s="67">
        <v>1.2</v>
      </c>
      <c r="D23" s="67">
        <f aca="true" t="shared" si="5" ref="D23:D30">D8</f>
        <v>15.37</v>
      </c>
      <c r="E23" s="67">
        <f>fitModel!R72</f>
        <v>330</v>
      </c>
      <c r="F23" s="67">
        <f>G23+G25+G27+G29</f>
        <v>0.88</v>
      </c>
      <c r="G23" s="67">
        <v>0.2</v>
      </c>
      <c r="H23" s="67">
        <v>0.127</v>
      </c>
      <c r="I23" s="67">
        <f t="shared" si="2"/>
        <v>0.8161130143639365</v>
      </c>
      <c r="J23" s="67">
        <f t="shared" si="2"/>
        <v>0.6597665703119843</v>
      </c>
      <c r="K23" s="67">
        <v>0.93</v>
      </c>
      <c r="L23" s="68">
        <f t="shared" si="3"/>
        <v>3264000000</v>
      </c>
      <c r="M23" s="67">
        <v>1</v>
      </c>
      <c r="N23" s="67">
        <f t="shared" si="4"/>
        <v>2180</v>
      </c>
      <c r="O23" s="69">
        <f>(E23/H23/I23/J23/K23)/L23*10^6/C23*M23*U23</f>
        <v>1.353961015803948</v>
      </c>
      <c r="P23" s="69">
        <f>O23/(O$41/N$37)/D23/(G23/G$18)</f>
        <v>0.6510198144979902</v>
      </c>
      <c r="Q23" s="70">
        <f>P23/P29</f>
        <v>0.6664483138517934</v>
      </c>
      <c r="R23" s="67">
        <f>syst!$B$38</f>
        <v>0.03</v>
      </c>
      <c r="S23" s="67">
        <f>syst!$B$38</f>
        <v>0.03</v>
      </c>
      <c r="T23" s="140">
        <f>syst!$B$40</f>
        <v>0.10396634070698076</v>
      </c>
      <c r="U23" s="67">
        <f>U18</f>
        <v>1.022</v>
      </c>
      <c r="W23" s="67">
        <v>16.2</v>
      </c>
      <c r="X23" s="69">
        <f>O23/(O$41/N$37)/W23/(G23/G$3)</f>
        <v>0.6176650956070439</v>
      </c>
    </row>
    <row r="24" spans="1:24" s="76" customFormat="1" ht="22.5">
      <c r="A24" s="72" t="s">
        <v>24</v>
      </c>
      <c r="B24" s="73">
        <f>B18</f>
        <v>1.8</v>
      </c>
      <c r="C24" s="73">
        <v>1.2</v>
      </c>
      <c r="D24" s="73">
        <f t="shared" si="5"/>
        <v>1</v>
      </c>
      <c r="E24" s="73">
        <f>fitModel!R73</f>
        <v>20.463381929681123</v>
      </c>
      <c r="F24" s="73"/>
      <c r="G24" s="73"/>
      <c r="H24" s="73"/>
      <c r="I24" s="73"/>
      <c r="J24" s="73"/>
      <c r="K24" s="73"/>
      <c r="L24" s="74"/>
      <c r="M24" s="73">
        <v>0.026</v>
      </c>
      <c r="N24" s="73"/>
      <c r="O24" s="75">
        <f>SQRT((E24/E23)^2+(M24/M23)^2)*O23</f>
        <v>0.0910408752385894</v>
      </c>
      <c r="P24" s="75">
        <f>SQRT((D24/D23)^2+(O24/O23)^2)*P23</f>
        <v>0.060912323200382</v>
      </c>
      <c r="Q24" s="75">
        <f>P24/P23*Q23</f>
        <v>0.062355882548664546</v>
      </c>
      <c r="R24" s="75">
        <f>SQRT(P24^2+(R23*P23)^2)</f>
        <v>0.06396682919021306</v>
      </c>
      <c r="S24" s="75">
        <f>SQRT(Q24^2+(S23*Q23)^2)</f>
        <v>0.06548277718572384</v>
      </c>
      <c r="T24" s="75">
        <f>SQRT(P24^2+(T23*P23)^2)</f>
        <v>0.09105742686152948</v>
      </c>
      <c r="U24" s="73"/>
      <c r="W24" s="236">
        <f>E24/E23*W23</f>
        <v>1.0045660220025279</v>
      </c>
      <c r="X24" s="75">
        <f>SQRT((W24/W23)^2+(O24/O23)^2)*X23</f>
        <v>0.05649708647465738</v>
      </c>
    </row>
    <row r="25" spans="1:24" s="78" customFormat="1" ht="22.5">
      <c r="A25" s="56" t="s">
        <v>83</v>
      </c>
      <c r="B25" s="57">
        <f>B18</f>
        <v>1.8</v>
      </c>
      <c r="C25" s="57">
        <v>1.2</v>
      </c>
      <c r="D25" s="57">
        <f t="shared" si="5"/>
        <v>10.63</v>
      </c>
      <c r="E25" s="57">
        <f>fitModel!R74</f>
        <v>264.25</v>
      </c>
      <c r="F25" s="57">
        <f>G23+G25+G27+G29</f>
        <v>0.88</v>
      </c>
      <c r="G25" s="57">
        <v>0.2</v>
      </c>
      <c r="H25" s="57">
        <v>0.127</v>
      </c>
      <c r="I25" s="57">
        <f t="shared" si="2"/>
        <v>0.8161130143639365</v>
      </c>
      <c r="J25" s="57">
        <f t="shared" si="2"/>
        <v>0.6597665703119843</v>
      </c>
      <c r="K25" s="57">
        <v>0.93</v>
      </c>
      <c r="L25" s="58">
        <f t="shared" si="3"/>
        <v>3264000000</v>
      </c>
      <c r="M25" s="57">
        <v>1</v>
      </c>
      <c r="N25" s="57">
        <f t="shared" si="4"/>
        <v>2180</v>
      </c>
      <c r="O25" s="3">
        <f>(E25/H25/I25/J25/K25)/L25*10^6/C25*M25*U25</f>
        <v>1.084194540685434</v>
      </c>
      <c r="P25" s="203">
        <f>O25/(O$41/N$37)/D25/(G25/G$18)</f>
        <v>0.7537648235495349</v>
      </c>
      <c r="Q25" s="77">
        <f>P25/P29</f>
        <v>0.7716282738379431</v>
      </c>
      <c r="R25" s="57">
        <f>syst!$C$38</f>
        <v>0.025000000000000005</v>
      </c>
      <c r="S25" s="57">
        <f>syst!$C$38</f>
        <v>0.025000000000000005</v>
      </c>
      <c r="T25" s="139">
        <f>syst!$C$40</f>
        <v>0.10263527658656162</v>
      </c>
      <c r="U25" s="57">
        <f>U18</f>
        <v>1.022</v>
      </c>
      <c r="W25" s="57">
        <v>11.1</v>
      </c>
      <c r="X25" s="69">
        <f>O25/(O$41/N$37)/W25/(G25/G$3)</f>
        <v>0.7218486553451854</v>
      </c>
    </row>
    <row r="26" spans="1:24" s="78" customFormat="1" ht="22.5">
      <c r="A26" s="56" t="s">
        <v>24</v>
      </c>
      <c r="B26" s="57">
        <f>B18</f>
        <v>1.8</v>
      </c>
      <c r="C26" s="57">
        <v>1.2</v>
      </c>
      <c r="D26" s="57">
        <f t="shared" si="5"/>
        <v>0.7</v>
      </c>
      <c r="E26" s="57">
        <f>fitModel!R75</f>
        <v>17.67295485574875</v>
      </c>
      <c r="F26" s="57"/>
      <c r="G26" s="57"/>
      <c r="H26" s="57"/>
      <c r="I26" s="57"/>
      <c r="J26" s="57"/>
      <c r="K26" s="57"/>
      <c r="L26" s="58"/>
      <c r="M26" s="57">
        <v>0.008</v>
      </c>
      <c r="N26" s="57"/>
      <c r="O26" s="59">
        <f>SQRT((E26/E25)^2+(M26/M25)^2)*O25</f>
        <v>0.07302749492376591</v>
      </c>
      <c r="P26" s="59">
        <f>SQRT((D26/D25)^2+(O26/O25)^2)*P25</f>
        <v>0.07100325986264147</v>
      </c>
      <c r="Q26" s="59">
        <f>P26/P25*Q25</f>
        <v>0.07268596402081431</v>
      </c>
      <c r="R26" s="59">
        <f>SQRT(P26^2+(R25*P25)^2)</f>
        <v>0.07346130812805274</v>
      </c>
      <c r="S26" s="59">
        <f>SQRT(Q26^2+(S25*Q25)^2)</f>
        <v>0.07520226549946112</v>
      </c>
      <c r="T26" s="59">
        <f>SQRT(P26^2+(T25*P25)^2)</f>
        <v>0.10500702450718354</v>
      </c>
      <c r="U26" s="57"/>
      <c r="W26" s="235">
        <f>E26/E25*W25</f>
        <v>0.7423644234581309</v>
      </c>
      <c r="X26" s="75">
        <f>SQRT((W26/W25)^2+(O26/O25)^2)*X25</f>
        <v>0.06851778387690118</v>
      </c>
    </row>
    <row r="27" spans="1:24" s="76" customFormat="1" ht="22.5">
      <c r="A27" s="72" t="s">
        <v>84</v>
      </c>
      <c r="B27" s="73">
        <f>B18</f>
        <v>1.8</v>
      </c>
      <c r="C27" s="73">
        <v>1.2</v>
      </c>
      <c r="D27" s="73">
        <f t="shared" si="5"/>
        <v>6.95</v>
      </c>
      <c r="E27" s="73">
        <f>fitModel!R76</f>
        <v>180.5</v>
      </c>
      <c r="F27" s="73">
        <f>G23+G25+G27+G29</f>
        <v>0.88</v>
      </c>
      <c r="G27" s="73">
        <f>0.6-0.4</f>
        <v>0.19999999999999996</v>
      </c>
      <c r="H27" s="73">
        <v>0.127</v>
      </c>
      <c r="I27" s="73">
        <f t="shared" si="2"/>
        <v>0.8161130143639365</v>
      </c>
      <c r="J27" s="73">
        <f t="shared" si="2"/>
        <v>0.6597665703119843</v>
      </c>
      <c r="K27" s="73">
        <v>0.93</v>
      </c>
      <c r="L27" s="74">
        <f t="shared" si="3"/>
        <v>3264000000</v>
      </c>
      <c r="M27" s="73">
        <v>1.02</v>
      </c>
      <c r="N27" s="73">
        <f t="shared" si="4"/>
        <v>2180</v>
      </c>
      <c r="O27" s="69">
        <f>(E27/H27/I27/J27/K27)/L27*10^6/C27*M27*U27</f>
        <v>0.7553871594535299</v>
      </c>
      <c r="P27" s="69">
        <f>O27/(O$41/N$37)/D27/(G27/G$18)</f>
        <v>0.8032425533838449</v>
      </c>
      <c r="Q27" s="79">
        <f>P27/P29</f>
        <v>0.8222785749301109</v>
      </c>
      <c r="R27" s="73">
        <f>syst!$D$38</f>
        <v>0.015000000000000001</v>
      </c>
      <c r="S27" s="73">
        <f>syst!$D$38</f>
        <v>0.015000000000000001</v>
      </c>
      <c r="T27" s="140">
        <f>syst!$D$40</f>
        <v>0.10066777041337512</v>
      </c>
      <c r="U27" s="73">
        <f>U18</f>
        <v>1.022</v>
      </c>
      <c r="W27" s="73">
        <v>7.4</v>
      </c>
      <c r="X27" s="69">
        <f>O27/(O$41/N$37)/W27/(G27/G$3)</f>
        <v>0.7543967224348275</v>
      </c>
    </row>
    <row r="28" spans="1:24" s="76" customFormat="1" ht="22.5">
      <c r="A28" s="72" t="s">
        <v>24</v>
      </c>
      <c r="B28" s="73">
        <f>B18</f>
        <v>1.8</v>
      </c>
      <c r="C28" s="73">
        <v>1.2</v>
      </c>
      <c r="D28" s="73">
        <f t="shared" si="5"/>
        <v>0.6</v>
      </c>
      <c r="E28" s="73">
        <f>fitModel!R77</f>
        <v>15.462319791458633</v>
      </c>
      <c r="F28" s="73"/>
      <c r="G28" s="73"/>
      <c r="H28" s="73"/>
      <c r="I28" s="73"/>
      <c r="J28" s="73"/>
      <c r="K28" s="73"/>
      <c r="L28" s="74"/>
      <c r="M28" s="73">
        <v>0.008</v>
      </c>
      <c r="N28" s="73"/>
      <c r="O28" s="75">
        <f>SQRT((E28/E27)^2+(M28/M27)^2)*O27</f>
        <v>0.06498000486315395</v>
      </c>
      <c r="P28" s="75">
        <f>SQRT((D28/D27)^2+(O28/O27)^2)*P27</f>
        <v>0.09789294494035382</v>
      </c>
      <c r="Q28" s="75">
        <f>P28/P27*Q27</f>
        <v>0.10021290695090919</v>
      </c>
      <c r="R28" s="75">
        <f>SQRT(P28^2+(R27*P27)^2)</f>
        <v>0.09863162958198363</v>
      </c>
      <c r="S28" s="75">
        <f>SQRT(Q28^2+(S27*Q27)^2)</f>
        <v>0.10096909765804155</v>
      </c>
      <c r="T28" s="75">
        <f>SQRT(P28^2+(T27*P27)^2)</f>
        <v>0.12697035589893832</v>
      </c>
      <c r="U28" s="73"/>
      <c r="W28" s="236">
        <f>E28/E27*W27</f>
        <v>0.6339122795390243</v>
      </c>
      <c r="X28" s="75">
        <f>SQRT((W28/W27)^2+(O28/O27)^2)*X27</f>
        <v>0.0915841829562424</v>
      </c>
    </row>
    <row r="29" spans="1:24" s="78" customFormat="1" ht="22.5">
      <c r="A29" s="56" t="s">
        <v>85</v>
      </c>
      <c r="B29" s="57">
        <f>B18</f>
        <v>1.8</v>
      </c>
      <c r="C29" s="57">
        <v>1.2</v>
      </c>
      <c r="D29" s="57">
        <f t="shared" si="5"/>
        <v>3.07</v>
      </c>
      <c r="E29" s="186">
        <f>fitModel!R78</f>
        <v>135.75</v>
      </c>
      <c r="F29" s="57">
        <f>G23+G25+G27+G29</f>
        <v>0.88</v>
      </c>
      <c r="G29" s="57">
        <v>0.28</v>
      </c>
      <c r="H29" s="57">
        <v>0.127</v>
      </c>
      <c r="I29" s="57">
        <f t="shared" si="2"/>
        <v>0.8161130143639365</v>
      </c>
      <c r="J29" s="57">
        <f t="shared" si="2"/>
        <v>0.6597665703119843</v>
      </c>
      <c r="K29" s="57">
        <v>0.93</v>
      </c>
      <c r="L29" s="58">
        <f t="shared" si="3"/>
        <v>3264000000</v>
      </c>
      <c r="M29" s="57">
        <v>1.02</v>
      </c>
      <c r="N29" s="57">
        <f t="shared" si="4"/>
        <v>2180</v>
      </c>
      <c r="O29" s="3">
        <f>(E29/H29/I29/J29/K29)/L29*10^6/C29*M29*U29</f>
        <v>0.5681097334948294</v>
      </c>
      <c r="P29" s="203">
        <f>O29/(O$41/N$37)/D29/(G29/G$18)</f>
        <v>0.9768496685592422</v>
      </c>
      <c r="Q29" s="77">
        <f>P29/P29</f>
        <v>1</v>
      </c>
      <c r="R29" s="57">
        <f>syst!$E$38</f>
        <v>0.010000000000000002</v>
      </c>
      <c r="S29" s="57">
        <f>syst!$E$38</f>
        <v>0.010000000000000002</v>
      </c>
      <c r="T29" s="139">
        <f>syst!$E$40</f>
        <v>0.1000449898795537</v>
      </c>
      <c r="U29" s="57">
        <f>U18</f>
        <v>1.022</v>
      </c>
      <c r="W29" s="57">
        <v>4.1</v>
      </c>
      <c r="X29" s="69">
        <f>O29/(O$41/N$37)/W29/(G29/G$3)</f>
        <v>0.7314459713358229</v>
      </c>
    </row>
    <row r="30" spans="1:24" s="78" customFormat="1" ht="22.5">
      <c r="A30" s="56" t="s">
        <v>24</v>
      </c>
      <c r="B30" s="57">
        <f>B18</f>
        <v>1.8</v>
      </c>
      <c r="C30" s="57">
        <v>1.2</v>
      </c>
      <c r="D30" s="57">
        <f t="shared" si="5"/>
        <v>0.3</v>
      </c>
      <c r="E30" s="57">
        <f>fitModel!R79</f>
        <v>14.597374193098338</v>
      </c>
      <c r="F30" s="57"/>
      <c r="G30" s="57"/>
      <c r="H30" s="57"/>
      <c r="I30" s="57"/>
      <c r="J30" s="57"/>
      <c r="K30" s="57"/>
      <c r="L30" s="58"/>
      <c r="M30" s="57">
        <v>0.025</v>
      </c>
      <c r="N30" s="57"/>
      <c r="O30" s="59">
        <f>SQRT((E30/E29)^2+(M30/M29)^2)*O29</f>
        <v>0.0626563774892447</v>
      </c>
      <c r="P30" s="59">
        <f>SQRT((D30/D29)^2+(O30/O29)^2)*P29</f>
        <v>0.1439416550954626</v>
      </c>
      <c r="Q30" s="59">
        <f>P30/P29*Q29</f>
        <v>0.1473529241277857</v>
      </c>
      <c r="R30" s="59">
        <f>SQRT(P30^2+(R29*P29)^2)</f>
        <v>0.14427274031887502</v>
      </c>
      <c r="S30" s="59">
        <f>SQRT(Q30^2+(S29*Q29)^2)</f>
        <v>0.14769185573012808</v>
      </c>
      <c r="T30" s="59">
        <f>SQRT(P30^2+(T29*P29)^2)</f>
        <v>0.1739831628024356</v>
      </c>
      <c r="U30" s="57"/>
      <c r="W30" s="235">
        <f>E30/E29*W29</f>
        <v>0.44087833658713205</v>
      </c>
      <c r="X30" s="75">
        <f>SQRT((W30/W29)^2+(O30/O29)^2)*X29</f>
        <v>0.11266806867825273</v>
      </c>
    </row>
    <row r="31" spans="1:17" s="62" customFormat="1" ht="22.5">
      <c r="A31" s="80"/>
      <c r="B31" s="60"/>
      <c r="C31" s="60"/>
      <c r="D31" s="62" t="s">
        <v>204</v>
      </c>
      <c r="E31" s="62">
        <f>E23+E25+E27+E29</f>
        <v>910.5</v>
      </c>
      <c r="F31" s="60"/>
      <c r="G31" s="60"/>
      <c r="H31" s="60"/>
      <c r="I31" s="60"/>
      <c r="J31" s="60"/>
      <c r="K31" s="60"/>
      <c r="L31" s="61" t="s">
        <v>86</v>
      </c>
      <c r="M31" s="62">
        <f>(M23*E23+M25*E25+M27*E27+M29*E29)/(E23+E25+E27+E29)</f>
        <v>1.006946732564525</v>
      </c>
      <c r="N31" s="60"/>
      <c r="O31" s="63" t="s">
        <v>87</v>
      </c>
      <c r="P31" s="63">
        <f>(P23*E23+P25*E25+P27*E27+P29*E29)/(E23+E25+E27+E29)</f>
        <v>0.7595952957715567</v>
      </c>
      <c r="Q31" s="63"/>
    </row>
    <row r="32" spans="1:17" ht="22.5">
      <c r="A32" s="8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7"/>
      <c r="P32" s="65"/>
      <c r="Q32" s="3"/>
    </row>
    <row r="33" spans="1:17" ht="22.5">
      <c r="A33" s="9" t="s">
        <v>5</v>
      </c>
      <c r="B33" s="9">
        <v>-1.7</v>
      </c>
      <c r="C33" s="9">
        <v>1</v>
      </c>
      <c r="D33" s="83"/>
      <c r="E33" s="83">
        <v>65</v>
      </c>
      <c r="F33" s="9"/>
      <c r="G33" s="9"/>
      <c r="H33" s="9">
        <v>0.1265</v>
      </c>
      <c r="I33" s="9">
        <v>0.468</v>
      </c>
      <c r="J33" s="9">
        <v>0.6</v>
      </c>
      <c r="K33" s="9">
        <v>0.99</v>
      </c>
      <c r="L33" s="38">
        <v>1450000000</v>
      </c>
      <c r="M33" s="9">
        <f>0.53/0.74</f>
        <v>0.7162162162162162</v>
      </c>
      <c r="N33" s="9">
        <v>42.1</v>
      </c>
      <c r="O33" s="10">
        <f>(M33*E33/H33/I33/J33/K33)/(L33/(N33*1E-27))/C33*1E+30</f>
        <v>0.038436937411692455</v>
      </c>
      <c r="P33" s="10">
        <f>O33/$O$33</f>
        <v>1</v>
      </c>
      <c r="Q33" s="3"/>
    </row>
    <row r="34" spans="1:17" ht="22.5">
      <c r="A34" s="9" t="s">
        <v>5</v>
      </c>
      <c r="B34" s="9">
        <v>-1.45</v>
      </c>
      <c r="C34" s="9">
        <v>0.5</v>
      </c>
      <c r="D34" s="83"/>
      <c r="E34" s="83">
        <v>36</v>
      </c>
      <c r="F34" s="9"/>
      <c r="G34" s="9"/>
      <c r="H34" s="9">
        <v>0.1265</v>
      </c>
      <c r="I34" s="9">
        <v>0.397</v>
      </c>
      <c r="J34" s="9">
        <v>0.6</v>
      </c>
      <c r="K34" s="9">
        <v>0.99</v>
      </c>
      <c r="L34" s="38">
        <v>1450000000</v>
      </c>
      <c r="M34" s="9">
        <f>0.53/0.74</f>
        <v>0.7162162162162162</v>
      </c>
      <c r="N34" s="9">
        <v>42.1</v>
      </c>
      <c r="O34" s="10">
        <f>(M34*E34/H34/I34/J34/K34)/(L34/(N34*1E-27))/C34*1E+30</f>
        <v>0.05019070114413443</v>
      </c>
      <c r="P34" s="10"/>
      <c r="Q34" s="3"/>
    </row>
    <row r="35" spans="1:17" ht="22.5">
      <c r="A35" s="9" t="s">
        <v>5</v>
      </c>
      <c r="B35" s="9">
        <v>-1.95</v>
      </c>
      <c r="C35" s="9">
        <v>0.5</v>
      </c>
      <c r="D35" s="83"/>
      <c r="E35" s="83">
        <v>29</v>
      </c>
      <c r="F35" s="9"/>
      <c r="G35" s="9"/>
      <c r="H35" s="9">
        <v>0.1265</v>
      </c>
      <c r="I35" s="9">
        <v>0.562</v>
      </c>
      <c r="J35" s="9">
        <v>0.6</v>
      </c>
      <c r="K35" s="9">
        <v>0.99</v>
      </c>
      <c r="L35" s="38">
        <v>1450000000</v>
      </c>
      <c r="M35" s="9">
        <f>0.53/0.74</f>
        <v>0.7162162162162162</v>
      </c>
      <c r="N35" s="9">
        <v>42.1</v>
      </c>
      <c r="O35" s="10">
        <f>(M35*E35/H35/I35/J35/K35)/(L35/(N35*1E-27))/C35*1E+30</f>
        <v>0.02856096986320778</v>
      </c>
      <c r="P35" s="10"/>
      <c r="Q35" s="3"/>
    </row>
    <row r="36" spans="1:17" ht="22.5">
      <c r="A36" s="9"/>
      <c r="B36" s="9"/>
      <c r="C36" s="9"/>
      <c r="D36" s="83"/>
      <c r="E36" s="83"/>
      <c r="F36" s="9"/>
      <c r="G36" s="9"/>
      <c r="H36" s="9"/>
      <c r="I36" s="9"/>
      <c r="J36" s="9"/>
      <c r="K36" s="9"/>
      <c r="L36" s="38"/>
      <c r="M36" s="9"/>
      <c r="N36" s="9"/>
      <c r="O36" s="10"/>
      <c r="P36" s="10"/>
      <c r="Q36" s="3"/>
    </row>
    <row r="37" spans="1:21" ht="22.5">
      <c r="A37" s="11" t="s">
        <v>6</v>
      </c>
      <c r="B37" s="11">
        <v>-1.7</v>
      </c>
      <c r="C37" s="11">
        <v>1</v>
      </c>
      <c r="D37" s="30"/>
      <c r="E37" s="30">
        <f>fitModel!R4</f>
        <v>158</v>
      </c>
      <c r="F37" s="11"/>
      <c r="G37" s="11"/>
      <c r="H37" s="11">
        <v>0.128</v>
      </c>
      <c r="I37" s="11">
        <f>simPp!$H$2</f>
        <v>0.538923846251484</v>
      </c>
      <c r="J37" s="11">
        <f>simPp!$I$2</f>
        <v>0.5366922827145795</v>
      </c>
      <c r="K37" s="11">
        <v>0.99</v>
      </c>
      <c r="L37" s="12">
        <v>4530000000</v>
      </c>
      <c r="M37" s="11">
        <v>0.69</v>
      </c>
      <c r="N37" s="11">
        <v>42.2</v>
      </c>
      <c r="O37" s="8">
        <f>(E37/H37/I37/J37/K37)/(L37/N37)/C37*M37*10^6*U37</f>
        <v>28.124742412429203</v>
      </c>
      <c r="P37" s="8">
        <f>O37/$O$33</f>
        <v>731.7113252595848</v>
      </c>
      <c r="Q37" s="3"/>
      <c r="U37" s="1">
        <v>1.015</v>
      </c>
    </row>
    <row r="38" spans="1:17" ht="22.5">
      <c r="A38" s="11" t="s">
        <v>24</v>
      </c>
      <c r="B38" s="11"/>
      <c r="C38" s="11"/>
      <c r="D38" s="30"/>
      <c r="E38" s="30">
        <f>fitModel!R5</f>
        <v>16.312060977489427</v>
      </c>
      <c r="F38" s="11"/>
      <c r="G38" s="11"/>
      <c r="H38" s="11"/>
      <c r="I38" s="11"/>
      <c r="J38" s="11"/>
      <c r="K38" s="11"/>
      <c r="L38" s="12"/>
      <c r="M38" s="11"/>
      <c r="N38" s="11"/>
      <c r="O38" s="8">
        <f>E38/E37*O37</f>
        <v>2.903623501314736</v>
      </c>
      <c r="P38" s="8">
        <f>SQRT((O38/O37)^2+(0.15/0.654)^2)*P37</f>
        <v>184.04202676688928</v>
      </c>
      <c r="Q38" s="3"/>
    </row>
    <row r="39" spans="1:21" ht="22.5">
      <c r="A39" s="11" t="s">
        <v>6</v>
      </c>
      <c r="B39" s="11">
        <v>1.8</v>
      </c>
      <c r="C39" s="11">
        <v>1.2</v>
      </c>
      <c r="D39" s="30"/>
      <c r="E39" s="30">
        <f>fitModel!R11</f>
        <v>289.75</v>
      </c>
      <c r="F39" s="11"/>
      <c r="G39" s="11"/>
      <c r="H39" s="11">
        <v>0.127</v>
      </c>
      <c r="I39" s="11">
        <f>simPp!$H$8</f>
        <v>0.8005870124709046</v>
      </c>
      <c r="J39" s="11">
        <f>simPp!$I$8</f>
        <v>0.7814938323566549</v>
      </c>
      <c r="K39" s="11">
        <v>0.95</v>
      </c>
      <c r="L39" s="12">
        <v>4020000000</v>
      </c>
      <c r="M39" s="11">
        <v>0.69</v>
      </c>
      <c r="N39" s="11">
        <v>42.2</v>
      </c>
      <c r="O39" s="8">
        <f>(E39/H39/I39/J39/K39)/(L39/N39)/C39*M39*10^6*U39</f>
        <v>23.679207399868364</v>
      </c>
      <c r="P39" s="8">
        <f>O39/$O$33</f>
        <v>616.053436990669</v>
      </c>
      <c r="Q39" s="3"/>
      <c r="U39" s="1">
        <v>1.022</v>
      </c>
    </row>
    <row r="40" spans="1:17" ht="22.5">
      <c r="A40" s="11" t="s">
        <v>24</v>
      </c>
      <c r="B40" s="11"/>
      <c r="C40" s="11"/>
      <c r="D40" s="30"/>
      <c r="E40" s="30">
        <f>fitModel!R12</f>
        <v>24.664414311581236</v>
      </c>
      <c r="F40" s="11"/>
      <c r="G40" s="11"/>
      <c r="H40" s="11"/>
      <c r="I40" s="11"/>
      <c r="J40" s="11"/>
      <c r="K40" s="11"/>
      <c r="L40" s="11"/>
      <c r="M40" s="11"/>
      <c r="N40" s="11"/>
      <c r="O40" s="8">
        <f>E40/E39*O39</f>
        <v>2.0156472196038435</v>
      </c>
      <c r="P40" s="8">
        <f>SQRT((O40/O39)^2+(0.15/0.654)^2)*P39</f>
        <v>150.7140952054049</v>
      </c>
      <c r="Q40" s="3"/>
    </row>
    <row r="41" spans="1:17" ht="23.25">
      <c r="A41" s="11"/>
      <c r="B41" s="2" t="s">
        <v>7</v>
      </c>
      <c r="C41" s="13"/>
      <c r="D41" s="13"/>
      <c r="E41" s="13"/>
      <c r="F41" s="13"/>
      <c r="G41" s="13"/>
      <c r="H41" s="11"/>
      <c r="I41" s="11"/>
      <c r="J41" s="11"/>
      <c r="K41" s="11"/>
      <c r="L41" s="11"/>
      <c r="M41" s="11" t="s">
        <v>25</v>
      </c>
      <c r="N41" s="11"/>
      <c r="O41" s="8">
        <f>(O37/O38^2+O39/O40^2)/(1/O38^2+1/O40^2)</f>
        <v>25.124834689573735</v>
      </c>
      <c r="P41" s="8">
        <f>O41/$O$33</f>
        <v>653.6638031398099</v>
      </c>
      <c r="Q41" s="3"/>
    </row>
    <row r="42" spans="1:17" ht="22.5">
      <c r="A42" s="11"/>
      <c r="B42" s="3">
        <v>0.0588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s">
        <v>24</v>
      </c>
      <c r="N42" s="11"/>
      <c r="O42" s="8">
        <f>SQRT(1/(1/O38^2+1/O40^2))</f>
        <v>1.6557945710044537</v>
      </c>
      <c r="P42" s="8">
        <f>SQRT((O42/O41)^2+(0.15/0.654)^2)*P41</f>
        <v>155.98911999385845</v>
      </c>
      <c r="Q42" s="3"/>
    </row>
    <row r="44" spans="2:19" s="2" customFormat="1" ht="21" customHeight="1">
      <c r="B44" s="2" t="s">
        <v>0</v>
      </c>
      <c r="C44" s="2" t="s">
        <v>1</v>
      </c>
      <c r="D44" s="2" t="s">
        <v>72</v>
      </c>
      <c r="E44" s="2" t="s">
        <v>73</v>
      </c>
      <c r="F44" s="2" t="s">
        <v>74</v>
      </c>
      <c r="G44" s="2" t="s">
        <v>74</v>
      </c>
      <c r="H44" s="2" t="s">
        <v>3</v>
      </c>
      <c r="I44" s="2" t="s">
        <v>11</v>
      </c>
      <c r="J44" s="2" t="s">
        <v>8</v>
      </c>
      <c r="K44" s="2" t="s">
        <v>4</v>
      </c>
      <c r="L44" s="2" t="s">
        <v>12</v>
      </c>
      <c r="M44" s="2" t="s">
        <v>75</v>
      </c>
      <c r="N44" s="2" t="s">
        <v>22</v>
      </c>
      <c r="O44" s="2" t="s">
        <v>76</v>
      </c>
      <c r="P44" s="2" t="s">
        <v>15</v>
      </c>
      <c r="Q44" s="2" t="s">
        <v>77</v>
      </c>
      <c r="R44" s="2" t="s">
        <v>78</v>
      </c>
      <c r="S44" s="2" t="s">
        <v>79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W85"/>
  <sheetViews>
    <sheetView workbookViewId="0" topLeftCell="A1">
      <selection activeCell="D2" sqref="D2:D10"/>
    </sheetView>
  </sheetViews>
  <sheetFormatPr defaultColWidth="9.140625" defaultRowHeight="12.75"/>
  <cols>
    <col min="1" max="1" width="11.28125" style="1" customWidth="1"/>
    <col min="2" max="2" width="7.421875" style="1" customWidth="1"/>
    <col min="3" max="3" width="4.57421875" style="1" customWidth="1"/>
    <col min="4" max="4" width="7.28125" style="1" customWidth="1"/>
    <col min="5" max="5" width="5.421875" style="1" customWidth="1"/>
    <col min="6" max="6" width="8.57421875" style="1" customWidth="1"/>
    <col min="7" max="8" width="6.421875" style="1" customWidth="1"/>
    <col min="9" max="9" width="5.28125" style="1" customWidth="1"/>
    <col min="10" max="10" width="9.8515625" style="1" customWidth="1"/>
    <col min="11" max="12" width="7.00390625" style="1" customWidth="1"/>
    <col min="13" max="13" width="9.8515625" style="1" customWidth="1"/>
    <col min="14" max="15" width="8.00390625" style="1" customWidth="1"/>
    <col min="16" max="16" width="10.7109375" style="1" bestFit="1" customWidth="1"/>
    <col min="17" max="17" width="6.8515625" style="1" customWidth="1"/>
    <col min="18" max="18" width="6.28125" style="1" customWidth="1"/>
    <col min="19" max="19" width="7.57421875" style="1" customWidth="1"/>
    <col min="20" max="20" width="8.140625" style="1" customWidth="1"/>
    <col min="21" max="16384" width="10.421875" style="1" customWidth="1"/>
  </cols>
  <sheetData>
    <row r="1" spans="6:19" ht="26.25" customHeight="1">
      <c r="F1" s="5" t="s">
        <v>10</v>
      </c>
      <c r="H1" s="5" t="s">
        <v>9</v>
      </c>
      <c r="L1" s="5" t="s">
        <v>23</v>
      </c>
      <c r="M1" s="5" t="s">
        <v>20</v>
      </c>
      <c r="P1" s="2" t="s">
        <v>345</v>
      </c>
      <c r="S1" s="1" t="s">
        <v>347</v>
      </c>
    </row>
    <row r="2" spans="2:19" s="2" customFormat="1" ht="21" customHeight="1">
      <c r="B2" s="2" t="s">
        <v>0</v>
      </c>
      <c r="C2" s="2" t="s">
        <v>1</v>
      </c>
      <c r="D2" s="2" t="s">
        <v>72</v>
      </c>
      <c r="E2" s="2" t="s">
        <v>2</v>
      </c>
      <c r="F2" s="2" t="s">
        <v>3</v>
      </c>
      <c r="G2" s="2" t="s">
        <v>11</v>
      </c>
      <c r="H2" s="2" t="s">
        <v>8</v>
      </c>
      <c r="I2" s="2" t="s">
        <v>4</v>
      </c>
      <c r="J2" s="2" t="s">
        <v>12</v>
      </c>
      <c r="K2" s="2" t="s">
        <v>13</v>
      </c>
      <c r="L2" s="2" t="s">
        <v>22</v>
      </c>
      <c r="M2" s="2" t="s">
        <v>21</v>
      </c>
      <c r="N2" s="2" t="s">
        <v>14</v>
      </c>
      <c r="O2" s="2" t="s">
        <v>346</v>
      </c>
      <c r="P2" s="2" t="s">
        <v>27</v>
      </c>
      <c r="Q2" s="2" t="s">
        <v>15</v>
      </c>
      <c r="R2" s="6"/>
      <c r="S2" s="2" t="s">
        <v>139</v>
      </c>
    </row>
    <row r="3" spans="1:19" ht="23.25">
      <c r="A3" s="17" t="s">
        <v>17</v>
      </c>
      <c r="B3" s="19">
        <v>-1.7</v>
      </c>
      <c r="C3" s="17">
        <v>1</v>
      </c>
      <c r="D3" s="17">
        <v>7.58</v>
      </c>
      <c r="E3" s="17">
        <f>fitModel!R18</f>
        <v>760.25</v>
      </c>
      <c r="F3" s="17">
        <v>0.128</v>
      </c>
      <c r="G3" s="17">
        <f>simDau!$H$2</f>
        <v>0.709601535842548</v>
      </c>
      <c r="H3" s="19">
        <f>simDau!K2</f>
        <v>0.5693496543735754</v>
      </c>
      <c r="I3" s="17">
        <v>0.99</v>
      </c>
      <c r="J3" s="18">
        <f>J7+J9</f>
        <v>2750000000</v>
      </c>
      <c r="K3" s="17">
        <v>0.88</v>
      </c>
      <c r="L3" s="17">
        <v>2260</v>
      </c>
      <c r="M3" s="18">
        <f>J3/K3/(L3*1000000)</f>
        <v>1.3827433628318584</v>
      </c>
      <c r="N3" s="17">
        <v>0.9362</v>
      </c>
      <c r="O3" s="17">
        <v>1.015</v>
      </c>
      <c r="P3" s="19">
        <f>(E3/F3/G3/H3/I3)/J3*10^6/C3*K3/N3*O3</f>
        <v>5.151871714232493</v>
      </c>
      <c r="Q3" s="19">
        <f>P3/(P75*D3)</f>
        <v>1.1422256425209065</v>
      </c>
      <c r="R3" s="19"/>
      <c r="S3" s="1">
        <f>rdaY!O3/Q3</f>
        <v>1.0303125075179835</v>
      </c>
    </row>
    <row r="4" spans="1:22" ht="23.25">
      <c r="A4" s="17" t="s">
        <v>24</v>
      </c>
      <c r="B4" s="14"/>
      <c r="C4" s="17"/>
      <c r="D4" s="17">
        <v>0.3</v>
      </c>
      <c r="E4" s="17">
        <f>fitModel!R19</f>
        <v>31.89566323708183</v>
      </c>
      <c r="F4" s="17"/>
      <c r="G4" s="17"/>
      <c r="H4" s="19">
        <f>simDau!K3</f>
        <v>0.004781873696320506</v>
      </c>
      <c r="I4" s="17"/>
      <c r="J4" s="18"/>
      <c r="K4" s="17"/>
      <c r="L4" s="31" t="s">
        <v>35</v>
      </c>
      <c r="M4" s="32" t="s">
        <v>36</v>
      </c>
      <c r="N4" s="126"/>
      <c r="O4" s="126" t="s">
        <v>35</v>
      </c>
      <c r="P4" s="19">
        <f>SQRT((E4/E3)^2+(H4/H3)^2)*P3</f>
        <v>0.220431090749921</v>
      </c>
      <c r="Q4" s="19">
        <f>SQRT((P4/P3)^2+(P76/P75)^2)*Q3</f>
        <v>0.08997690407292296</v>
      </c>
      <c r="R4" s="19"/>
      <c r="S4" s="126"/>
      <c r="T4" s="126"/>
      <c r="U4" s="126"/>
      <c r="V4" s="31"/>
    </row>
    <row r="5" spans="1:22" ht="23.25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8"/>
      <c r="K5" s="17"/>
      <c r="L5" s="90">
        <f>syst!D23</f>
        <v>0.08627861844049196</v>
      </c>
      <c r="M5" s="7">
        <f>syst!D25</f>
        <v>0.12666491226855212</v>
      </c>
      <c r="N5" s="19"/>
      <c r="O5" s="19">
        <f>SQRT((L5*P3)^2+P4^2)</f>
        <v>0.49615208572328034</v>
      </c>
      <c r="P5" s="19">
        <f>SQRT((M5*P3)^2+P4^2)</f>
        <v>0.6887860471458299</v>
      </c>
      <c r="Q5" s="19">
        <f>SQRT((S5*Q3)^2+Q4^2)</f>
        <v>0.08997690407292296</v>
      </c>
      <c r="R5" s="19"/>
      <c r="S5" s="90"/>
      <c r="T5" s="90"/>
      <c r="U5" s="90"/>
      <c r="V5" s="90"/>
    </row>
    <row r="6" spans="1:22" ht="23.2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8"/>
      <c r="K6" s="17"/>
      <c r="L6" s="90">
        <f>syst!D24</f>
        <v>0.08774964387392122</v>
      </c>
      <c r="M6" s="7">
        <f>syst!D26</f>
        <v>0.1442220510185596</v>
      </c>
      <c r="N6" s="19"/>
      <c r="O6" s="19">
        <f>SQRT((L6*P3)^2+P4^2)</f>
        <v>0.5029528689653713</v>
      </c>
      <c r="P6" s="19">
        <f>SQRT((M6*P3)^2+P4^2)</f>
        <v>0.7750218930425797</v>
      </c>
      <c r="Q6" s="19">
        <f>SQRT((S6*Q3)^2+Q4^2)</f>
        <v>0.08997690407292296</v>
      </c>
      <c r="R6" s="19"/>
      <c r="S6" s="90"/>
      <c r="T6" s="90"/>
      <c r="U6" s="90"/>
      <c r="V6" s="90"/>
    </row>
    <row r="7" spans="1:22" ht="23.25">
      <c r="A7" s="14" t="s">
        <v>18</v>
      </c>
      <c r="B7" s="14">
        <f>B3</f>
        <v>-1.7</v>
      </c>
      <c r="C7" s="14">
        <v>1</v>
      </c>
      <c r="D7" s="14">
        <f>D3</f>
        <v>7.58</v>
      </c>
      <c r="E7" s="14">
        <f>fitModel!R22</f>
        <v>233.5</v>
      </c>
      <c r="F7" s="14">
        <v>0.128</v>
      </c>
      <c r="G7" s="14">
        <f>G3</f>
        <v>0.709601535842548</v>
      </c>
      <c r="H7" s="14">
        <f>simDau!J2</f>
        <v>0.37784628031237155</v>
      </c>
      <c r="I7" s="14">
        <v>0.99</v>
      </c>
      <c r="J7" s="26">
        <v>1184000000</v>
      </c>
      <c r="K7" s="14">
        <f>$K$3</f>
        <v>0.88</v>
      </c>
      <c r="L7" s="14">
        <f>$L$3</f>
        <v>2260</v>
      </c>
      <c r="M7" s="15">
        <f>J7/K7/(L7*1000000)</f>
        <v>0.5953338696701529</v>
      </c>
      <c r="N7" s="14">
        <f>$N$3</f>
        <v>0.9362</v>
      </c>
      <c r="O7" s="14">
        <v>1.015</v>
      </c>
      <c r="P7" s="7">
        <f>(E7/F7/G7/H7/I7)/J7*10^6/C7*K7/N7*O7</f>
        <v>5.537839923418209</v>
      </c>
      <c r="Q7" s="7">
        <f>P7/(P75*D7)</f>
        <v>1.2277989661950728</v>
      </c>
      <c r="R7" s="7"/>
      <c r="U7" s="19"/>
      <c r="V7" s="19"/>
    </row>
    <row r="8" spans="1:22" ht="23.25">
      <c r="A8" s="14"/>
      <c r="B8" s="14"/>
      <c r="C8" s="14"/>
      <c r="D8" s="14">
        <f>D4</f>
        <v>0.3</v>
      </c>
      <c r="E8" s="14">
        <f>fitModel!R23</f>
        <v>15</v>
      </c>
      <c r="F8" s="14"/>
      <c r="G8" s="14"/>
      <c r="H8" s="14">
        <f>simDau!J3</f>
        <v>0.003940819297168749</v>
      </c>
      <c r="I8" s="14"/>
      <c r="J8" s="15"/>
      <c r="K8" s="14"/>
      <c r="L8" s="14"/>
      <c r="M8" s="15"/>
      <c r="N8" s="14"/>
      <c r="O8" s="14"/>
      <c r="P8" s="7">
        <f>SQRT((E8/E7)^2+(H8/H7)^2)*P7</f>
        <v>0.3604080514779038</v>
      </c>
      <c r="Q8" s="7">
        <f>SQRT((P8/P7)^2+(P76/P75)^2)*Q7</f>
        <v>0.11392807584953853</v>
      </c>
      <c r="R8" s="7"/>
      <c r="U8" s="19"/>
      <c r="V8" s="19"/>
    </row>
    <row r="9" spans="1:18" ht="22.5">
      <c r="A9" s="14" t="s">
        <v>19</v>
      </c>
      <c r="B9" s="14">
        <f>B3</f>
        <v>-1.7</v>
      </c>
      <c r="C9" s="14">
        <v>1</v>
      </c>
      <c r="D9" s="14">
        <f>D3</f>
        <v>7.58</v>
      </c>
      <c r="E9" s="14">
        <f>fitModel!R20</f>
        <v>523.25</v>
      </c>
      <c r="F9" s="14">
        <v>0.128</v>
      </c>
      <c r="G9" s="14">
        <f>G3</f>
        <v>0.709601535842548</v>
      </c>
      <c r="H9" s="14">
        <f>simDau!I2</f>
        <v>0.7141389231401561</v>
      </c>
      <c r="I9" s="14">
        <v>0.99</v>
      </c>
      <c r="J9" s="15">
        <v>1566000000</v>
      </c>
      <c r="K9" s="14">
        <f>$K$3</f>
        <v>0.88</v>
      </c>
      <c r="L9" s="14">
        <f>$L$3</f>
        <v>2260</v>
      </c>
      <c r="M9" s="15">
        <f>J9/K9/(L9*1000000)</f>
        <v>0.7874094931617055</v>
      </c>
      <c r="N9" s="14">
        <f>$N$3</f>
        <v>0.9362</v>
      </c>
      <c r="O9" s="14">
        <v>1.015</v>
      </c>
      <c r="P9" s="7">
        <f>(E9/F9/G9/H9/I9)/J9*10^6/C9*K9/N9*O9</f>
        <v>4.964267112108062</v>
      </c>
      <c r="Q9" s="7">
        <f>P9/(P75*D9)</f>
        <v>1.100631674524873</v>
      </c>
      <c r="R9" s="7"/>
    </row>
    <row r="10" spans="1:18" ht="22.5">
      <c r="A10" s="14"/>
      <c r="B10" s="14"/>
      <c r="C10" s="14"/>
      <c r="D10" s="14">
        <f>D4</f>
        <v>0.3</v>
      </c>
      <c r="E10" s="14">
        <f>fitModel!R21</f>
        <v>32.2335229225724</v>
      </c>
      <c r="F10" s="14"/>
      <c r="G10" s="14"/>
      <c r="H10" s="14">
        <f>simDau!I3</f>
        <v>0.005417766677543801</v>
      </c>
      <c r="I10" s="14"/>
      <c r="J10" s="15"/>
      <c r="K10" s="14"/>
      <c r="L10" s="14"/>
      <c r="M10" s="15"/>
      <c r="N10" s="14"/>
      <c r="O10" s="14"/>
      <c r="P10" s="7">
        <f>SQRT((E10/E9)^2+(H10/H9)^2)*P9</f>
        <v>0.30812168415309765</v>
      </c>
      <c r="Q10" s="7">
        <f>SQRT((P10/P9)^2+(P76/P75)^2)*Q9</f>
        <v>0.09983019128107756</v>
      </c>
      <c r="R10" s="7"/>
    </row>
    <row r="11" spans="1:19" ht="23.25">
      <c r="A11" s="17" t="s">
        <v>17</v>
      </c>
      <c r="B11" s="17">
        <v>-1.95</v>
      </c>
      <c r="C11" s="17">
        <v>0.5</v>
      </c>
      <c r="D11" s="17">
        <v>7.58</v>
      </c>
      <c r="E11" s="17">
        <f>fitModel!R24</f>
        <v>253.25</v>
      </c>
      <c r="F11" s="17">
        <v>0.128</v>
      </c>
      <c r="G11" s="17">
        <f>simDau!$H$4</f>
        <v>0.7247226962457338</v>
      </c>
      <c r="H11" s="19">
        <f>simDau!K4</f>
        <v>0.585836711485718</v>
      </c>
      <c r="I11" s="17">
        <v>0.99</v>
      </c>
      <c r="J11" s="18">
        <f>J3</f>
        <v>2750000000</v>
      </c>
      <c r="K11" s="17">
        <v>0.88</v>
      </c>
      <c r="L11" s="17">
        <f>$L$3</f>
        <v>2260</v>
      </c>
      <c r="M11" s="18">
        <f>J11/K11/(L11*1000000)</f>
        <v>1.3827433628318584</v>
      </c>
      <c r="N11" s="17">
        <f>$N$3</f>
        <v>0.9362</v>
      </c>
      <c r="O11" s="17">
        <v>1.015</v>
      </c>
      <c r="P11" s="19">
        <f>(E11/F11/G11/H11/I11)/J11*10^6/C11*K11/N11*O11</f>
        <v>3.2661281711467414</v>
      </c>
      <c r="Q11" s="19">
        <f>P11/(P79*D11)</f>
        <v>0.9539016452088582</v>
      </c>
      <c r="R11" s="19"/>
      <c r="S11" s="1">
        <f>rdaY!O11/Q11</f>
        <v>1.0331566797198013</v>
      </c>
    </row>
    <row r="12" spans="1:18" ht="23.25">
      <c r="A12" s="17" t="s">
        <v>24</v>
      </c>
      <c r="B12" s="14"/>
      <c r="C12" s="17"/>
      <c r="D12" s="17">
        <v>0.3</v>
      </c>
      <c r="E12" s="17">
        <f>fitModel!R25</f>
        <v>19.615045245933032</v>
      </c>
      <c r="F12" s="17"/>
      <c r="G12" s="17"/>
      <c r="H12" s="19">
        <f>simDau!K5</f>
        <v>0.007264580691873745</v>
      </c>
      <c r="I12" s="17"/>
      <c r="J12" s="18"/>
      <c r="K12" s="17"/>
      <c r="L12" s="17"/>
      <c r="M12" s="18"/>
      <c r="N12" s="17"/>
      <c r="O12" s="126" t="s">
        <v>35</v>
      </c>
      <c r="P12" s="19">
        <f>SQRT((E12/E11)^2+(H12/H11)^2)*P11</f>
        <v>0.2561939894223939</v>
      </c>
      <c r="Q12" s="19">
        <f>SQRT((P12/P11)^2+(P80/P79)^2)*Q11</f>
        <v>0.10834859879965143</v>
      </c>
      <c r="R12" s="19"/>
    </row>
    <row r="13" spans="1:22" ht="23.25">
      <c r="A13" s="17" t="s">
        <v>31</v>
      </c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4">
        <f>L5</f>
        <v>0.08627861844049196</v>
      </c>
      <c r="M13" s="7">
        <f>M5</f>
        <v>0.12666491226855212</v>
      </c>
      <c r="N13" s="27"/>
      <c r="O13" s="19">
        <f>SQRT((L13*P11)^2+P12^2)</f>
        <v>0.38084763911956876</v>
      </c>
      <c r="P13" s="19">
        <f>SQRT((M13*P11)^2+P12^2)</f>
        <v>0.4866068495243683</v>
      </c>
      <c r="Q13" s="19">
        <f>SQRT((S13*Q11)^2+Q12^2)</f>
        <v>0.10834859879965143</v>
      </c>
      <c r="R13" s="19"/>
      <c r="S13" s="90"/>
      <c r="T13" s="90"/>
      <c r="U13" s="90"/>
      <c r="V13" s="90"/>
    </row>
    <row r="14" spans="1:22" ht="23.25">
      <c r="A14" s="17" t="s">
        <v>32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4">
        <f>L6</f>
        <v>0.08774964387392122</v>
      </c>
      <c r="M14" s="7">
        <f>M6</f>
        <v>0.1442220510185596</v>
      </c>
      <c r="N14" s="27"/>
      <c r="O14" s="19">
        <f>SQRT((L14*P11)^2+P12^2)</f>
        <v>0.3844162172566618</v>
      </c>
      <c r="P14" s="19">
        <f>SQRT((M14*P11)^2+P12^2)</f>
        <v>0.5362101261703434</v>
      </c>
      <c r="Q14" s="19">
        <f>SQRT((S14*Q11)^2+Q12^2)</f>
        <v>0.10834859879965143</v>
      </c>
      <c r="R14" s="19"/>
      <c r="S14" s="90"/>
      <c r="T14" s="90"/>
      <c r="U14" s="90"/>
      <c r="V14" s="90"/>
    </row>
    <row r="15" spans="1:22" ht="23.25">
      <c r="A15" s="14" t="s">
        <v>18</v>
      </c>
      <c r="B15" s="14">
        <f>B11</f>
        <v>-1.95</v>
      </c>
      <c r="C15" s="14">
        <v>0.5</v>
      </c>
      <c r="D15" s="14">
        <f>D11</f>
        <v>7.58</v>
      </c>
      <c r="E15" s="14">
        <f>fitModel!R28</f>
        <v>79</v>
      </c>
      <c r="F15" s="14">
        <v>0.128</v>
      </c>
      <c r="G15" s="14">
        <f>G11</f>
        <v>0.7247226962457338</v>
      </c>
      <c r="H15" s="14">
        <f>simDau!J4</f>
        <v>0.398270787343635</v>
      </c>
      <c r="I15" s="14">
        <v>0.99</v>
      </c>
      <c r="J15" s="15">
        <f>J7</f>
        <v>1184000000</v>
      </c>
      <c r="K15" s="14">
        <f>$K$3</f>
        <v>0.88</v>
      </c>
      <c r="L15" s="14">
        <f>$L$3</f>
        <v>2260</v>
      </c>
      <c r="M15" s="15">
        <f>J15/K15/(L15*1000000)</f>
        <v>0.5953338696701529</v>
      </c>
      <c r="N15" s="14">
        <f>$N$3</f>
        <v>0.9362</v>
      </c>
      <c r="O15" s="14">
        <v>1.015</v>
      </c>
      <c r="P15" s="7">
        <f>(E15/F15/G15/H15/I15)/J15*10^6/C15*K15/N15*O15</f>
        <v>3.480887463998393</v>
      </c>
      <c r="Q15" s="7">
        <f>P15/(P79*D15)</f>
        <v>1.0166239978050686</v>
      </c>
      <c r="R15" s="7"/>
      <c r="U15" s="19"/>
      <c r="V15" s="19"/>
    </row>
    <row r="16" spans="1:22" ht="23.25">
      <c r="A16" s="14"/>
      <c r="B16" s="14"/>
      <c r="C16" s="14"/>
      <c r="D16" s="14">
        <f>D12</f>
        <v>0.3</v>
      </c>
      <c r="E16" s="14">
        <f>fitModel!R29</f>
        <v>9</v>
      </c>
      <c r="F16" s="14"/>
      <c r="G16" s="14"/>
      <c r="H16" s="14">
        <f>simDau!J5</f>
        <v>0.006052495907417991</v>
      </c>
      <c r="I16" s="14"/>
      <c r="J16" s="15"/>
      <c r="K16" s="14"/>
      <c r="L16" s="14"/>
      <c r="M16" s="15"/>
      <c r="N16" s="14"/>
      <c r="O16" s="14"/>
      <c r="P16" s="7">
        <f>SQRT((E16/E15)^2+(H16/H15)^2)*P15</f>
        <v>0.40006947045540175</v>
      </c>
      <c r="Q16" s="7">
        <f>SQRT((P16/P15)^2+(P80/P79)^2)*Q15</f>
        <v>0.1436224979420851</v>
      </c>
      <c r="R16" s="7"/>
      <c r="U16" s="19"/>
      <c r="V16" s="19"/>
    </row>
    <row r="17" spans="1:18" ht="22.5">
      <c r="A17" s="14" t="s">
        <v>19</v>
      </c>
      <c r="B17" s="14">
        <f>B11</f>
        <v>-1.95</v>
      </c>
      <c r="C17" s="14">
        <v>0.5</v>
      </c>
      <c r="D17" s="14">
        <f>D11</f>
        <v>7.58</v>
      </c>
      <c r="E17" s="14">
        <f>fitModel!R26</f>
        <v>189</v>
      </c>
      <c r="F17" s="14">
        <v>0.128</v>
      </c>
      <c r="G17" s="14">
        <f>G11</f>
        <v>0.7247226962457338</v>
      </c>
      <c r="H17" s="14">
        <f>simDau!I4</f>
        <v>0.7276490066225165</v>
      </c>
      <c r="I17" s="14">
        <v>0.99</v>
      </c>
      <c r="J17" s="15">
        <f>J9</f>
        <v>1566000000</v>
      </c>
      <c r="K17" s="14">
        <f>$K$3</f>
        <v>0.88</v>
      </c>
      <c r="L17" s="14">
        <f>$L$3</f>
        <v>2260</v>
      </c>
      <c r="M17" s="15">
        <f>J17/K17/(L17*1000000)</f>
        <v>0.7874094931617055</v>
      </c>
      <c r="N17" s="14">
        <f>$N$3</f>
        <v>0.9362</v>
      </c>
      <c r="O17" s="14">
        <v>1.015</v>
      </c>
      <c r="P17" s="7">
        <f>(E17/F17/G17/H17/I17)/J17*10^6/C17*K17/N17*O17</f>
        <v>3.446205349882152</v>
      </c>
      <c r="Q17" s="7">
        <f>P17/(P79*D17)</f>
        <v>1.0064947793601022</v>
      </c>
      <c r="R17" s="7"/>
    </row>
    <row r="18" spans="1:18" ht="22.5">
      <c r="A18" s="14"/>
      <c r="B18" s="14"/>
      <c r="C18" s="14"/>
      <c r="D18" s="14">
        <f>D12</f>
        <v>0.3</v>
      </c>
      <c r="E18" s="14">
        <f>fitModel!R27</f>
        <v>15</v>
      </c>
      <c r="F18" s="14"/>
      <c r="G18" s="14"/>
      <c r="H18" s="14">
        <f>simDau!I5</f>
        <v>0.00818099728497439</v>
      </c>
      <c r="I18" s="14"/>
      <c r="J18" s="15"/>
      <c r="K18" s="14"/>
      <c r="L18" s="14"/>
      <c r="M18" s="15"/>
      <c r="N18" s="14"/>
      <c r="O18" s="14"/>
      <c r="P18" s="7">
        <f>SQRT((E18/E17)^2+(H18/H17)^2)*P17</f>
        <v>0.27623914699448937</v>
      </c>
      <c r="Q18" s="7">
        <f>SQRT((P18/P17)^2+(P80/P79)^2)*Q17</f>
        <v>0.11552314372677089</v>
      </c>
      <c r="R18" s="7"/>
    </row>
    <row r="19" spans="1:19" ht="23.25">
      <c r="A19" s="17" t="s">
        <v>17</v>
      </c>
      <c r="B19" s="17">
        <v>-1.45</v>
      </c>
      <c r="C19" s="17">
        <v>0.5</v>
      </c>
      <c r="D19" s="17">
        <v>7.58</v>
      </c>
      <c r="E19" s="17">
        <f>fitModel!R30</f>
        <v>474</v>
      </c>
      <c r="F19" s="17">
        <v>0.128</v>
      </c>
      <c r="G19" s="17">
        <f>simDau!$H$6</f>
        <v>0.6978390944207717</v>
      </c>
      <c r="H19" s="19">
        <f>simDau!K6</f>
        <v>0.5560306407814211</v>
      </c>
      <c r="I19" s="17">
        <v>0.99</v>
      </c>
      <c r="J19" s="18">
        <f>J3</f>
        <v>2750000000</v>
      </c>
      <c r="K19" s="17">
        <v>0.88</v>
      </c>
      <c r="L19" s="17">
        <f>$L$3</f>
        <v>2260</v>
      </c>
      <c r="M19" s="18">
        <f>J19/K19/(L19*1000000)</f>
        <v>1.3827433628318584</v>
      </c>
      <c r="N19" s="17">
        <f>$N$3</f>
        <v>0.9362</v>
      </c>
      <c r="O19" s="17">
        <v>1.015</v>
      </c>
      <c r="P19" s="19">
        <f>(E19/F19/G19/H19/I19)/J19*10^6/C19*K19/N19*O19</f>
        <v>6.688928233783104</v>
      </c>
      <c r="Q19" s="19">
        <f>P19/(P77*D19)</f>
        <v>1.0752898224549905</v>
      </c>
      <c r="R19" s="19"/>
      <c r="S19" s="1">
        <f>rdaY!O19/Q19</f>
        <v>1.0350905419698502</v>
      </c>
    </row>
    <row r="20" spans="1:18" ht="23.25">
      <c r="A20" s="17" t="s">
        <v>24</v>
      </c>
      <c r="B20" s="17"/>
      <c r="C20" s="17"/>
      <c r="D20" s="17">
        <v>0.3</v>
      </c>
      <c r="E20" s="17">
        <f>fitModel!R31</f>
        <v>27.569608871605947</v>
      </c>
      <c r="F20" s="17"/>
      <c r="G20" s="17"/>
      <c r="H20" s="19">
        <f>simDau!K7</f>
        <v>0.006347338249039791</v>
      </c>
      <c r="I20" s="17"/>
      <c r="J20" s="18"/>
      <c r="K20" s="17"/>
      <c r="L20" s="17"/>
      <c r="M20" s="18"/>
      <c r="N20" s="17"/>
      <c r="O20" s="126" t="s">
        <v>35</v>
      </c>
      <c r="P20" s="19">
        <f>SQRT((E20/E19)^2+(H20/H19)^2)*P19</f>
        <v>0.39647530304209766</v>
      </c>
      <c r="Q20" s="19">
        <f>SQRT((P20/P19)^2+(P78/P77)^2)*Q19</f>
        <v>0.10881157545491654</v>
      </c>
      <c r="R20" s="19"/>
    </row>
    <row r="21" spans="1:22" ht="23.25">
      <c r="A21" s="17" t="s">
        <v>31</v>
      </c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4">
        <f>L5</f>
        <v>0.08627861844049196</v>
      </c>
      <c r="M21" s="7">
        <f>M5</f>
        <v>0.12666491226855212</v>
      </c>
      <c r="N21" s="27"/>
      <c r="O21" s="19">
        <f>SQRT((L21*P19)^2+P20^2)</f>
        <v>0.7001787873009604</v>
      </c>
      <c r="P21" s="19">
        <f>SQRT((M21*P19)^2+P20^2)</f>
        <v>0.9354301032519053</v>
      </c>
      <c r="Q21" s="19">
        <f>SQRT((S21*Q19)^2+Q20^2)</f>
        <v>0.10881157545491654</v>
      </c>
      <c r="R21" s="19"/>
      <c r="S21" s="7"/>
      <c r="T21" s="7"/>
      <c r="U21" s="90"/>
      <c r="V21" s="90"/>
    </row>
    <row r="22" spans="1:22" ht="23.25">
      <c r="A22" s="17" t="s">
        <v>32</v>
      </c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4">
        <f>L6</f>
        <v>0.08774964387392122</v>
      </c>
      <c r="M22" s="7">
        <f>M6</f>
        <v>0.1442220510185596</v>
      </c>
      <c r="N22" s="27"/>
      <c r="O22" s="19">
        <f>SQRT((L22*P19)^2+P20^2)</f>
        <v>0.7083108251191131</v>
      </c>
      <c r="P22" s="19">
        <f>SQRT((M22*P19)^2+P20^2)</f>
        <v>1.0429867175519059</v>
      </c>
      <c r="Q22" s="19">
        <f>SQRT((S22*Q19)^2+Q20^2)</f>
        <v>0.10881157545491654</v>
      </c>
      <c r="R22" s="19"/>
      <c r="S22" s="7"/>
      <c r="T22" s="7"/>
      <c r="U22" s="90"/>
      <c r="V22" s="90"/>
    </row>
    <row r="23" spans="1:22" ht="23.25">
      <c r="A23" s="14" t="s">
        <v>18</v>
      </c>
      <c r="B23" s="14">
        <f>B19</f>
        <v>-1.45</v>
      </c>
      <c r="C23" s="14">
        <v>0.5</v>
      </c>
      <c r="D23" s="14">
        <f>D19</f>
        <v>7.58</v>
      </c>
      <c r="E23" s="14">
        <f>fitModel!R34</f>
        <v>163</v>
      </c>
      <c r="F23" s="14">
        <v>0.128</v>
      </c>
      <c r="G23" s="14">
        <f>G19</f>
        <v>0.6978390944207717</v>
      </c>
      <c r="H23" s="14">
        <f>simDau!J6</f>
        <v>0.3613464110566206</v>
      </c>
      <c r="I23" s="14">
        <v>0.99</v>
      </c>
      <c r="J23" s="15">
        <f>J7</f>
        <v>1184000000</v>
      </c>
      <c r="K23" s="14">
        <f>$K$3</f>
        <v>0.88</v>
      </c>
      <c r="L23" s="14">
        <f>$L$3</f>
        <v>2260</v>
      </c>
      <c r="M23" s="15">
        <f>J23/K23/(L23*1000000)</f>
        <v>0.5953338696701529</v>
      </c>
      <c r="N23" s="14">
        <f>$N$3</f>
        <v>0.9362</v>
      </c>
      <c r="O23" s="14">
        <v>1.015</v>
      </c>
      <c r="P23" s="7">
        <f>(E23/F23/G23/H23/I23)/J23*10^6/C23*K23/N23*O23</f>
        <v>8.220945508599236</v>
      </c>
      <c r="Q23" s="7">
        <f>P23/(P77*D23)</f>
        <v>1.321571816499245</v>
      </c>
      <c r="R23" s="7"/>
      <c r="U23" s="19"/>
      <c r="V23" s="19"/>
    </row>
    <row r="24" spans="1:22" ht="23.25">
      <c r="A24" s="14"/>
      <c r="B24" s="14"/>
      <c r="C24" s="14"/>
      <c r="D24" s="14">
        <f>D20</f>
        <v>0.3</v>
      </c>
      <c r="E24" s="14">
        <f>fitModel!R35</f>
        <v>12</v>
      </c>
      <c r="F24" s="14"/>
      <c r="G24" s="14"/>
      <c r="H24" s="14">
        <f>simDau!J7</f>
        <v>0.00518169218951141</v>
      </c>
      <c r="I24" s="14"/>
      <c r="J24" s="15"/>
      <c r="K24" s="14"/>
      <c r="L24" s="14"/>
      <c r="M24" s="15"/>
      <c r="N24" s="14"/>
      <c r="O24" s="14"/>
      <c r="P24" s="7">
        <f>SQRT((E24/E23)^2+(H24/H23)^2)*P23</f>
        <v>0.6165974707995286</v>
      </c>
      <c r="Q24" s="7">
        <f>SQRT((P24/P23)^2+(P78/P77)^2)*Q23</f>
        <v>0.14687968955337263</v>
      </c>
      <c r="R24" s="7"/>
      <c r="U24" s="19"/>
      <c r="V24" s="19"/>
    </row>
    <row r="25" spans="1:18" ht="22.5">
      <c r="A25" s="14" t="s">
        <v>19</v>
      </c>
      <c r="B25" s="14">
        <f>B19</f>
        <v>-1.45</v>
      </c>
      <c r="C25" s="14">
        <v>0.5</v>
      </c>
      <c r="D25" s="14">
        <f>D19</f>
        <v>7.58</v>
      </c>
      <c r="E25" s="14">
        <f>fitModel!R32</f>
        <v>346</v>
      </c>
      <c r="F25" s="14">
        <v>0.128</v>
      </c>
      <c r="G25" s="14">
        <f>G19</f>
        <v>0.6978390944207717</v>
      </c>
      <c r="H25" s="14">
        <f>simDau!I6</f>
        <v>0.7032248476742458</v>
      </c>
      <c r="I25" s="14">
        <v>0.99</v>
      </c>
      <c r="J25" s="15">
        <f>J9</f>
        <v>1566000000</v>
      </c>
      <c r="K25" s="14">
        <f>$K$3</f>
        <v>0.88</v>
      </c>
      <c r="L25" s="14">
        <f>$L$3</f>
        <v>2260</v>
      </c>
      <c r="M25" s="15">
        <f>J25/K25/(L25*1000000)</f>
        <v>0.7874094931617055</v>
      </c>
      <c r="N25" s="14">
        <f>$N$3</f>
        <v>0.9362</v>
      </c>
      <c r="O25" s="14">
        <v>1.015</v>
      </c>
      <c r="P25" s="7">
        <f>(E25/F25/G25/H25/I25)/J25*10^6/C25*K25/N25*O25</f>
        <v>6.779532492863525</v>
      </c>
      <c r="Q25" s="7">
        <f>P25/(P77*D25)</f>
        <v>1.0898550613475522</v>
      </c>
      <c r="R25" s="7"/>
    </row>
    <row r="26" spans="1:18" ht="22.5">
      <c r="A26" s="14"/>
      <c r="B26" s="14"/>
      <c r="C26" s="14"/>
      <c r="D26" s="14">
        <f>D20</f>
        <v>0.3</v>
      </c>
      <c r="E26" s="14">
        <f>fitModel!R33</f>
        <v>20</v>
      </c>
      <c r="F26" s="14"/>
      <c r="G26" s="14"/>
      <c r="H26" s="14">
        <f>simDau!I7</f>
        <v>0.007228644082042091</v>
      </c>
      <c r="I26" s="14"/>
      <c r="J26" s="15"/>
      <c r="K26" s="14"/>
      <c r="L26" s="14"/>
      <c r="M26" s="15"/>
      <c r="N26" s="14"/>
      <c r="O26" s="14"/>
      <c r="P26" s="7">
        <f>SQRT((E26/E25)^2+(H26/H25)^2)*P25</f>
        <v>0.398028685478459</v>
      </c>
      <c r="Q26" s="7">
        <f>SQRT((P26/P25)^2+(P78/P77)^2)*Q25</f>
        <v>0.10992717496983509</v>
      </c>
      <c r="R26" s="7"/>
    </row>
    <row r="27" spans="1:19" s="11" customFormat="1" ht="23.25">
      <c r="A27" s="20" t="s">
        <v>17</v>
      </c>
      <c r="B27" s="20">
        <v>1.8</v>
      </c>
      <c r="C27" s="20">
        <v>1.2</v>
      </c>
      <c r="D27" s="20">
        <v>7.58</v>
      </c>
      <c r="E27" s="20">
        <f>fitModel!R37</f>
        <v>895.75</v>
      </c>
      <c r="F27" s="20">
        <v>0.127</v>
      </c>
      <c r="G27" s="20">
        <f>simDau!$H$8</f>
        <v>0.8161130143639365</v>
      </c>
      <c r="H27" s="22">
        <f>simDau!K8</f>
        <v>0.6597665703119843</v>
      </c>
      <c r="I27" s="20">
        <v>0.93</v>
      </c>
      <c r="J27" s="21">
        <f>J31+J33</f>
        <v>3264000000</v>
      </c>
      <c r="K27" s="20">
        <f>$K$3</f>
        <v>0.88</v>
      </c>
      <c r="L27" s="20">
        <f>$L$3</f>
        <v>2260</v>
      </c>
      <c r="M27" s="21">
        <f>J27/K27/(L27*1000000)</f>
        <v>1.6411906677393402</v>
      </c>
      <c r="N27" s="20">
        <f>$N$3</f>
        <v>0.9362</v>
      </c>
      <c r="O27" s="20">
        <v>1.022</v>
      </c>
      <c r="P27" s="22">
        <f>(E27/F27/G27/H27/I27)/J27*10^6/C27*K27/N27*O27</f>
        <v>3.454562643043186</v>
      </c>
      <c r="Q27" s="22">
        <f>P27/(P75*D27)</f>
        <v>0.7659138762477063</v>
      </c>
      <c r="R27" s="22"/>
      <c r="S27" s="1">
        <f>rdaY!O27/Q27</f>
        <v>1.0303125075179838</v>
      </c>
    </row>
    <row r="28" spans="1:18" s="11" customFormat="1" ht="23.25">
      <c r="A28" s="20" t="s">
        <v>24</v>
      </c>
      <c r="B28" s="20"/>
      <c r="C28" s="20"/>
      <c r="D28" s="20">
        <v>0.3</v>
      </c>
      <c r="E28" s="20">
        <f>fitModel!R38</f>
        <v>35.46947044055399</v>
      </c>
      <c r="F28" s="20"/>
      <c r="G28" s="20"/>
      <c r="H28" s="22">
        <f>simDau!K9</f>
        <v>0.004596207039428428</v>
      </c>
      <c r="I28" s="20"/>
      <c r="J28" s="21"/>
      <c r="K28" s="20"/>
      <c r="L28" s="33" t="s">
        <v>35</v>
      </c>
      <c r="M28" s="34" t="s">
        <v>36</v>
      </c>
      <c r="N28" s="20"/>
      <c r="O28" s="237" t="s">
        <v>35</v>
      </c>
      <c r="P28" s="22">
        <f>SQRT((E28/E27)^2+(H28/H27)^2)*P27</f>
        <v>0.1388929152836066</v>
      </c>
      <c r="Q28" s="22">
        <f>SQRT((P28/P27)^2+(P76/P75)^2)*Q27</f>
        <v>0.05928309986309466</v>
      </c>
      <c r="R28" s="22"/>
    </row>
    <row r="29" spans="1:22" s="11" customFormat="1" ht="23.25">
      <c r="A29" s="20" t="s">
        <v>31</v>
      </c>
      <c r="B29" s="20"/>
      <c r="C29" s="20"/>
      <c r="D29" s="20"/>
      <c r="E29" s="20"/>
      <c r="F29" s="20"/>
      <c r="G29" s="20"/>
      <c r="H29" s="20"/>
      <c r="I29" s="20"/>
      <c r="J29" s="21"/>
      <c r="K29" s="20"/>
      <c r="L29" s="8">
        <f>syst!E23</f>
        <v>0.065</v>
      </c>
      <c r="M29" s="8">
        <f>syst!E25</f>
        <v>0.12379418403139947</v>
      </c>
      <c r="N29" s="29"/>
      <c r="O29" s="22">
        <f>SQRT((L29*P27)^2+P28^2)</f>
        <v>0.26403106791081776</v>
      </c>
      <c r="P29" s="22">
        <f>SQRT((M29*P27)^2+P28^2)</f>
        <v>0.4496441245356182</v>
      </c>
      <c r="Q29" s="22">
        <f>SQRT((S29*Q27)^2+Q28^2)</f>
        <v>0.05928309986309466</v>
      </c>
      <c r="R29" s="22"/>
      <c r="S29" s="108"/>
      <c r="T29" s="108"/>
      <c r="U29" s="129"/>
      <c r="V29" s="129"/>
    </row>
    <row r="30" spans="1:22" s="11" customFormat="1" ht="23.25">
      <c r="A30" s="20" t="s">
        <v>32</v>
      </c>
      <c r="B30" s="20"/>
      <c r="C30" s="20"/>
      <c r="D30" s="20"/>
      <c r="E30" s="20"/>
      <c r="F30" s="20"/>
      <c r="G30" s="20"/>
      <c r="H30" s="20"/>
      <c r="I30" s="20"/>
      <c r="J30" s="21"/>
      <c r="K30" s="20"/>
      <c r="L30" s="8">
        <f>syst!E24</f>
        <v>0.06503076195155644</v>
      </c>
      <c r="M30" s="8">
        <f>syst!E26</f>
        <v>0.14081548210335398</v>
      </c>
      <c r="N30" s="29"/>
      <c r="O30" s="22">
        <f>SQRT((L30*P27)^2+P28^2)</f>
        <v>0.2641214509167055</v>
      </c>
      <c r="P30" s="22">
        <f>SQRT((M30*P27)^2+P28^2)</f>
        <v>0.5058958277035049</v>
      </c>
      <c r="Q30" s="22">
        <f>SQRT((S30*Q27)^2+Q28^2)</f>
        <v>0.05928309986309466</v>
      </c>
      <c r="R30" s="22"/>
      <c r="S30" s="108"/>
      <c r="T30" s="108"/>
      <c r="U30" s="129"/>
      <c r="V30" s="129"/>
    </row>
    <row r="31" spans="1:22" s="11" customFormat="1" ht="23.25">
      <c r="A31" s="11" t="s">
        <v>18</v>
      </c>
      <c r="B31" s="11">
        <f>B27</f>
        <v>1.8</v>
      </c>
      <c r="C31" s="11">
        <v>1.2</v>
      </c>
      <c r="D31" s="11">
        <f>D27</f>
        <v>7.58</v>
      </c>
      <c r="E31" s="11">
        <f>fitModel!R41</f>
        <v>342.25</v>
      </c>
      <c r="F31" s="11">
        <v>0.127</v>
      </c>
      <c r="G31" s="11">
        <f>G27</f>
        <v>0.8161130143639365</v>
      </c>
      <c r="H31" s="11">
        <f>simDau!J8</f>
        <v>0.5256939592199708</v>
      </c>
      <c r="I31" s="11">
        <v>0.93</v>
      </c>
      <c r="J31" s="12">
        <v>1553000000</v>
      </c>
      <c r="K31" s="11">
        <f>$K$3</f>
        <v>0.88</v>
      </c>
      <c r="L31" s="11">
        <f>$L$3</f>
        <v>2260</v>
      </c>
      <c r="M31" s="12">
        <f>J31/K31/(L31*1000000)</f>
        <v>0.7808728881737731</v>
      </c>
      <c r="N31" s="11">
        <f>$N$3</f>
        <v>0.9362</v>
      </c>
      <c r="O31" s="11">
        <v>1.022</v>
      </c>
      <c r="P31" s="8">
        <f>(E31/F31/G31/H31/I31)/J31*10^6/C31*K31/N31*O31</f>
        <v>3.4816549383226416</v>
      </c>
      <c r="Q31" s="8">
        <f>P31/(P75*D31)</f>
        <v>0.7719205309354488</v>
      </c>
      <c r="R31" s="8"/>
      <c r="U31" s="130"/>
      <c r="V31" s="22"/>
    </row>
    <row r="32" spans="4:22" s="11" customFormat="1" ht="23.25">
      <c r="D32" s="11">
        <f>D28</f>
        <v>0.3</v>
      </c>
      <c r="E32" s="11">
        <f>fitModel!R42</f>
        <v>22.03028218914441</v>
      </c>
      <c r="H32" s="11">
        <f>simDau!J9</f>
        <v>0.004086088302375758</v>
      </c>
      <c r="J32" s="12"/>
      <c r="M32" s="12"/>
      <c r="P32" s="8">
        <f>SQRT((E32/E31)^2+(H32/H31)^2)*P31</f>
        <v>0.2257385635677645</v>
      </c>
      <c r="Q32" s="8">
        <f>SQRT((P32/P31)^2+(P76/P75)^2)*Q31</f>
        <v>0.07149469053418041</v>
      </c>
      <c r="R32" s="8"/>
      <c r="U32" s="130"/>
      <c r="V32" s="22"/>
    </row>
    <row r="33" spans="1:18" s="11" customFormat="1" ht="22.5">
      <c r="A33" s="11" t="s">
        <v>19</v>
      </c>
      <c r="B33" s="11">
        <f>B27</f>
        <v>1.8</v>
      </c>
      <c r="C33" s="11">
        <v>1.2</v>
      </c>
      <c r="D33" s="11">
        <f>D27</f>
        <v>7.58</v>
      </c>
      <c r="E33" s="11">
        <f>fitModel!R39</f>
        <v>559.75</v>
      </c>
      <c r="F33" s="11">
        <v>0.127</v>
      </c>
      <c r="G33" s="11">
        <f>G27</f>
        <v>0.8161130143639365</v>
      </c>
      <c r="H33" s="11">
        <f>simDau!I8</f>
        <v>0.7814584259670965</v>
      </c>
      <c r="I33" s="11">
        <v>0.93</v>
      </c>
      <c r="J33" s="12">
        <v>1711000000</v>
      </c>
      <c r="K33" s="11">
        <f>$K$3</f>
        <v>0.88</v>
      </c>
      <c r="L33" s="11">
        <f>$L$3</f>
        <v>2260</v>
      </c>
      <c r="M33" s="12">
        <f>J33/K33/(L33*1000000)</f>
        <v>0.8603177795655671</v>
      </c>
      <c r="N33" s="11">
        <f>$N$3</f>
        <v>0.9362</v>
      </c>
      <c r="O33" s="11">
        <v>1.022</v>
      </c>
      <c r="P33" s="8">
        <f>(E33/F33/G33/H33/I33)/J33*10^6/C33*K33/N33*O33</f>
        <v>3.4768417702004437</v>
      </c>
      <c r="Q33" s="8">
        <f>P33/(P75*D33)</f>
        <v>0.7708533995401249</v>
      </c>
      <c r="R33" s="8"/>
    </row>
    <row r="34" spans="4:18" s="11" customFormat="1" ht="22.5">
      <c r="D34" s="11">
        <f>D28</f>
        <v>0.3</v>
      </c>
      <c r="E34" s="11">
        <f>fitModel!R40</f>
        <v>25</v>
      </c>
      <c r="H34" s="11">
        <f>simDau!I9</f>
        <v>0.004981890682257522</v>
      </c>
      <c r="J34" s="12"/>
      <c r="M34" s="12"/>
      <c r="P34" s="8">
        <f>SQRT((E34/E33)^2+(H34/H33)^2)*P33</f>
        <v>0.15685942184010562</v>
      </c>
      <c r="Q34" s="8">
        <f>SQRT((P34/P33)^2+(P76/P75)^2)*Q33</f>
        <v>0.06171618954358072</v>
      </c>
      <c r="R34" s="8"/>
    </row>
    <row r="35" spans="1:19" s="11" customFormat="1" ht="23.25">
      <c r="A35" s="20" t="s">
        <v>17</v>
      </c>
      <c r="B35" s="20">
        <v>1.45</v>
      </c>
      <c r="C35" s="20">
        <v>0.5</v>
      </c>
      <c r="D35" s="20">
        <v>7.58</v>
      </c>
      <c r="E35" s="20">
        <f>fitModel!R43</f>
        <v>498.75</v>
      </c>
      <c r="F35" s="20">
        <v>0.127</v>
      </c>
      <c r="G35" s="20">
        <f>simDau!$H$10</f>
        <v>0.7215048302423477</v>
      </c>
      <c r="H35" s="22">
        <f>simDau!K10</f>
        <v>0.6404457909159318</v>
      </c>
      <c r="I35" s="20">
        <v>0.93</v>
      </c>
      <c r="J35" s="21">
        <f>J27</f>
        <v>3264000000</v>
      </c>
      <c r="K35" s="20">
        <f>$K$3</f>
        <v>0.88</v>
      </c>
      <c r="L35" s="20">
        <f>$L$3</f>
        <v>2260</v>
      </c>
      <c r="M35" s="21">
        <f>J35/K35/(L35*1000000)</f>
        <v>1.6411906677393402</v>
      </c>
      <c r="N35" s="20">
        <f>$N$3</f>
        <v>0.9362</v>
      </c>
      <c r="O35" s="20">
        <v>1.022</v>
      </c>
      <c r="P35" s="22">
        <f>(E35/F35/G35/H35/I35)/J35*10^6/C35*K35/N35*O35</f>
        <v>5.379221124490836</v>
      </c>
      <c r="Q35" s="22">
        <f>P35/(P77*D35)</f>
        <v>0.8647456701188827</v>
      </c>
      <c r="R35" s="22"/>
      <c r="S35" s="1">
        <f>rdaY!O35/Q35</f>
        <v>1.028000880723481</v>
      </c>
    </row>
    <row r="36" spans="1:18" s="11" customFormat="1" ht="23.25">
      <c r="A36" s="20" t="s">
        <v>24</v>
      </c>
      <c r="B36" s="20"/>
      <c r="C36" s="20"/>
      <c r="D36" s="20">
        <v>0.3</v>
      </c>
      <c r="E36" s="20">
        <f>fitModel!R44</f>
        <v>24.496598403315783</v>
      </c>
      <c r="F36" s="20"/>
      <c r="G36" s="20"/>
      <c r="H36" s="22">
        <f>simDau!K11</f>
        <v>0.006835486588351216</v>
      </c>
      <c r="I36" s="20"/>
      <c r="J36" s="21"/>
      <c r="K36" s="20"/>
      <c r="L36" s="20"/>
      <c r="M36" s="21"/>
      <c r="N36" s="20"/>
      <c r="O36" s="237" t="s">
        <v>35</v>
      </c>
      <c r="P36" s="22">
        <f>SQRT((E36/E35)^2+(H36/H35)^2)*P35</f>
        <v>0.2703717355266049</v>
      </c>
      <c r="Q36" s="22">
        <f>SQRT((P36/P35)^2+(P78/P77)^2)*Q35</f>
        <v>0.08318179892353307</v>
      </c>
      <c r="R36" s="22"/>
    </row>
    <row r="37" spans="1:22" s="11" customFormat="1" ht="23.25">
      <c r="A37" s="20" t="s">
        <v>31</v>
      </c>
      <c r="B37" s="20"/>
      <c r="C37" s="20"/>
      <c r="D37" s="20"/>
      <c r="E37" s="20"/>
      <c r="F37" s="20"/>
      <c r="G37" s="20"/>
      <c r="H37" s="20"/>
      <c r="I37" s="20"/>
      <c r="J37" s="21"/>
      <c r="K37" s="20"/>
      <c r="L37" s="8">
        <f>L29</f>
        <v>0.065</v>
      </c>
      <c r="M37" s="8">
        <f>M29</f>
        <v>0.12379418403139947</v>
      </c>
      <c r="N37" s="29"/>
      <c r="O37" s="22">
        <f>SQRT((L37*P35)^2+P36^2)</f>
        <v>0.4419904517919251</v>
      </c>
      <c r="P37" s="22">
        <f>SQRT((M37*P35)^2+P36^2)</f>
        <v>0.7187109157607806</v>
      </c>
      <c r="Q37" s="22">
        <f>SQRT((S37*Q35)^2+Q36^2)</f>
        <v>0.08318179892353307</v>
      </c>
      <c r="R37" s="22"/>
      <c r="S37" s="8"/>
      <c r="T37" s="8"/>
      <c r="U37" s="129"/>
      <c r="V37" s="129"/>
    </row>
    <row r="38" spans="1:22" s="11" customFormat="1" ht="23.25">
      <c r="A38" s="20" t="s">
        <v>32</v>
      </c>
      <c r="B38" s="20"/>
      <c r="C38" s="20"/>
      <c r="D38" s="20"/>
      <c r="E38" s="20"/>
      <c r="F38" s="20"/>
      <c r="G38" s="20"/>
      <c r="H38" s="20"/>
      <c r="I38" s="20"/>
      <c r="J38" s="21"/>
      <c r="K38" s="20"/>
      <c r="L38" s="8">
        <f>L30</f>
        <v>0.06503076195155644</v>
      </c>
      <c r="M38" s="8">
        <f>M30</f>
        <v>0.14081548210335398</v>
      </c>
      <c r="N38" s="29"/>
      <c r="O38" s="22">
        <f>SQRT((L38*P35)^2+P36^2)</f>
        <v>0.4421213674488655</v>
      </c>
      <c r="P38" s="22">
        <f>SQRT((M38*P35)^2+P36^2)</f>
        <v>0.804284286860736</v>
      </c>
      <c r="Q38" s="22">
        <f>SQRT((S38*Q35)^2+Q36^2)</f>
        <v>0.08318179892353307</v>
      </c>
      <c r="R38" s="22"/>
      <c r="S38" s="8"/>
      <c r="T38" s="8"/>
      <c r="U38" s="129"/>
      <c r="V38" s="129"/>
    </row>
    <row r="39" spans="1:22" s="11" customFormat="1" ht="23.25">
      <c r="A39" s="11" t="s">
        <v>18</v>
      </c>
      <c r="B39" s="11">
        <f>B35</f>
        <v>1.45</v>
      </c>
      <c r="C39" s="11">
        <v>0.5</v>
      </c>
      <c r="D39" s="11">
        <f>D35</f>
        <v>7.58</v>
      </c>
      <c r="E39" s="11">
        <f>fitModel!R47</f>
        <v>204</v>
      </c>
      <c r="F39" s="11">
        <v>0.127</v>
      </c>
      <c r="G39" s="11">
        <f>G35</f>
        <v>0.7215048302423477</v>
      </c>
      <c r="H39" s="11">
        <f>simDau!J10</f>
        <v>0.48587979724837077</v>
      </c>
      <c r="I39" s="11">
        <v>0.93</v>
      </c>
      <c r="J39" s="12">
        <f>J31</f>
        <v>1553000000</v>
      </c>
      <c r="K39" s="11">
        <f>$K$3</f>
        <v>0.88</v>
      </c>
      <c r="L39" s="11">
        <f>$L$3</f>
        <v>2260</v>
      </c>
      <c r="M39" s="12">
        <f>J39/K39/(L39*1000000)</f>
        <v>0.7808728881737731</v>
      </c>
      <c r="N39" s="11">
        <f>$N$3</f>
        <v>0.9362</v>
      </c>
      <c r="O39" s="11">
        <v>1.022</v>
      </c>
      <c r="P39" s="8">
        <f>(E39/F39/G39/H39/I39)/J39*10^6/C39*K39/N39*O39</f>
        <v>6.095353316509061</v>
      </c>
      <c r="Q39" s="8">
        <f>P39/(P77*D39)</f>
        <v>0.979868695915507</v>
      </c>
      <c r="R39" s="8"/>
      <c r="U39" s="130"/>
      <c r="V39" s="22"/>
    </row>
    <row r="40" spans="4:22" s="11" customFormat="1" ht="23.25">
      <c r="D40" s="11">
        <f>D36</f>
        <v>0.3</v>
      </c>
      <c r="E40" s="11">
        <f>fitModel!R48</f>
        <v>15</v>
      </c>
      <c r="H40" s="11">
        <f>simDau!J11</f>
        <v>0.005931541612243995</v>
      </c>
      <c r="J40" s="12"/>
      <c r="M40" s="12"/>
      <c r="P40" s="8">
        <f>SQRT((E40/E39)^2+(H40/H39)^2)*P39</f>
        <v>0.45432286206510514</v>
      </c>
      <c r="Q40" s="8">
        <f>SQRT((P40/P39)^2+(P78/P77)^2)*Q39</f>
        <v>0.10859427254568586</v>
      </c>
      <c r="R40" s="8"/>
      <c r="U40" s="130"/>
      <c r="V40" s="22"/>
    </row>
    <row r="41" spans="1:18" s="11" customFormat="1" ht="22.5">
      <c r="A41" s="11" t="s">
        <v>19</v>
      </c>
      <c r="B41" s="11">
        <f>B35</f>
        <v>1.45</v>
      </c>
      <c r="C41" s="11">
        <v>0.5</v>
      </c>
      <c r="D41" s="11">
        <f>D35</f>
        <v>7.58</v>
      </c>
      <c r="E41" s="11">
        <f>fitModel!R45</f>
        <v>309</v>
      </c>
      <c r="F41" s="11">
        <v>0.127</v>
      </c>
      <c r="G41" s="11">
        <f>G35</f>
        <v>0.7215048302423477</v>
      </c>
      <c r="H41" s="11">
        <f>simDau!I10</f>
        <v>0.7807385952208544</v>
      </c>
      <c r="I41" s="11">
        <v>0.93</v>
      </c>
      <c r="J41" s="12">
        <f>J33</f>
        <v>1711000000</v>
      </c>
      <c r="K41" s="11">
        <f>$K$3</f>
        <v>0.88</v>
      </c>
      <c r="L41" s="11">
        <f>$L$3</f>
        <v>2260</v>
      </c>
      <c r="M41" s="12">
        <f>J41/K41/(L41*1000000)</f>
        <v>0.8603177795655671</v>
      </c>
      <c r="N41" s="11">
        <f>$N$3</f>
        <v>0.9362</v>
      </c>
      <c r="O41" s="11">
        <v>1.022</v>
      </c>
      <c r="P41" s="8">
        <f>(E41/F41/G41/H41/I41)/J41*10^6/C41*K41/N41*O41</f>
        <v>5.215210415511809</v>
      </c>
      <c r="Q41" s="8">
        <f>P41/(P77*D41)</f>
        <v>0.8383798548529847</v>
      </c>
      <c r="R41" s="8"/>
    </row>
    <row r="42" spans="4:18" s="11" customFormat="1" ht="22.5">
      <c r="D42" s="11">
        <f>D36</f>
        <v>0.3</v>
      </c>
      <c r="E42" s="11">
        <f>fitModel!R46</f>
        <v>17</v>
      </c>
      <c r="H42" s="11">
        <f>simDau!I11</f>
        <v>0.007518929022393967</v>
      </c>
      <c r="J42" s="12"/>
      <c r="M42" s="12"/>
      <c r="P42" s="8">
        <f>SQRT((E42/E41)^2+(H42/H41)^2)*P41</f>
        <v>0.2912837354895241</v>
      </c>
      <c r="Q42" s="8">
        <f>SQRT((P42/P41)^2+(P78/P77)^2)*Q41</f>
        <v>0.08319067039940989</v>
      </c>
      <c r="R42" s="8"/>
    </row>
    <row r="43" spans="1:19" s="11" customFormat="1" ht="23.25">
      <c r="A43" s="20" t="s">
        <v>17</v>
      </c>
      <c r="B43" s="20">
        <v>2.05</v>
      </c>
      <c r="C43" s="20">
        <v>0.7</v>
      </c>
      <c r="D43" s="20">
        <v>7.58</v>
      </c>
      <c r="E43" s="20">
        <f>fitModel!R49</f>
        <v>381.75</v>
      </c>
      <c r="F43" s="20">
        <v>0.127</v>
      </c>
      <c r="G43" s="20">
        <f>simDau!$H$12</f>
        <v>0.9092644042738925</v>
      </c>
      <c r="H43" s="22">
        <f>simDau!K12</f>
        <v>0.674861612372376</v>
      </c>
      <c r="I43" s="20">
        <v>0.93</v>
      </c>
      <c r="J43" s="21">
        <f>J27</f>
        <v>3264000000</v>
      </c>
      <c r="K43" s="20">
        <f>$K$3</f>
        <v>0.88</v>
      </c>
      <c r="L43" s="20">
        <f>$L$3</f>
        <v>2260</v>
      </c>
      <c r="M43" s="21">
        <f>J43/K43/(L43*1000000)</f>
        <v>1.6411906677393402</v>
      </c>
      <c r="N43" s="20">
        <f>$N$3</f>
        <v>0.9362</v>
      </c>
      <c r="O43" s="20">
        <v>1.022</v>
      </c>
      <c r="P43" s="22">
        <f>(E43/F43/G43/H43/I43)/J43*10^6/C43*K43/N43*O43</f>
        <v>2.214645418735477</v>
      </c>
      <c r="Q43" s="22">
        <f>P43/(P79*D43)</f>
        <v>0.6468067993009325</v>
      </c>
      <c r="R43" s="22"/>
      <c r="S43" s="1">
        <f>rdaY!O43/Q43</f>
        <v>1.0291462409900585</v>
      </c>
    </row>
    <row r="44" spans="1:18" s="11" customFormat="1" ht="23.25">
      <c r="A44" s="20" t="s">
        <v>24</v>
      </c>
      <c r="B44" s="20"/>
      <c r="C44" s="20"/>
      <c r="D44" s="20">
        <v>0.3</v>
      </c>
      <c r="E44" s="20">
        <f>fitModel!R50</f>
        <v>24.20915804676679</v>
      </c>
      <c r="F44" s="20"/>
      <c r="G44" s="20"/>
      <c r="H44" s="22">
        <f>simDau!K13</f>
        <v>0.006204149461282547</v>
      </c>
      <c r="I44" s="20"/>
      <c r="J44" s="21"/>
      <c r="K44" s="20"/>
      <c r="L44" s="20"/>
      <c r="M44" s="21"/>
      <c r="N44" s="20"/>
      <c r="O44" s="237" t="s">
        <v>35</v>
      </c>
      <c r="P44" s="22">
        <f>SQRT((E44/E43)^2+(H44/H43)^2)*P43</f>
        <v>0.1419125972861353</v>
      </c>
      <c r="Q44" s="22">
        <f>SQRT((P44/P43)^2+(P80/P79)^2)*Q43</f>
        <v>0.06738855621539613</v>
      </c>
      <c r="R44" s="22"/>
    </row>
    <row r="45" spans="1:22" s="11" customFormat="1" ht="23.25">
      <c r="A45" s="20" t="s">
        <v>31</v>
      </c>
      <c r="B45" s="20"/>
      <c r="C45" s="20"/>
      <c r="D45" s="20"/>
      <c r="E45" s="20"/>
      <c r="F45" s="20"/>
      <c r="G45" s="20"/>
      <c r="H45" s="20"/>
      <c r="I45" s="20"/>
      <c r="J45" s="21"/>
      <c r="K45" s="20"/>
      <c r="L45" s="8">
        <f>L29</f>
        <v>0.065</v>
      </c>
      <c r="M45" s="8">
        <f>M29</f>
        <v>0.12379418403139947</v>
      </c>
      <c r="N45" s="29"/>
      <c r="O45" s="22">
        <f>SQRT((L45*P43)^2+P44^2)</f>
        <v>0.20214190514540603</v>
      </c>
      <c r="P45" s="22">
        <f>SQRT((M45*P43)^2+P44^2)</f>
        <v>0.308711860619046</v>
      </c>
      <c r="Q45" s="22">
        <f>SQRT((S45*Q43)^2+Q44^2)</f>
        <v>0.06738855621539613</v>
      </c>
      <c r="R45" s="22"/>
      <c r="S45" s="8"/>
      <c r="T45" s="8"/>
      <c r="U45" s="129"/>
      <c r="V45" s="129"/>
    </row>
    <row r="46" spans="1:22" s="11" customFormat="1" ht="23.25">
      <c r="A46" s="20" t="s">
        <v>32</v>
      </c>
      <c r="B46" s="20"/>
      <c r="C46" s="20"/>
      <c r="D46" s="20"/>
      <c r="E46" s="20"/>
      <c r="F46" s="20"/>
      <c r="G46" s="20"/>
      <c r="H46" s="20"/>
      <c r="I46" s="20"/>
      <c r="J46" s="21"/>
      <c r="K46" s="20"/>
      <c r="L46" s="8">
        <f>L30</f>
        <v>0.06503076195155644</v>
      </c>
      <c r="M46" s="8">
        <f>M30</f>
        <v>0.14081548210335398</v>
      </c>
      <c r="N46" s="29"/>
      <c r="O46" s="22">
        <f>SQRT((L46*P43)^2+P44^2)</f>
        <v>0.2021904261658727</v>
      </c>
      <c r="P46" s="22">
        <f>SQRT((M46*P43)^2+P44^2)</f>
        <v>0.34262745948400486</v>
      </c>
      <c r="Q46" s="22">
        <f>SQRT((S46*Q43)^2+Q44^2)</f>
        <v>0.06738855621539613</v>
      </c>
      <c r="R46" s="22"/>
      <c r="S46" s="8"/>
      <c r="T46" s="8"/>
      <c r="U46" s="129"/>
      <c r="V46" s="129"/>
    </row>
    <row r="47" spans="1:22" s="11" customFormat="1" ht="23.25">
      <c r="A47" s="11" t="s">
        <v>18</v>
      </c>
      <c r="B47" s="11">
        <f>B43</f>
        <v>2.05</v>
      </c>
      <c r="C47" s="11">
        <v>0.7</v>
      </c>
      <c r="D47" s="11">
        <f>D43</f>
        <v>7.58</v>
      </c>
      <c r="E47" s="11">
        <f>fitModel!R53</f>
        <v>143</v>
      </c>
      <c r="F47" s="11">
        <v>0.127</v>
      </c>
      <c r="G47" s="11">
        <f>G43</f>
        <v>0.9092644042738925</v>
      </c>
      <c r="H47" s="11">
        <f>simDau!J12</f>
        <v>0.5568001810364336</v>
      </c>
      <c r="I47" s="11">
        <v>0.93</v>
      </c>
      <c r="J47" s="12">
        <f>J31</f>
        <v>1553000000</v>
      </c>
      <c r="K47" s="11">
        <f>$K$3</f>
        <v>0.88</v>
      </c>
      <c r="L47" s="11">
        <f>$L$3</f>
        <v>2260</v>
      </c>
      <c r="M47" s="12">
        <f>J47/K47/(L47*1000000)</f>
        <v>0.7808728881737731</v>
      </c>
      <c r="N47" s="11">
        <f>$N$3</f>
        <v>0.9362</v>
      </c>
      <c r="O47" s="11">
        <v>1.022</v>
      </c>
      <c r="P47" s="8">
        <f>(E47/F47/G47/H47/I47)/J47*10^6/C47*K47/N47*O47</f>
        <v>2.1132712553983675</v>
      </c>
      <c r="Q47" s="8">
        <f>P47/(P79*D47)</f>
        <v>0.6171995775013703</v>
      </c>
      <c r="R47" s="8"/>
      <c r="U47" s="130"/>
      <c r="V47" s="22"/>
    </row>
    <row r="48" spans="4:22" s="11" customFormat="1" ht="23.25">
      <c r="D48" s="11">
        <f>D44</f>
        <v>0.3</v>
      </c>
      <c r="E48" s="11">
        <f>fitModel!R54</f>
        <v>13</v>
      </c>
      <c r="H48" s="11">
        <f>simDau!J13</f>
        <v>0.0056125172325122916</v>
      </c>
      <c r="J48" s="12"/>
      <c r="M48" s="12"/>
      <c r="P48" s="8">
        <f>SQRT((E48/E47)^2+(H48/H47)^2)*P47</f>
        <v>0.19329291939824061</v>
      </c>
      <c r="Q48" s="8">
        <f>SQRT((P48/P47)^2+(P80/P79)^2)*Q47</f>
        <v>0.07587982167835731</v>
      </c>
      <c r="R48" s="8"/>
      <c r="U48" s="130"/>
      <c r="V48" s="22"/>
    </row>
    <row r="49" spans="1:18" s="11" customFormat="1" ht="22.5">
      <c r="A49" s="11" t="s">
        <v>19</v>
      </c>
      <c r="B49" s="11">
        <f>B43</f>
        <v>2.05</v>
      </c>
      <c r="C49" s="11">
        <v>0.7</v>
      </c>
      <c r="D49" s="11">
        <f>D43</f>
        <v>7.58</v>
      </c>
      <c r="E49" s="11">
        <f>fitModel!R51</f>
        <v>248</v>
      </c>
      <c r="F49" s="11">
        <v>0.127</v>
      </c>
      <c r="G49" s="11">
        <f>G43</f>
        <v>0.9092644042738925</v>
      </c>
      <c r="H49" s="11">
        <f>simDau!I12</f>
        <v>0.782020819189862</v>
      </c>
      <c r="I49" s="11">
        <v>0.93</v>
      </c>
      <c r="J49" s="12">
        <f>J33</f>
        <v>1711000000</v>
      </c>
      <c r="K49" s="11">
        <f>$K$3</f>
        <v>0.88</v>
      </c>
      <c r="L49" s="11">
        <f>$L$3</f>
        <v>2260</v>
      </c>
      <c r="M49" s="12">
        <f>J49/K49/(L49*1000000)</f>
        <v>0.8603177795655671</v>
      </c>
      <c r="N49" s="11">
        <f>$N$3</f>
        <v>0.9362</v>
      </c>
      <c r="O49" s="11">
        <v>1.022</v>
      </c>
      <c r="P49" s="8">
        <f>(E49/F49/G49/H49/I49)/J49*10^6/C49*K49/N49*O49</f>
        <v>2.3684999944905782</v>
      </c>
      <c r="Q49" s="8">
        <f>P49/(P79*D49)</f>
        <v>0.6917413901207943</v>
      </c>
      <c r="R49" s="8"/>
    </row>
    <row r="50" spans="4:18" s="11" customFormat="1" ht="22.5">
      <c r="D50" s="11">
        <f>D44</f>
        <v>0.3</v>
      </c>
      <c r="E50" s="11">
        <f>fitModel!R52</f>
        <v>17</v>
      </c>
      <c r="H50" s="11">
        <f>simDau!I13</f>
        <v>0.0066514627172621025</v>
      </c>
      <c r="J50" s="12"/>
      <c r="M50" s="12"/>
      <c r="P50" s="8">
        <f>SQRT((E50/E49)^2+(H50/H49)^2)*P49</f>
        <v>0.16360189023830224</v>
      </c>
      <c r="Q50" s="8">
        <f>SQRT((P50/P49)^2+(P80/P79)^2)*Q49</f>
        <v>0.07424521964570231</v>
      </c>
      <c r="R50" s="8"/>
    </row>
    <row r="51" spans="1:18" ht="23.25">
      <c r="A51" s="17" t="s">
        <v>6</v>
      </c>
      <c r="B51" s="17">
        <v>-1.7</v>
      </c>
      <c r="C51" s="17">
        <v>1</v>
      </c>
      <c r="D51" s="17"/>
      <c r="E51" s="17">
        <f>fitModel!R4</f>
        <v>158</v>
      </c>
      <c r="F51" s="17">
        <v>0.128</v>
      </c>
      <c r="G51" s="17">
        <f>simPp!$H$2</f>
        <v>0.538923846251484</v>
      </c>
      <c r="H51" s="17">
        <f>simPp!I2</f>
        <v>0.5366922827145795</v>
      </c>
      <c r="I51" s="17">
        <v>0.99</v>
      </c>
      <c r="J51" s="18">
        <v>4531000000</v>
      </c>
      <c r="K51" s="17">
        <v>0.545</v>
      </c>
      <c r="L51" s="17">
        <v>42.2</v>
      </c>
      <c r="M51" s="18">
        <f>J51/K51/(L51*1000000)</f>
        <v>197.00856558980826</v>
      </c>
      <c r="N51" s="17">
        <v>0.79</v>
      </c>
      <c r="O51" s="17">
        <v>1.015</v>
      </c>
      <c r="P51" s="19">
        <f>(E51/F51/G51/H51/I51)/J51*10^6/C51*K51/N51*O51</f>
        <v>0.6661937633292752</v>
      </c>
      <c r="Q51" s="19"/>
      <c r="R51" s="3"/>
    </row>
    <row r="52" spans="1:18" ht="23.25">
      <c r="A52" s="17" t="s">
        <v>24</v>
      </c>
      <c r="B52" s="17"/>
      <c r="C52" s="17"/>
      <c r="D52" s="17"/>
      <c r="E52" s="17">
        <f>fitModel!R5</f>
        <v>16.312060977489427</v>
      </c>
      <c r="F52" s="17"/>
      <c r="G52" s="17"/>
      <c r="H52" s="17">
        <f>simPp!I3</f>
        <v>0.005389335170618273</v>
      </c>
      <c r="I52" s="17"/>
      <c r="J52" s="18"/>
      <c r="K52" s="17"/>
      <c r="L52" s="17"/>
      <c r="M52" s="31" t="s">
        <v>35</v>
      </c>
      <c r="N52" s="32" t="s">
        <v>36</v>
      </c>
      <c r="O52" s="126" t="s">
        <v>35</v>
      </c>
      <c r="P52" s="19">
        <f>SQRT((E52/E51)^2+(H52/H51)^2)*P51</f>
        <v>0.06910301346969729</v>
      </c>
      <c r="Q52" s="19"/>
      <c r="R52" s="3"/>
    </row>
    <row r="53" spans="1:18" ht="23.25">
      <c r="A53" s="17" t="s">
        <v>31</v>
      </c>
      <c r="B53" s="17"/>
      <c r="C53" s="17"/>
      <c r="D53" s="17"/>
      <c r="E53" s="17"/>
      <c r="F53" s="17"/>
      <c r="G53" s="17"/>
      <c r="H53" s="17"/>
      <c r="I53" s="17"/>
      <c r="J53" s="18"/>
      <c r="K53" s="17"/>
      <c r="L53" s="17"/>
      <c r="M53" s="7">
        <f>syst!B23</f>
        <v>0.0608276253029822</v>
      </c>
      <c r="N53" s="7">
        <f>syst!B25</f>
        <v>0.11090536506409417</v>
      </c>
      <c r="O53" s="19">
        <f>SQRT((L53*P51)^2+P52^2)</f>
        <v>0.06910301346969729</v>
      </c>
      <c r="P53" s="19">
        <f>SQRT((M53*P51)^2+P52^2)</f>
        <v>0.08010829390705314</v>
      </c>
      <c r="Q53" s="19"/>
      <c r="R53" s="3"/>
    </row>
    <row r="54" spans="1:18" ht="23.25">
      <c r="A54" s="17" t="s">
        <v>32</v>
      </c>
      <c r="B54" s="17"/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7">
        <f>syst!B24</f>
        <v>0.06103277807866851</v>
      </c>
      <c r="N54" s="7">
        <f>syst!B26</f>
        <v>0.1297112177107285</v>
      </c>
      <c r="O54" s="19">
        <f>SQRT((L54*P51)^2+P52^2)</f>
        <v>0.06910301346969729</v>
      </c>
      <c r="P54" s="19">
        <f>SQRT((M54*P51)^2+P52^2)</f>
        <v>0.0801775162121918</v>
      </c>
      <c r="Q54" s="19"/>
      <c r="R54" s="3"/>
    </row>
    <row r="55" spans="1:23" ht="22.5">
      <c r="A55" s="14" t="s">
        <v>6</v>
      </c>
      <c r="B55" s="14">
        <v>-1.95</v>
      </c>
      <c r="C55" s="14">
        <v>0.5</v>
      </c>
      <c r="D55" s="14"/>
      <c r="E55" s="14">
        <f>fitModel!R6</f>
        <v>64.25</v>
      </c>
      <c r="F55" s="14">
        <v>0.128</v>
      </c>
      <c r="G55" s="14">
        <f>simPp!$H$4</f>
        <v>0.5722722909556314</v>
      </c>
      <c r="H55" s="14">
        <f>simPp!I4</f>
        <v>0.5495631916132789</v>
      </c>
      <c r="I55" s="14">
        <v>0.99</v>
      </c>
      <c r="J55" s="15">
        <f>J51</f>
        <v>4531000000</v>
      </c>
      <c r="K55" s="14">
        <f>K51</f>
        <v>0.545</v>
      </c>
      <c r="L55" s="14">
        <f>L51</f>
        <v>42.2</v>
      </c>
      <c r="M55" s="15">
        <f>J55/K55/(L55*1000000)</f>
        <v>197.00856558980826</v>
      </c>
      <c r="N55" s="14">
        <f>N51</f>
        <v>0.79</v>
      </c>
      <c r="O55" s="14">
        <v>1.015</v>
      </c>
      <c r="P55" s="7">
        <f>(E55/F55/G55/H55/I55)/J55*10^6/C55*K55/N55*O55</f>
        <v>0.49828636025554834</v>
      </c>
      <c r="Q55" s="7"/>
      <c r="R55" s="3"/>
      <c r="W55" s="218"/>
    </row>
    <row r="56" spans="1:18" ht="22.5">
      <c r="A56" s="14" t="s">
        <v>24</v>
      </c>
      <c r="B56" s="14"/>
      <c r="C56" s="14"/>
      <c r="D56" s="14"/>
      <c r="E56" s="14">
        <f>fitModel!R7</f>
        <v>8.32666399786453</v>
      </c>
      <c r="F56" s="14"/>
      <c r="G56" s="14"/>
      <c r="H56" s="14">
        <f>simPp!I5</f>
        <v>0.00800089680189838</v>
      </c>
      <c r="I56" s="14"/>
      <c r="J56" s="15"/>
      <c r="K56" s="14"/>
      <c r="L56" s="14"/>
      <c r="M56" s="15"/>
      <c r="N56" s="14"/>
      <c r="O56" s="126" t="s">
        <v>35</v>
      </c>
      <c r="P56" s="7">
        <f>SQRT((E56/E55)^2+(H56/H55)^2)*P55</f>
        <v>0.0649830477332223</v>
      </c>
      <c r="Q56" s="7"/>
      <c r="R56" s="3"/>
    </row>
    <row r="57" spans="1:18" ht="22.5">
      <c r="A57" s="14" t="s">
        <v>31</v>
      </c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7">
        <f>M53</f>
        <v>0.0608276253029822</v>
      </c>
      <c r="N57" s="7">
        <f>N53</f>
        <v>0.11090536506409417</v>
      </c>
      <c r="O57" s="7">
        <f>SQRT((L57*P55)^2+P56^2)</f>
        <v>0.0649830477332223</v>
      </c>
      <c r="P57" s="7">
        <f>SQRT((M57*P55)^2+P56^2)</f>
        <v>0.07170402283638011</v>
      </c>
      <c r="Q57" s="7"/>
      <c r="R57" s="3"/>
    </row>
    <row r="58" spans="1:18" ht="22.5">
      <c r="A58" s="14" t="s">
        <v>32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14"/>
      <c r="M58" s="7">
        <f>M54</f>
        <v>0.06103277807866851</v>
      </c>
      <c r="N58" s="7">
        <f>N54</f>
        <v>0.1297112177107285</v>
      </c>
      <c r="O58" s="7">
        <f>SQRT((L58*P55)^2+P56^2)</f>
        <v>0.0649830477332223</v>
      </c>
      <c r="P58" s="7">
        <f>SQRT((M58*P55)^2+P56^2)</f>
        <v>0.07174729349139616</v>
      </c>
      <c r="Q58" s="7"/>
      <c r="R58" s="3"/>
    </row>
    <row r="59" spans="1:18" ht="22.5">
      <c r="A59" s="14" t="s">
        <v>6</v>
      </c>
      <c r="B59" s="14">
        <v>-1.45</v>
      </c>
      <c r="C59" s="14">
        <v>0.5</v>
      </c>
      <c r="D59" s="14"/>
      <c r="E59" s="14">
        <f>fitModel!R8</f>
        <v>91.5</v>
      </c>
      <c r="F59" s="14">
        <v>0.128</v>
      </c>
      <c r="G59" s="14">
        <f>simPp!$H$6</f>
        <v>0.5129827731538635</v>
      </c>
      <c r="H59" s="14">
        <f>simPp!I6</f>
        <v>0.5255230971393915</v>
      </c>
      <c r="I59" s="14">
        <v>0.99</v>
      </c>
      <c r="J59" s="15">
        <f>J51</f>
        <v>4531000000</v>
      </c>
      <c r="K59" s="14">
        <f>K51</f>
        <v>0.545</v>
      </c>
      <c r="L59" s="14">
        <f>L55</f>
        <v>42.2</v>
      </c>
      <c r="M59" s="15">
        <f>J59/K59/(L59*1000000)</f>
        <v>197.00856558980826</v>
      </c>
      <c r="N59" s="14">
        <f>N51</f>
        <v>0.79</v>
      </c>
      <c r="O59" s="14">
        <v>1.015</v>
      </c>
      <c r="P59" s="7">
        <f>(E59/F59/G59/H59/I59)/J59*10^6/C59*K59/N59*O59</f>
        <v>0.8278520473800738</v>
      </c>
      <c r="Q59" s="7"/>
      <c r="R59" s="3"/>
    </row>
    <row r="60" spans="1:18" ht="22.5">
      <c r="A60" s="14" t="s">
        <v>24</v>
      </c>
      <c r="B60" s="14"/>
      <c r="C60" s="14"/>
      <c r="D60" s="14"/>
      <c r="E60" s="14">
        <f>fitModel!R9</f>
        <v>12.848475914805357</v>
      </c>
      <c r="F60" s="14"/>
      <c r="G60" s="14"/>
      <c r="H60" s="14">
        <f>simPp!I7</f>
        <v>0.0072883949685071696</v>
      </c>
      <c r="I60" s="14"/>
      <c r="J60" s="15"/>
      <c r="K60" s="14"/>
      <c r="L60" s="14"/>
      <c r="M60" s="15"/>
      <c r="N60" s="14"/>
      <c r="O60" s="126" t="s">
        <v>35</v>
      </c>
      <c r="P60" s="7">
        <f>SQRT((E60/E59)^2+(H60/H59)^2)*P59</f>
        <v>0.11681300997771267</v>
      </c>
      <c r="Q60" s="7"/>
      <c r="R60" s="3"/>
    </row>
    <row r="61" spans="1:18" ht="22.5">
      <c r="A61" s="14" t="s">
        <v>31</v>
      </c>
      <c r="B61" s="14"/>
      <c r="C61" s="14"/>
      <c r="D61" s="14"/>
      <c r="E61" s="14"/>
      <c r="F61" s="14"/>
      <c r="G61" s="14"/>
      <c r="H61" s="14"/>
      <c r="I61" s="14"/>
      <c r="J61" s="15"/>
      <c r="K61" s="14"/>
      <c r="L61" s="14"/>
      <c r="M61" s="7">
        <f>M53</f>
        <v>0.0608276253029822</v>
      </c>
      <c r="N61" s="7">
        <f>N53</f>
        <v>0.11090536506409417</v>
      </c>
      <c r="O61" s="7">
        <f>SQRT((L61*P59)^2+P60^2)</f>
        <v>0.11681300997771267</v>
      </c>
      <c r="P61" s="7">
        <f>SQRT((M61*P59)^2+P60^2)</f>
        <v>0.1272046919172139</v>
      </c>
      <c r="Q61" s="7"/>
      <c r="R61" s="3"/>
    </row>
    <row r="62" spans="1:18" ht="22.5">
      <c r="A62" s="14" t="s">
        <v>32</v>
      </c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7">
        <f>M54</f>
        <v>0.06103277807866851</v>
      </c>
      <c r="N62" s="7">
        <f>N54</f>
        <v>0.1297112177107285</v>
      </c>
      <c r="O62" s="7">
        <f>SQRT((L62*P59)^2+P60^2)</f>
        <v>0.11681300997771267</v>
      </c>
      <c r="P62" s="7">
        <f>SQRT((M62*P59)^2+P60^2)</f>
        <v>0.12727202018142908</v>
      </c>
      <c r="Q62" s="7"/>
      <c r="R62" s="3"/>
    </row>
    <row r="63" spans="1:18" ht="23.25">
      <c r="A63" s="20" t="s">
        <v>6</v>
      </c>
      <c r="B63" s="20">
        <v>1.8</v>
      </c>
      <c r="C63" s="20">
        <v>1.2</v>
      </c>
      <c r="D63" s="20"/>
      <c r="E63" s="20">
        <f>fitModel!R11</f>
        <v>289.75</v>
      </c>
      <c r="F63" s="20">
        <v>0.127</v>
      </c>
      <c r="G63" s="20">
        <f>simPp!$H$8</f>
        <v>0.8005870124709046</v>
      </c>
      <c r="H63" s="20">
        <f>simPp!I8</f>
        <v>0.7814938323566549</v>
      </c>
      <c r="I63" s="20">
        <v>0.95</v>
      </c>
      <c r="J63" s="21">
        <v>4021000000</v>
      </c>
      <c r="K63" s="20">
        <f>K51</f>
        <v>0.545</v>
      </c>
      <c r="L63" s="20">
        <f>L51</f>
        <v>42.2</v>
      </c>
      <c r="M63" s="21">
        <f>J63/K63/(L63*1000000)</f>
        <v>174.8336884212357</v>
      </c>
      <c r="N63" s="20">
        <v>0.79</v>
      </c>
      <c r="O63" s="20">
        <v>1.022</v>
      </c>
      <c r="P63" s="22">
        <f>(E63/F63/G63/H63/I63)/J63*10^6/C63*K63/N63*O63</f>
        <v>0.5608761986579623</v>
      </c>
      <c r="Q63" s="22"/>
      <c r="R63" s="3"/>
    </row>
    <row r="64" spans="1:17" ht="23.25">
      <c r="A64" s="20" t="s">
        <v>24</v>
      </c>
      <c r="B64" s="20"/>
      <c r="C64" s="20"/>
      <c r="D64" s="20"/>
      <c r="E64" s="20">
        <f>fitModel!R12</f>
        <v>24.664414311581236</v>
      </c>
      <c r="F64" s="20"/>
      <c r="G64" s="20"/>
      <c r="H64" s="20">
        <f>simPp!I9</f>
        <v>0.005030080244591208</v>
      </c>
      <c r="I64" s="20"/>
      <c r="J64" s="20"/>
      <c r="K64" s="20"/>
      <c r="L64" s="20"/>
      <c r="M64" s="20"/>
      <c r="N64" s="20"/>
      <c r="O64" s="237" t="s">
        <v>35</v>
      </c>
      <c r="P64" s="22">
        <f>SQRT((E64/E63)^2+(H64/H63)^2)*P63</f>
        <v>0.047879804720427355</v>
      </c>
      <c r="Q64" s="22"/>
    </row>
    <row r="65" spans="1:17" ht="23.25">
      <c r="A65" s="11" t="s">
        <v>31</v>
      </c>
      <c r="B65" s="11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8">
        <f>syst!C23</f>
        <v>0.0608276253029822</v>
      </c>
      <c r="N65" s="8">
        <f>syst!C25</f>
        <v>0.1216552506059644</v>
      </c>
      <c r="O65" s="22">
        <f>SQRT((L65*P63)^2+P64^2)</f>
        <v>0.047879804720427355</v>
      </c>
      <c r="P65" s="22">
        <f>SQRT((M65*P63)^2+P64^2)</f>
        <v>0.058791406752041406</v>
      </c>
      <c r="Q65" s="22"/>
    </row>
    <row r="66" spans="1:17" ht="23.25">
      <c r="A66" s="11" t="s">
        <v>32</v>
      </c>
      <c r="B66" s="11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8">
        <f>syst!C24</f>
        <v>0.06090155991434045</v>
      </c>
      <c r="N66" s="8">
        <f>syst!C26</f>
        <v>0.13895682782792648</v>
      </c>
      <c r="O66" s="22">
        <f>SQRT((L66*P63)^2+P64^2)</f>
        <v>0.047879804720427355</v>
      </c>
      <c r="P66" s="22">
        <f>SQRT((M66*P63)^2+P64^2)</f>
        <v>0.05881548050365625</v>
      </c>
      <c r="Q66" s="22"/>
    </row>
    <row r="67" spans="1:17" ht="22.5">
      <c r="A67" s="11" t="s">
        <v>6</v>
      </c>
      <c r="B67" s="11">
        <v>1.45</v>
      </c>
      <c r="C67" s="11">
        <v>0.5</v>
      </c>
      <c r="D67" s="11"/>
      <c r="E67" s="11">
        <f>fitModel!R13</f>
        <v>157</v>
      </c>
      <c r="F67" s="11">
        <v>0.127</v>
      </c>
      <c r="G67" s="11">
        <f>simPp!$H$10</f>
        <v>0.7228109577409763</v>
      </c>
      <c r="H67" s="11">
        <f>simPp!I10</f>
        <v>0.7726779906035417</v>
      </c>
      <c r="I67" s="11">
        <v>0.95</v>
      </c>
      <c r="J67" s="12">
        <f>J63</f>
        <v>4021000000</v>
      </c>
      <c r="K67" s="11">
        <f>K51</f>
        <v>0.545</v>
      </c>
      <c r="L67" s="11">
        <f>L51</f>
        <v>42.2</v>
      </c>
      <c r="M67" s="12">
        <f>J67/K67/(L67*1000000)</f>
        <v>174.8336884212357</v>
      </c>
      <c r="N67" s="11">
        <f>N63</f>
        <v>0.79</v>
      </c>
      <c r="O67" s="11">
        <v>1.022</v>
      </c>
      <c r="P67" s="8">
        <f>(E67/F67/G67/H67/I67)/J67*10^6/C67*K67/N67*O67</f>
        <v>0.8170813278029024</v>
      </c>
      <c r="Q67" s="8"/>
    </row>
    <row r="68" spans="1:17" ht="22.5">
      <c r="A68" s="11" t="s">
        <v>24</v>
      </c>
      <c r="B68" s="11"/>
      <c r="C68" s="11"/>
      <c r="D68" s="11"/>
      <c r="E68" s="11">
        <f>fitModel!R14</f>
        <v>15.75066136177568</v>
      </c>
      <c r="F68" s="11"/>
      <c r="G68" s="11"/>
      <c r="H68" s="11">
        <f>simPp!I11</f>
        <v>0.007473253068630477</v>
      </c>
      <c r="I68" s="11"/>
      <c r="J68" s="11"/>
      <c r="K68" s="11"/>
      <c r="L68" s="11"/>
      <c r="M68" s="11"/>
      <c r="N68" s="11"/>
      <c r="O68" s="237" t="s">
        <v>35</v>
      </c>
      <c r="P68" s="8">
        <f>SQRT((E68/E67)^2+(H68/H67)^2)*P67</f>
        <v>0.0823518522799523</v>
      </c>
      <c r="Q68" s="8"/>
    </row>
    <row r="69" spans="1:17" ht="22.5">
      <c r="A69" s="11" t="s">
        <v>31</v>
      </c>
      <c r="B69" s="11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8">
        <f>M65</f>
        <v>0.0608276253029822</v>
      </c>
      <c r="N69" s="8">
        <f>N65</f>
        <v>0.1216552506059644</v>
      </c>
      <c r="O69" s="8">
        <f>SQRT((L69*P67)^2+P68^2)</f>
        <v>0.0823518522799523</v>
      </c>
      <c r="P69" s="8">
        <f>SQRT((M69*P67)^2+P68^2)</f>
        <v>0.09618746586766103</v>
      </c>
      <c r="Q69" s="8"/>
    </row>
    <row r="70" spans="1:17" ht="22.5">
      <c r="A70" s="11" t="s">
        <v>32</v>
      </c>
      <c r="B70" s="11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8">
        <f>M66</f>
        <v>0.06090155991434045</v>
      </c>
      <c r="N70" s="8">
        <f>N66</f>
        <v>0.13895682782792648</v>
      </c>
      <c r="O70" s="8">
        <f>SQRT((L70*P67)^2+P68^2)</f>
        <v>0.0823518522799523</v>
      </c>
      <c r="P70" s="8">
        <f>SQRT((M70*P67)^2+P68^2)</f>
        <v>0.09621869458223102</v>
      </c>
      <c r="Q70" s="8"/>
    </row>
    <row r="71" spans="1:17" ht="22.5">
      <c r="A71" s="11" t="s">
        <v>6</v>
      </c>
      <c r="B71" s="11">
        <v>2.05</v>
      </c>
      <c r="C71" s="11">
        <v>0.7</v>
      </c>
      <c r="D71" s="11"/>
      <c r="E71" s="11">
        <f>fitModel!R15</f>
        <v>143</v>
      </c>
      <c r="F71" s="11">
        <v>0.127</v>
      </c>
      <c r="G71" s="11">
        <f>simPp!$H$12</f>
        <v>0.8771654572119493</v>
      </c>
      <c r="H71" s="11">
        <f>simPp!I12</f>
        <v>0.7886464930799906</v>
      </c>
      <c r="I71" s="11">
        <v>0.95</v>
      </c>
      <c r="J71" s="12">
        <f>J63</f>
        <v>4021000000</v>
      </c>
      <c r="K71" s="11">
        <f>K51</f>
        <v>0.545</v>
      </c>
      <c r="L71" s="11">
        <f>L51</f>
        <v>42.2</v>
      </c>
      <c r="M71" s="12">
        <f>J71/K71/(L71*1000000)</f>
        <v>174.8336884212357</v>
      </c>
      <c r="N71" s="11">
        <f>N63</f>
        <v>0.79</v>
      </c>
      <c r="O71" s="11">
        <v>1.022</v>
      </c>
      <c r="P71" s="8">
        <f>(E71/F71/G71/H71/I71)/J71*10^6/C71*K71/N71*O71</f>
        <v>0.42917360840019475</v>
      </c>
      <c r="Q71" s="8"/>
    </row>
    <row r="72" spans="1:17" ht="22.5">
      <c r="A72" s="11" t="s">
        <v>24</v>
      </c>
      <c r="B72" s="11"/>
      <c r="C72" s="11"/>
      <c r="D72" s="11"/>
      <c r="E72" s="11">
        <f>fitModel!R16</f>
        <v>15.01110699893027</v>
      </c>
      <c r="F72" s="11"/>
      <c r="G72" s="11"/>
      <c r="H72" s="11">
        <f>simPp!I13</f>
        <v>0.0068006985758030615</v>
      </c>
      <c r="I72" s="11"/>
      <c r="J72" s="11"/>
      <c r="K72" s="11"/>
      <c r="L72" s="11"/>
      <c r="M72" s="11"/>
      <c r="N72" s="11"/>
      <c r="O72" s="237" t="s">
        <v>35</v>
      </c>
      <c r="P72" s="8">
        <f>SQRT((E72/E71)^2+(H72/H71)^2)*P71</f>
        <v>0.04520329833143706</v>
      </c>
      <c r="Q72" s="8"/>
    </row>
    <row r="73" spans="1:17" ht="22.5">
      <c r="A73" s="11" t="s">
        <v>31</v>
      </c>
      <c r="B73" s="11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8">
        <f>M65</f>
        <v>0.0608276253029822</v>
      </c>
      <c r="N73" s="8">
        <f>N65</f>
        <v>0.1216552506059644</v>
      </c>
      <c r="O73" s="8">
        <f>SQRT((L73*P71)^2+P72^2)</f>
        <v>0.04520329833143706</v>
      </c>
      <c r="P73" s="8">
        <f>SQRT((M73*P71)^2+P72^2)</f>
        <v>0.052200010812122465</v>
      </c>
      <c r="Q73" s="8"/>
    </row>
    <row r="74" spans="1:20" ht="23.25">
      <c r="A74" s="11" t="s">
        <v>32</v>
      </c>
      <c r="B74" s="11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8">
        <f>M66</f>
        <v>0.06090155991434045</v>
      </c>
      <c r="N74" s="8">
        <f>N66</f>
        <v>0.13895682782792648</v>
      </c>
      <c r="O74" s="8">
        <f>SQRT((L74*P71)^2+P72^2)</f>
        <v>0.04520329833143706</v>
      </c>
      <c r="P74" s="8">
        <f>SQRT((M74*P71)^2+P72^2)</f>
        <v>0.05221588684165986</v>
      </c>
      <c r="Q74" s="8"/>
      <c r="R74" s="5"/>
      <c r="S74" s="5"/>
      <c r="T74" s="5"/>
    </row>
    <row r="75" spans="1:20" ht="23.25">
      <c r="A75" s="11"/>
      <c r="B75" s="2" t="s">
        <v>7</v>
      </c>
      <c r="C75" s="13"/>
      <c r="D75" s="13"/>
      <c r="E75" s="11"/>
      <c r="F75" s="11"/>
      <c r="G75" s="11"/>
      <c r="H75" s="11"/>
      <c r="I75" s="11"/>
      <c r="J75" s="11"/>
      <c r="K75" s="11"/>
      <c r="L75" s="11"/>
      <c r="M75" s="9" t="s">
        <v>28</v>
      </c>
      <c r="N75" s="23" t="s">
        <v>25</v>
      </c>
      <c r="O75" s="23"/>
      <c r="P75" s="24">
        <f>(P51/P52^2+P63/P64^2)/(1/P52^2+1/P64^2)</f>
        <v>0.5950369417070169</v>
      </c>
      <c r="Q75" s="24"/>
      <c r="R75" s="5"/>
      <c r="S75" s="24"/>
      <c r="T75" s="24"/>
    </row>
    <row r="76" spans="1:20" ht="23.25">
      <c r="A76" s="11"/>
      <c r="B76" s="25">
        <v>0.0588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9"/>
      <c r="N76" s="23" t="s">
        <v>24</v>
      </c>
      <c r="O76" s="23"/>
      <c r="P76" s="24">
        <f>SQRT(1/(1/P52^2+1/P64^2))</f>
        <v>0.039355935213389655</v>
      </c>
      <c r="Q76" s="24"/>
      <c r="R76" s="5"/>
      <c r="S76" s="24"/>
      <c r="T76" s="24"/>
    </row>
    <row r="77" spans="13:20" ht="23.25">
      <c r="M77" s="9" t="s">
        <v>29</v>
      </c>
      <c r="N77" s="9" t="s">
        <v>25</v>
      </c>
      <c r="O77" s="9"/>
      <c r="P77" s="10">
        <f>(P59/P60^2+P67/P68^2)/(1/P60^2+1/P68^2)</f>
        <v>0.8206572215146364</v>
      </c>
      <c r="Q77" s="10"/>
      <c r="R77" s="5"/>
      <c r="S77" s="24"/>
      <c r="T77" s="24"/>
    </row>
    <row r="78" spans="13:20" ht="23.25">
      <c r="M78" s="9"/>
      <c r="N78" s="9" t="s">
        <v>24</v>
      </c>
      <c r="O78" s="9"/>
      <c r="P78" s="10">
        <f>SQRT(1/(1/P60^2+1/P68^2))</f>
        <v>0.06730714295588415</v>
      </c>
      <c r="Q78" s="10"/>
      <c r="R78" s="5"/>
      <c r="S78" s="24"/>
      <c r="T78" s="24"/>
    </row>
    <row r="79" spans="13:20" ht="23.25">
      <c r="M79" s="9" t="s">
        <v>30</v>
      </c>
      <c r="N79" s="9" t="s">
        <v>25</v>
      </c>
      <c r="O79" s="9"/>
      <c r="P79" s="10">
        <f>(P55/P56^2+P71/P72^2)/(1/P56^2+1/P72^2)</f>
        <v>0.45171074364692315</v>
      </c>
      <c r="Q79" s="10"/>
      <c r="R79" s="5"/>
      <c r="S79" s="24"/>
      <c r="T79" s="24"/>
    </row>
    <row r="80" spans="13:20" ht="23.25">
      <c r="M80" s="9"/>
      <c r="N80" s="9" t="s">
        <v>24</v>
      </c>
      <c r="O80" s="9"/>
      <c r="P80" s="10">
        <f>SQRT(1/(1/P56^2+1/P72^2))</f>
        <v>0.03710823846219856</v>
      </c>
      <c r="Q80" s="10"/>
      <c r="R80" s="5"/>
      <c r="S80" s="24"/>
      <c r="T80" s="24"/>
    </row>
    <row r="81" ht="22.5">
      <c r="E81" s="4"/>
    </row>
    <row r="82" spans="6:16" ht="26.25" customHeight="1">
      <c r="F82" s="5" t="s">
        <v>10</v>
      </c>
      <c r="H82" s="5" t="s">
        <v>9</v>
      </c>
      <c r="L82" s="5" t="s">
        <v>23</v>
      </c>
      <c r="M82" s="5" t="s">
        <v>20</v>
      </c>
      <c r="P82" s="2" t="s">
        <v>26</v>
      </c>
    </row>
    <row r="83" spans="2:18" s="2" customFormat="1" ht="21" customHeight="1">
      <c r="B83" s="2" t="s">
        <v>0</v>
      </c>
      <c r="C83" s="2" t="s">
        <v>1</v>
      </c>
      <c r="E83" s="2" t="s">
        <v>2</v>
      </c>
      <c r="F83" s="2" t="s">
        <v>3</v>
      </c>
      <c r="G83" s="2" t="s">
        <v>11</v>
      </c>
      <c r="H83" s="2" t="s">
        <v>8</v>
      </c>
      <c r="I83" s="2" t="s">
        <v>4</v>
      </c>
      <c r="J83" s="2" t="s">
        <v>12</v>
      </c>
      <c r="K83" s="2" t="s">
        <v>13</v>
      </c>
      <c r="L83" s="2" t="s">
        <v>22</v>
      </c>
      <c r="M83" s="2" t="s">
        <v>21</v>
      </c>
      <c r="N83" s="2" t="s">
        <v>14</v>
      </c>
      <c r="P83" s="2" t="s">
        <v>27</v>
      </c>
      <c r="Q83" s="2" t="s">
        <v>15</v>
      </c>
      <c r="R83" s="6"/>
    </row>
    <row r="84" ht="22.5">
      <c r="E84" s="4"/>
    </row>
    <row r="85" ht="22.5">
      <c r="E85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X102"/>
  <sheetViews>
    <sheetView workbookViewId="0" topLeftCell="A1">
      <selection activeCell="Q3" sqref="Q3"/>
    </sheetView>
  </sheetViews>
  <sheetFormatPr defaultColWidth="9.140625" defaultRowHeight="12.75"/>
  <cols>
    <col min="1" max="1" width="7.8515625" style="1" customWidth="1"/>
    <col min="2" max="2" width="6.00390625" style="1" customWidth="1"/>
    <col min="3" max="3" width="6.28125" style="1" customWidth="1"/>
    <col min="4" max="4" width="4.57421875" style="1" customWidth="1"/>
    <col min="5" max="5" width="5.57421875" style="1" customWidth="1"/>
    <col min="6" max="6" width="5.421875" style="1" customWidth="1"/>
    <col min="7" max="7" width="6.421875" style="1" customWidth="1"/>
    <col min="8" max="8" width="6.57421875" style="1" customWidth="1"/>
    <col min="9" max="9" width="6.421875" style="1" customWidth="1"/>
    <col min="10" max="10" width="5.28125" style="1" customWidth="1"/>
    <col min="11" max="11" width="9.8515625" style="1" customWidth="1"/>
    <col min="12" max="12" width="7.421875" style="1" customWidth="1"/>
    <col min="13" max="13" width="7.00390625" style="1" customWidth="1"/>
    <col min="14" max="14" width="9.8515625" style="1" customWidth="1"/>
    <col min="15" max="15" width="8.28125" style="1" customWidth="1"/>
    <col min="16" max="16" width="10.421875" style="1" customWidth="1"/>
    <col min="17" max="17" width="9.57421875" style="1" bestFit="1" customWidth="1"/>
    <col min="18" max="18" width="8.57421875" style="1" customWidth="1"/>
    <col min="19" max="16384" width="10.421875" style="1" customWidth="1"/>
  </cols>
  <sheetData>
    <row r="1" spans="7:22" ht="26.25" customHeight="1">
      <c r="G1" s="5" t="s">
        <v>10</v>
      </c>
      <c r="I1" s="5" t="s">
        <v>9</v>
      </c>
      <c r="M1" s="5" t="s">
        <v>23</v>
      </c>
      <c r="N1" s="5" t="s">
        <v>20</v>
      </c>
      <c r="Q1" s="2"/>
      <c r="U1" s="5"/>
      <c r="V1" s="5"/>
    </row>
    <row r="2" spans="2:19" s="2" customFormat="1" ht="21" customHeight="1">
      <c r="B2" s="2" t="s">
        <v>0</v>
      </c>
      <c r="C2" s="2" t="s">
        <v>37</v>
      </c>
      <c r="D2" s="2" t="s">
        <v>1</v>
      </c>
      <c r="E2" s="2" t="s">
        <v>72</v>
      </c>
      <c r="F2" s="2" t="s">
        <v>2</v>
      </c>
      <c r="G2" s="2" t="s">
        <v>3</v>
      </c>
      <c r="H2" s="2" t="s">
        <v>11</v>
      </c>
      <c r="I2" s="2" t="s">
        <v>8</v>
      </c>
      <c r="J2" s="2" t="s">
        <v>4</v>
      </c>
      <c r="K2" s="2" t="s">
        <v>12</v>
      </c>
      <c r="L2" s="2" t="s">
        <v>13</v>
      </c>
      <c r="M2" s="2" t="s">
        <v>22</v>
      </c>
      <c r="N2" s="2" t="s">
        <v>21</v>
      </c>
      <c r="O2" s="2" t="s">
        <v>14</v>
      </c>
      <c r="P2" s="2" t="s">
        <v>308</v>
      </c>
      <c r="Q2" s="2" t="s">
        <v>345</v>
      </c>
      <c r="R2" s="2" t="s">
        <v>15</v>
      </c>
      <c r="S2" s="2" t="s">
        <v>139</v>
      </c>
    </row>
    <row r="3" spans="1:22" s="131" customFormat="1" ht="22.5">
      <c r="A3" s="131" t="s">
        <v>17</v>
      </c>
      <c r="B3" s="131">
        <v>-1.7</v>
      </c>
      <c r="C3" s="132" t="s">
        <v>38</v>
      </c>
      <c r="D3" s="131">
        <v>1</v>
      </c>
      <c r="E3" s="131">
        <v>7.58</v>
      </c>
      <c r="F3" s="131">
        <f>fitModel!R104</f>
        <v>214.75</v>
      </c>
      <c r="G3" s="131">
        <v>0.128</v>
      </c>
      <c r="H3" s="131">
        <f>simDau!$H$19</f>
        <v>0.7408500924118856</v>
      </c>
      <c r="I3" s="131">
        <f>simDau!K19</f>
        <v>0.6023313962853284</v>
      </c>
      <c r="J3" s="131">
        <v>0.99</v>
      </c>
      <c r="K3" s="133">
        <v>2750000000</v>
      </c>
      <c r="L3" s="131">
        <v>0.88</v>
      </c>
      <c r="M3" s="131">
        <v>2260</v>
      </c>
      <c r="N3" s="133">
        <f>K3/L3/(M3*1000000)</f>
        <v>1.3827433628318584</v>
      </c>
      <c r="O3" s="131">
        <v>0.9362</v>
      </c>
      <c r="P3" s="131">
        <v>1.08</v>
      </c>
      <c r="Q3" s="134">
        <f>(F3/G3/H3/I3/J3)/K3*10^6/D3*(L3/O3)*P3</f>
        <v>1.4019330193813373</v>
      </c>
      <c r="R3" s="134">
        <f>Q3/(R63*E3)</f>
        <v>0.7065434054199059</v>
      </c>
      <c r="S3" s="134">
        <f>rdaPt!P3/R3</f>
        <v>1.0633439673107778</v>
      </c>
      <c r="U3" s="134"/>
      <c r="V3" s="134"/>
    </row>
    <row r="4" spans="1:24" s="11" customFormat="1" ht="22.5">
      <c r="A4" s="11" t="s">
        <v>24</v>
      </c>
      <c r="C4" s="35" t="s">
        <v>307</v>
      </c>
      <c r="E4" s="11">
        <v>0.3</v>
      </c>
      <c r="F4" s="11">
        <f>fitModel!R105</f>
        <v>20.076935357104016</v>
      </c>
      <c r="I4" s="11">
        <f>simDau!K20</f>
        <v>0.009002705402984616</v>
      </c>
      <c r="K4" s="12"/>
      <c r="M4" s="33" t="s">
        <v>35</v>
      </c>
      <c r="N4" s="34" t="s">
        <v>36</v>
      </c>
      <c r="O4" s="33" t="s">
        <v>35</v>
      </c>
      <c r="P4" s="33"/>
      <c r="Q4" s="8">
        <f>SQRT((F4/F3)^2+(I4/I3)^2)*Q3</f>
        <v>0.13273084886249212</v>
      </c>
      <c r="R4" s="8">
        <f>SQRT((Q4/Q3)^2+(R64/R63)^2)*R3</f>
        <v>0.10327964058969023</v>
      </c>
      <c r="S4" s="34"/>
      <c r="T4" s="34"/>
      <c r="U4" s="8"/>
      <c r="V4" s="8"/>
      <c r="W4" s="33"/>
      <c r="X4" s="33"/>
    </row>
    <row r="5" spans="1:22" s="11" customFormat="1" ht="23.25">
      <c r="A5" s="11" t="s">
        <v>31</v>
      </c>
      <c r="C5" s="35"/>
      <c r="E5" s="17"/>
      <c r="K5" s="12"/>
      <c r="M5" s="8">
        <f>syst!D23</f>
        <v>0.08627861844049196</v>
      </c>
      <c r="N5" s="8">
        <f>syst!D25</f>
        <v>0.12666491226855212</v>
      </c>
      <c r="O5" s="8">
        <f>SQRT((M5*Q3)^2+Q4^2)</f>
        <v>0.1795773826635991</v>
      </c>
      <c r="Q5" s="8">
        <f>SQRT((N5*Q3)^2+Q4^2)</f>
        <v>0.22169938115714508</v>
      </c>
      <c r="R5" s="8">
        <f>SQRT((S5*R3)^2+R4^2)</f>
        <v>0.10327964058969023</v>
      </c>
      <c r="S5" s="8"/>
      <c r="T5" s="8"/>
      <c r="U5" s="8"/>
      <c r="V5" s="8"/>
    </row>
    <row r="6" spans="1:22" s="11" customFormat="1" ht="23.25">
      <c r="A6" s="11" t="s">
        <v>32</v>
      </c>
      <c r="C6" s="35"/>
      <c r="E6" s="17"/>
      <c r="K6" s="12"/>
      <c r="M6" s="8">
        <f>syst!D24</f>
        <v>0.08774964387392122</v>
      </c>
      <c r="N6" s="8">
        <f>syst!D26</f>
        <v>0.1442220510185596</v>
      </c>
      <c r="O6" s="8">
        <f>SQRT((M6*Q3)^2+Q4^2)</f>
        <v>0.18097287893262243</v>
      </c>
      <c r="Q6" s="8">
        <f>SQRT((N6*Q3)^2+Q4^2)</f>
        <v>0.24186387702395026</v>
      </c>
      <c r="R6" s="8">
        <f>SQRT((S6*R3)^2+R4^2)</f>
        <v>0.10327964058969023</v>
      </c>
      <c r="S6" s="8"/>
      <c r="T6" s="8"/>
      <c r="U6" s="8"/>
      <c r="V6" s="8"/>
    </row>
    <row r="7" spans="1:22" s="131" customFormat="1" ht="22.5">
      <c r="A7" s="131" t="s">
        <v>17</v>
      </c>
      <c r="B7" s="131">
        <f>B3</f>
        <v>-1.7</v>
      </c>
      <c r="C7" s="132" t="s">
        <v>39</v>
      </c>
      <c r="D7" s="131">
        <v>1</v>
      </c>
      <c r="E7" s="131">
        <f>$E$3</f>
        <v>7.58</v>
      </c>
      <c r="F7" s="131">
        <f>fitModel!R106</f>
        <v>305.75</v>
      </c>
      <c r="G7" s="131">
        <v>0.128</v>
      </c>
      <c r="H7" s="131">
        <f>simDau!$H$21</f>
        <v>0.6714131489470898</v>
      </c>
      <c r="I7" s="131">
        <f>simDau!K21</f>
        <v>0.6026092105151544</v>
      </c>
      <c r="J7" s="131">
        <v>0.99</v>
      </c>
      <c r="K7" s="133">
        <f>K$3</f>
        <v>2750000000</v>
      </c>
      <c r="L7" s="131">
        <v>0.88</v>
      </c>
      <c r="M7" s="131">
        <f>$M$3</f>
        <v>2260</v>
      </c>
      <c r="N7" s="133">
        <f>K7/L7/(M7*1000000)</f>
        <v>1.3827433628318584</v>
      </c>
      <c r="O7" s="131">
        <f>$O$3</f>
        <v>0.9362</v>
      </c>
      <c r="P7" s="131">
        <v>1.037</v>
      </c>
      <c r="Q7" s="134">
        <f>(F7/G7/H7/I7/J7)/K7*10^6/D7*(L7/O7)*P7</f>
        <v>2.113760567676448</v>
      </c>
      <c r="R7" s="134">
        <f>Q7/(R67*E7)</f>
        <v>1.146390946928339</v>
      </c>
      <c r="S7" s="134">
        <f>rdaPt!P7/R7</f>
        <v>1.0323676442872625</v>
      </c>
      <c r="U7" s="134"/>
      <c r="V7" s="134"/>
    </row>
    <row r="8" spans="1:22" s="11" customFormat="1" ht="22.5">
      <c r="A8" s="11" t="s">
        <v>24</v>
      </c>
      <c r="C8" s="35" t="s">
        <v>44</v>
      </c>
      <c r="E8" s="11">
        <f>$E$4</f>
        <v>0.3</v>
      </c>
      <c r="F8" s="11">
        <f>fitModel!R107</f>
        <v>18.05777764104247</v>
      </c>
      <c r="I8" s="11">
        <f>simDau!K22</f>
        <v>0.007460703259954066</v>
      </c>
      <c r="K8" s="12"/>
      <c r="N8" s="12"/>
      <c r="Q8" s="8">
        <f>SQRT((F8/F7)^2+(I8/I7)^2)*Q7</f>
        <v>0.12755341064549086</v>
      </c>
      <c r="R8" s="8">
        <f>SQRT((Q8/Q7)^2+(R68/R67)^2)*R7</f>
        <v>0.15757773091187033</v>
      </c>
      <c r="S8" s="8"/>
      <c r="U8" s="8"/>
      <c r="V8" s="8"/>
    </row>
    <row r="9" spans="1:22" s="11" customFormat="1" ht="22.5">
      <c r="A9" s="11" t="s">
        <v>31</v>
      </c>
      <c r="C9" s="35"/>
      <c r="E9" s="14"/>
      <c r="K9" s="12"/>
      <c r="M9" s="8">
        <f>M5</f>
        <v>0.08627861844049196</v>
      </c>
      <c r="N9" s="8">
        <f>N5</f>
        <v>0.12666491226855212</v>
      </c>
      <c r="O9" s="8">
        <f>SQRT((M9*Q7)^2+Q8^2)</f>
        <v>0.22255233880815137</v>
      </c>
      <c r="Q9" s="8">
        <f>SQRT((N9*Q7)^2+Q8^2)</f>
        <v>0.29657073970836606</v>
      </c>
      <c r="R9" s="8">
        <f>SQRT((S9*R7)^2+R8^2)</f>
        <v>0.15757773091187033</v>
      </c>
      <c r="S9" s="8"/>
      <c r="T9" s="8"/>
      <c r="U9" s="8"/>
      <c r="V9" s="8"/>
    </row>
    <row r="10" spans="1:22" s="11" customFormat="1" ht="22.5">
      <c r="A10" s="11" t="s">
        <v>32</v>
      </c>
      <c r="C10" s="35"/>
      <c r="E10" s="14"/>
      <c r="K10" s="12"/>
      <c r="M10" s="8">
        <f>M6</f>
        <v>0.08774964387392122</v>
      </c>
      <c r="N10" s="8">
        <f>N6</f>
        <v>0.1442220510185596</v>
      </c>
      <c r="O10" s="8">
        <f>SQRT((M10*Q7)^2+Q8^2)</f>
        <v>0.2251074129071918</v>
      </c>
      <c r="Q10" s="8">
        <f>SQRT((N10*Q7)^2+Q8^2)</f>
        <v>0.33046018566015717</v>
      </c>
      <c r="R10" s="8">
        <f>SQRT((S10*R7)^2+R8^2)</f>
        <v>0.15757773091187033</v>
      </c>
      <c r="S10" s="8"/>
      <c r="T10" s="8"/>
      <c r="U10" s="8"/>
      <c r="V10" s="8"/>
    </row>
    <row r="11" spans="1:22" s="131" customFormat="1" ht="22.5">
      <c r="A11" s="131" t="s">
        <v>17</v>
      </c>
      <c r="B11" s="131">
        <f>B3</f>
        <v>-1.7</v>
      </c>
      <c r="C11" s="132" t="s">
        <v>40</v>
      </c>
      <c r="D11" s="131">
        <v>1</v>
      </c>
      <c r="E11" s="131">
        <f>$E$3</f>
        <v>7.58</v>
      </c>
      <c r="F11" s="131">
        <f>fitModel!R108</f>
        <v>185.25</v>
      </c>
      <c r="G11" s="131">
        <v>0.128</v>
      </c>
      <c r="H11" s="131">
        <f>simDau!$H$23</f>
        <v>0.5657271558488212</v>
      </c>
      <c r="I11" s="131">
        <f>simDau!K23</f>
        <v>0.6196038927130311</v>
      </c>
      <c r="J11" s="131">
        <v>0.99</v>
      </c>
      <c r="K11" s="133">
        <f>K$3</f>
        <v>2750000000</v>
      </c>
      <c r="L11" s="131">
        <v>0.88</v>
      </c>
      <c r="M11" s="131">
        <f>$M$3</f>
        <v>2260</v>
      </c>
      <c r="N11" s="133">
        <f>K11/L11/(M11*1000000)</f>
        <v>1.3827433628318584</v>
      </c>
      <c r="O11" s="131">
        <f>$O$3</f>
        <v>0.9362</v>
      </c>
      <c r="P11" s="131">
        <v>0.988</v>
      </c>
      <c r="Q11" s="134">
        <f>(F11/G11/H11/I11/J11)/K11*10^6/D11*(L11/O11)*P11</f>
        <v>1.408413485707505</v>
      </c>
      <c r="R11" s="134">
        <f>Q11/(R71*E11)</f>
        <v>2.6696270233890855</v>
      </c>
      <c r="S11" s="134">
        <f>rdaPt!P11/R11</f>
        <v>1.0480582879432723</v>
      </c>
      <c r="T11" s="134"/>
      <c r="U11" s="134"/>
      <c r="V11" s="134"/>
    </row>
    <row r="12" spans="1:22" s="11" customFormat="1" ht="22.5">
      <c r="A12" s="11" t="s">
        <v>24</v>
      </c>
      <c r="C12" s="35" t="s">
        <v>45</v>
      </c>
      <c r="E12" s="11">
        <f>$E$4</f>
        <v>0.3</v>
      </c>
      <c r="F12" s="11">
        <f>fitModel!R109</f>
        <v>18.24828759089466</v>
      </c>
      <c r="I12" s="11">
        <f>simDau!K24</f>
        <v>0.012656004762954016</v>
      </c>
      <c r="K12" s="12"/>
      <c r="N12" s="12"/>
      <c r="Q12" s="8">
        <f>SQRT((F12/F11)^2+(I12/I11)^2)*Q11</f>
        <v>0.14168882035470462</v>
      </c>
      <c r="R12" s="8">
        <f>SQRT((Q12/Q11)^2+(R72/R71)^2)*R11</f>
        <v>0.7822137450417529</v>
      </c>
      <c r="S12" s="8"/>
      <c r="T12" s="8"/>
      <c r="U12" s="8"/>
      <c r="V12" s="8"/>
    </row>
    <row r="13" spans="1:22" s="11" customFormat="1" ht="22.5">
      <c r="A13" s="11" t="s">
        <v>31</v>
      </c>
      <c r="C13" s="35"/>
      <c r="K13" s="12"/>
      <c r="M13" s="8">
        <f>M5</f>
        <v>0.08627861844049196</v>
      </c>
      <c r="N13" s="8">
        <f>N5</f>
        <v>0.12666491226855212</v>
      </c>
      <c r="O13" s="8">
        <f>SQRT((M13*Q11)^2+Q12^2)</f>
        <v>0.18665972440596826</v>
      </c>
      <c r="Q13" s="8">
        <f>SQRT((N13*Q11)^2+Q12^2)</f>
        <v>0.2278180375148724</v>
      </c>
      <c r="R13" s="8">
        <f>SQRT((S13*R11)^2+R12^2)</f>
        <v>0.7822137450417529</v>
      </c>
      <c r="S13" s="8"/>
      <c r="T13" s="8"/>
      <c r="U13" s="8"/>
      <c r="V13" s="8"/>
    </row>
    <row r="14" spans="1:22" s="11" customFormat="1" ht="22.5">
      <c r="A14" s="11" t="s">
        <v>32</v>
      </c>
      <c r="C14" s="35"/>
      <c r="K14" s="12"/>
      <c r="M14" s="8">
        <f>M6</f>
        <v>0.08774964387392122</v>
      </c>
      <c r="N14" s="8">
        <f>N6</f>
        <v>0.1442220510185596</v>
      </c>
      <c r="O14" s="8">
        <f>SQRT((M14*Q11)^2+Q12^2)</f>
        <v>0.18801505690575168</v>
      </c>
      <c r="Q14" s="8">
        <f>SQRT((N14*Q11)^2+Q12^2)</f>
        <v>0.24765943467863538</v>
      </c>
      <c r="R14" s="8">
        <f>SQRT((S14*R11)^2+R12^2)</f>
        <v>0.7822137450417529</v>
      </c>
      <c r="S14" s="8"/>
      <c r="T14" s="8"/>
      <c r="U14" s="8"/>
      <c r="V14" s="8"/>
    </row>
    <row r="15" spans="1:22" s="131" customFormat="1" ht="22.5">
      <c r="A15" s="131" t="s">
        <v>17</v>
      </c>
      <c r="B15" s="131">
        <f>B3</f>
        <v>-1.7</v>
      </c>
      <c r="C15" s="132" t="s">
        <v>41</v>
      </c>
      <c r="D15" s="131">
        <v>1</v>
      </c>
      <c r="E15" s="131">
        <f>$E$3</f>
        <v>7.58</v>
      </c>
      <c r="F15" s="131">
        <f>fitModel!R110</f>
        <v>51.25</v>
      </c>
      <c r="G15" s="131">
        <v>0.128</v>
      </c>
      <c r="H15" s="131">
        <f>simDau!$H$25</f>
        <v>0.6337125995725665</v>
      </c>
      <c r="I15" s="131">
        <f>simDau!K25</f>
        <v>0.6025319542732717</v>
      </c>
      <c r="J15" s="131">
        <v>0.99</v>
      </c>
      <c r="K15" s="133">
        <f>K$3</f>
        <v>2750000000</v>
      </c>
      <c r="L15" s="131">
        <v>0.88</v>
      </c>
      <c r="M15" s="131">
        <f>$M$3</f>
        <v>2260</v>
      </c>
      <c r="N15" s="133">
        <f>K15/L15/(M15*1000000)</f>
        <v>1.3827433628318584</v>
      </c>
      <c r="O15" s="131">
        <f>$O$3</f>
        <v>0.9362</v>
      </c>
      <c r="P15" s="131">
        <v>0.957</v>
      </c>
      <c r="Q15" s="134">
        <f>(F15/G15/H15/I15/J15)/K15*10^6/D15*(L15/O15)*P15</f>
        <v>0.3464731295816235</v>
      </c>
      <c r="R15" s="134">
        <f>Q15/(R75*E15)</f>
        <v>1.5347100326782204</v>
      </c>
      <c r="S15" s="134">
        <f>rdaPt!P15/R15</f>
        <v>1.1880695912795787</v>
      </c>
      <c r="T15" s="134"/>
      <c r="U15" s="134"/>
      <c r="V15" s="134"/>
    </row>
    <row r="16" spans="1:22" s="11" customFormat="1" ht="22.5">
      <c r="A16" s="11" t="s">
        <v>24</v>
      </c>
      <c r="C16" s="35" t="s">
        <v>46</v>
      </c>
      <c r="E16" s="11">
        <f>$E$4</f>
        <v>0.3</v>
      </c>
      <c r="F16" s="11">
        <f>fitModel!R111</f>
        <v>10.214368964029708</v>
      </c>
      <c r="I16" s="11">
        <f>simDau!K26</f>
        <v>0.02668757075286823</v>
      </c>
      <c r="K16" s="12"/>
      <c r="N16" s="12"/>
      <c r="Q16" s="8">
        <f>SQRT((F16/F15)^2+(I16/I15)^2)*Q15</f>
        <v>0.07073841167870167</v>
      </c>
      <c r="R16" s="8">
        <f>SQRT((Q16/Q15)^2+(R76/R75)^2)*R15</f>
        <v>0.6759826978086412</v>
      </c>
      <c r="S16" s="8"/>
      <c r="T16" s="8"/>
      <c r="U16" s="8"/>
      <c r="V16" s="8"/>
    </row>
    <row r="17" spans="1:22" s="11" customFormat="1" ht="22.5">
      <c r="A17" s="11" t="s">
        <v>31</v>
      </c>
      <c r="C17" s="35"/>
      <c r="K17" s="12"/>
      <c r="M17" s="8">
        <f>M5</f>
        <v>0.08627861844049196</v>
      </c>
      <c r="N17" s="8">
        <f>N5</f>
        <v>0.12666491226855212</v>
      </c>
      <c r="O17" s="8">
        <f>SQRT((M17*Q15)^2+Q16^2)</f>
        <v>0.07679536226223477</v>
      </c>
      <c r="Q17" s="8">
        <f>SQRT((N17*Q15)^2+Q16^2)</f>
        <v>0.08324603821730978</v>
      </c>
      <c r="R17" s="8">
        <f>SQRT((S17*R15)^2+R16^2)</f>
        <v>0.6759826978086412</v>
      </c>
      <c r="S17" s="8"/>
      <c r="T17" s="8"/>
      <c r="U17" s="8"/>
      <c r="V17" s="8"/>
    </row>
    <row r="18" spans="1:22" s="11" customFormat="1" ht="22.5">
      <c r="A18" s="11" t="s">
        <v>32</v>
      </c>
      <c r="C18" s="35"/>
      <c r="K18" s="12"/>
      <c r="M18" s="8">
        <f>M6</f>
        <v>0.08774964387392122</v>
      </c>
      <c r="N18" s="8">
        <f>N6</f>
        <v>0.1442220510185596</v>
      </c>
      <c r="O18" s="8">
        <f>SQRT((M18*Q15)^2+Q16^2)</f>
        <v>0.0769951870842946</v>
      </c>
      <c r="Q18" s="8">
        <f>SQRT((N18*Q15)^2+Q16^2)</f>
        <v>0.08660733445202452</v>
      </c>
      <c r="R18" s="8">
        <f>SQRT((S18*R15)^2+R16^2)</f>
        <v>0.6759826978086412</v>
      </c>
      <c r="S18" s="8"/>
      <c r="T18" s="8"/>
      <c r="U18" s="8"/>
      <c r="V18" s="8"/>
    </row>
    <row r="19" spans="1:22" s="131" customFormat="1" ht="22.5">
      <c r="A19" s="131" t="s">
        <v>17</v>
      </c>
      <c r="B19" s="131">
        <f>B3</f>
        <v>-1.7</v>
      </c>
      <c r="C19" s="132" t="s">
        <v>42</v>
      </c>
      <c r="D19" s="131">
        <v>1</v>
      </c>
      <c r="E19" s="131">
        <f>$E$3</f>
        <v>7.58</v>
      </c>
      <c r="F19" s="183">
        <f>fitModel!R112</f>
        <v>23.5</v>
      </c>
      <c r="G19" s="131">
        <v>0.128</v>
      </c>
      <c r="H19" s="131">
        <f>simDau!$H$27</f>
        <v>0.6604626808834729</v>
      </c>
      <c r="I19" s="131">
        <f>simDau!K27</f>
        <v>0.6363898443898444</v>
      </c>
      <c r="J19" s="131">
        <v>0.99</v>
      </c>
      <c r="K19" s="133">
        <f>K$3</f>
        <v>2750000000</v>
      </c>
      <c r="L19" s="131">
        <v>0.88</v>
      </c>
      <c r="M19" s="131">
        <f>$M$3</f>
        <v>2260</v>
      </c>
      <c r="N19" s="133">
        <f>K19/L19/(M19*1000000)</f>
        <v>1.3827433628318584</v>
      </c>
      <c r="O19" s="131">
        <f>$O$3</f>
        <v>0.9362</v>
      </c>
      <c r="P19" s="131">
        <v>0.944</v>
      </c>
      <c r="Q19" s="134">
        <f>(F19/G19/H19/I19/J19)/K19*10^6/D19*(L19/O19)*P19</f>
        <v>0.14236541889319837</v>
      </c>
      <c r="R19" s="134">
        <f>Q19/(R79*E19)</f>
        <v>3.1944355943779774</v>
      </c>
      <c r="S19" s="134">
        <f>rdaPt!P19/R19</f>
        <v>1.1232885297431028</v>
      </c>
      <c r="T19" s="134"/>
      <c r="U19" s="134"/>
      <c r="V19" s="134"/>
    </row>
    <row r="20" spans="1:22" s="11" customFormat="1" ht="22.5">
      <c r="A20" s="11" t="s">
        <v>24</v>
      </c>
      <c r="C20" s="35" t="s">
        <v>201</v>
      </c>
      <c r="E20" s="11">
        <f>$E$4</f>
        <v>0.3</v>
      </c>
      <c r="F20" s="11">
        <f>fitModel!R113</f>
        <v>5.204164998665332</v>
      </c>
      <c r="I20" s="11">
        <f>simDau!K28</f>
        <v>0.07550502693789043</v>
      </c>
      <c r="K20" s="12"/>
      <c r="N20" s="12"/>
      <c r="Q20" s="8">
        <f>SQRT((F20/F19)^2+(I20/I19)^2)*Q19</f>
        <v>0.03576706722099349</v>
      </c>
      <c r="R20" s="8">
        <f>SQRT((Q20/Q19)^2+(R80/R79)^2)*R19</f>
        <v>2.693506410282494</v>
      </c>
      <c r="S20" s="8"/>
      <c r="T20" s="8"/>
      <c r="U20" s="8"/>
      <c r="V20" s="8"/>
    </row>
    <row r="21" spans="1:22" s="11" customFormat="1" ht="22.5">
      <c r="A21" s="11" t="s">
        <v>31</v>
      </c>
      <c r="C21" s="35"/>
      <c r="K21" s="12"/>
      <c r="M21" s="8">
        <f>M5</f>
        <v>0.08627861844049196</v>
      </c>
      <c r="N21" s="8">
        <f>N5</f>
        <v>0.12666491226855212</v>
      </c>
      <c r="O21" s="8">
        <f>SQRT((M21*Q19)^2+Q20^2)</f>
        <v>0.0378174224163417</v>
      </c>
      <c r="Q21" s="8">
        <f>SQRT((N21*Q19)^2+Q20^2)</f>
        <v>0.040055729748527766</v>
      </c>
      <c r="R21" s="8">
        <f>SQRT((S21*R19)^2+R20^2)</f>
        <v>2.693506410282494</v>
      </c>
      <c r="S21" s="8"/>
      <c r="T21" s="8"/>
      <c r="U21" s="8"/>
      <c r="V21" s="8"/>
    </row>
    <row r="22" spans="1:22" s="11" customFormat="1" ht="22.5">
      <c r="A22" s="11" t="s">
        <v>32</v>
      </c>
      <c r="C22" s="35"/>
      <c r="K22" s="12"/>
      <c r="M22" s="8">
        <f>M6</f>
        <v>0.08774964387392122</v>
      </c>
      <c r="N22" s="8">
        <f>N6</f>
        <v>0.1442220510185596</v>
      </c>
      <c r="O22" s="8">
        <f>SQRT((M22*Q19)^2+Q20^2)</f>
        <v>0.03788596077460835</v>
      </c>
      <c r="Q22" s="8">
        <f>SQRT((N22*Q19)^2+Q20^2)</f>
        <v>0.041241431564884995</v>
      </c>
      <c r="R22" s="8">
        <f>SQRT((S22*R19)^2+R20^2)</f>
        <v>2.693506410282494</v>
      </c>
      <c r="S22" s="8"/>
      <c r="T22" s="8"/>
      <c r="U22" s="8"/>
      <c r="V22" s="8"/>
    </row>
    <row r="23" spans="1:22" s="135" customFormat="1" ht="22.5">
      <c r="A23" s="135" t="s">
        <v>17</v>
      </c>
      <c r="B23" s="135">
        <v>1.8</v>
      </c>
      <c r="C23" s="136" t="s">
        <v>38</v>
      </c>
      <c r="D23" s="135">
        <v>1.2</v>
      </c>
      <c r="E23" s="135">
        <f>$E$3</f>
        <v>7.58</v>
      </c>
      <c r="F23" s="135">
        <f>fitModel!R114</f>
        <v>309</v>
      </c>
      <c r="G23" s="135">
        <v>0.127</v>
      </c>
      <c r="H23" s="135">
        <f>simDau!$H$29</f>
        <v>0.8413468607033632</v>
      </c>
      <c r="I23" s="135">
        <f>simDau!K29</f>
        <v>0.7031889222539259</v>
      </c>
      <c r="J23" s="135">
        <v>0.93</v>
      </c>
      <c r="K23" s="137">
        <v>3264000000</v>
      </c>
      <c r="L23" s="135">
        <f>$L$3</f>
        <v>0.88</v>
      </c>
      <c r="M23" s="135">
        <f>$M$3</f>
        <v>2260</v>
      </c>
      <c r="N23" s="137">
        <f>K23/L23/(M23*1000000)</f>
        <v>1.6411906677393402</v>
      </c>
      <c r="O23" s="135">
        <f>$O$3</f>
        <v>0.9362</v>
      </c>
      <c r="P23" s="135">
        <v>1.098</v>
      </c>
      <c r="Q23" s="138">
        <f>(F23/G23/H23/I23/J23)/K23*10^6/D23*(L23/O23)*P23</f>
        <v>1.1652247219238858</v>
      </c>
      <c r="R23" s="138">
        <f>Q23/(R63*E23)</f>
        <v>0.5872476300407514</v>
      </c>
      <c r="S23" s="138">
        <f>rdaPt!P23/R23</f>
        <v>1.063343967310778</v>
      </c>
      <c r="U23" s="138"/>
      <c r="V23" s="138"/>
    </row>
    <row r="24" spans="1:22" ht="22.5">
      <c r="A24" s="1" t="s">
        <v>24</v>
      </c>
      <c r="C24" s="36" t="s">
        <v>43</v>
      </c>
      <c r="E24" s="1">
        <f>$E$4</f>
        <v>0.3</v>
      </c>
      <c r="F24" s="1">
        <f>fitModel!R115</f>
        <v>19.42506971244462</v>
      </c>
      <c r="I24" s="1">
        <f>simDau!K30</f>
        <v>0.008761944380750269</v>
      </c>
      <c r="K24" s="16"/>
      <c r="N24" s="16"/>
      <c r="Q24" s="3">
        <f>SQRT((F24/F23)^2+(I24/I23)^2)*Q23</f>
        <v>0.0746760850654157</v>
      </c>
      <c r="R24" s="3">
        <f>SQRT((Q24/Q23)^2+(R64/R63)^2)*R23</f>
        <v>0.07545810642093723</v>
      </c>
      <c r="S24" s="232"/>
      <c r="U24" s="3"/>
      <c r="V24" s="3"/>
    </row>
    <row r="25" spans="1:22" ht="22.5">
      <c r="A25" s="1" t="s">
        <v>31</v>
      </c>
      <c r="C25" s="36"/>
      <c r="K25" s="16"/>
      <c r="M25" s="3">
        <f>syst!E23</f>
        <v>0.065</v>
      </c>
      <c r="N25" s="3">
        <f>syst!E25</f>
        <v>0.12379418403139947</v>
      </c>
      <c r="O25" s="3">
        <f>SQRT((M25*Q23)^2+Q24^2)</f>
        <v>0.10636261438051753</v>
      </c>
      <c r="Q25" s="3">
        <f>SQRT((N25*Q23)^2+Q24^2)</f>
        <v>0.1624315726129791</v>
      </c>
      <c r="R25" s="3">
        <f>SQRT((S25*R23)^2+R24^2)</f>
        <v>0.07545810642093723</v>
      </c>
      <c r="S25" s="3"/>
      <c r="T25" s="3"/>
      <c r="U25" s="3"/>
      <c r="V25" s="3"/>
    </row>
    <row r="26" spans="1:22" ht="22.5">
      <c r="A26" s="1" t="s">
        <v>32</v>
      </c>
      <c r="C26" s="36"/>
      <c r="K26" s="16"/>
      <c r="M26" s="3">
        <f>syst!E24</f>
        <v>0.06503076195155644</v>
      </c>
      <c r="N26" s="3">
        <f>syst!E26</f>
        <v>0.14081548210335398</v>
      </c>
      <c r="O26" s="3">
        <f>SQRT((M26*Q23)^2+Q24^2)</f>
        <v>0.10638814187901303</v>
      </c>
      <c r="Q26" s="3">
        <f>SQRT((N26*Q23)^2+Q24^2)</f>
        <v>0.18027566589187108</v>
      </c>
      <c r="R26" s="3">
        <f>SQRT((S26*R23)^2+R24^2)</f>
        <v>0.07545810642093723</v>
      </c>
      <c r="S26" s="3"/>
      <c r="T26" s="3"/>
      <c r="U26" s="3"/>
      <c r="V26" s="3"/>
    </row>
    <row r="27" spans="1:22" s="135" customFormat="1" ht="22.5">
      <c r="A27" s="135" t="s">
        <v>17</v>
      </c>
      <c r="B27" s="135">
        <f>B23</f>
        <v>1.8</v>
      </c>
      <c r="C27" s="136" t="s">
        <v>39</v>
      </c>
      <c r="D27" s="135">
        <v>1.2</v>
      </c>
      <c r="E27" s="135">
        <f>$E$3</f>
        <v>7.58</v>
      </c>
      <c r="F27" s="135">
        <f>fitModel!R116</f>
        <v>338.5</v>
      </c>
      <c r="G27" s="135">
        <v>0.127</v>
      </c>
      <c r="H27" s="135">
        <f>simDau!$H$31</f>
        <v>0.7760410767126257</v>
      </c>
      <c r="I27" s="135">
        <f>simDau!K31</f>
        <v>0.6963834421681784</v>
      </c>
      <c r="J27" s="135">
        <v>0.93</v>
      </c>
      <c r="K27" s="137">
        <f>K$23</f>
        <v>3264000000</v>
      </c>
      <c r="L27" s="135">
        <f>$L$3</f>
        <v>0.88</v>
      </c>
      <c r="M27" s="135">
        <f>$M$3</f>
        <v>2260</v>
      </c>
      <c r="N27" s="137">
        <f>K27/L27/(M27*1000000)</f>
        <v>1.6411906677393402</v>
      </c>
      <c r="O27" s="135">
        <f>$O$3</f>
        <v>0.9362</v>
      </c>
      <c r="P27" s="135">
        <v>1.035</v>
      </c>
      <c r="Q27" s="138">
        <f>(F27/G27/H27/I27/J27)/K27*10^6/D27*(L27/O27)*P27</f>
        <v>1.3172307077444345</v>
      </c>
      <c r="R27" s="138">
        <f>Q27/(R67*E27)</f>
        <v>0.7143956517431697</v>
      </c>
      <c r="S27" s="138">
        <f>rdaPt!P27/R27</f>
        <v>1.0323676442872622</v>
      </c>
      <c r="T27" s="138"/>
      <c r="U27" s="138"/>
      <c r="V27" s="138"/>
    </row>
    <row r="28" spans="1:22" ht="22.5">
      <c r="A28" s="1" t="s">
        <v>24</v>
      </c>
      <c r="C28" s="36" t="s">
        <v>44</v>
      </c>
      <c r="E28" s="1">
        <f>$E$4</f>
        <v>0.3</v>
      </c>
      <c r="F28" s="1">
        <f>fitModel!R117</f>
        <v>21.1266025033211</v>
      </c>
      <c r="I28" s="1">
        <f>simDau!K32</f>
        <v>0.007166841378628381</v>
      </c>
      <c r="K28" s="16"/>
      <c r="N28" s="16"/>
      <c r="Q28" s="3">
        <f>SQRT((F28/F27)^2+(I28/I27)^2)*Q27</f>
        <v>0.08332173904576913</v>
      </c>
      <c r="R28" s="3">
        <f>SQRT((Q28/Q27)^2+(R68/R67)^2)*R27</f>
        <v>0.09912816167173286</v>
      </c>
      <c r="S28" s="3"/>
      <c r="T28" s="3"/>
      <c r="U28" s="3"/>
      <c r="V28" s="3"/>
    </row>
    <row r="29" spans="1:22" ht="22.5">
      <c r="A29" s="1" t="s">
        <v>31</v>
      </c>
      <c r="C29" s="36"/>
      <c r="K29" s="16"/>
      <c r="M29" s="3">
        <f>M25</f>
        <v>0.065</v>
      </c>
      <c r="N29" s="3">
        <f>N25</f>
        <v>0.12379418403139947</v>
      </c>
      <c r="O29" s="3">
        <f>SQRT((M29*Q27)^2+Q28^2)</f>
        <v>0.11947089985946983</v>
      </c>
      <c r="Q29" s="3">
        <f>SQRT((N29*Q27)^2+Q28^2)</f>
        <v>0.18311982333610935</v>
      </c>
      <c r="R29" s="3">
        <f>SQRT((S29*R27)^2+R28^2)</f>
        <v>0.09912816167173286</v>
      </c>
      <c r="S29" s="3"/>
      <c r="T29" s="3"/>
      <c r="U29" s="3"/>
      <c r="V29" s="3"/>
    </row>
    <row r="30" spans="1:22" ht="22.5">
      <c r="A30" s="1" t="s">
        <v>32</v>
      </c>
      <c r="C30" s="36"/>
      <c r="K30" s="16"/>
      <c r="M30" s="3">
        <f>M26</f>
        <v>0.06503076195155644</v>
      </c>
      <c r="N30" s="3">
        <f>N26</f>
        <v>0.14081548210335398</v>
      </c>
      <c r="O30" s="3">
        <f>SQRT((M30*Q27)^2+Q28^2)</f>
        <v>0.11949994267856853</v>
      </c>
      <c r="Q30" s="3">
        <f>SQRT((N30*Q27)^2+Q28^2)</f>
        <v>0.20334145028500628</v>
      </c>
      <c r="R30" s="3">
        <f>SQRT((S30*R27)^2+R28^2)</f>
        <v>0.09912816167173286</v>
      </c>
      <c r="S30" s="3"/>
      <c r="T30" s="3"/>
      <c r="U30" s="3"/>
      <c r="V30" s="3"/>
    </row>
    <row r="31" spans="1:22" s="135" customFormat="1" ht="22.5">
      <c r="A31" s="135" t="s">
        <v>17</v>
      </c>
      <c r="B31" s="135">
        <f>B23</f>
        <v>1.8</v>
      </c>
      <c r="C31" s="136" t="s">
        <v>40</v>
      </c>
      <c r="D31" s="135">
        <v>1.2</v>
      </c>
      <c r="E31" s="135">
        <f>$E$3</f>
        <v>7.58</v>
      </c>
      <c r="F31" s="135">
        <f>fitModel!R118</f>
        <v>177.25</v>
      </c>
      <c r="G31" s="135">
        <v>0.127</v>
      </c>
      <c r="H31" s="135">
        <f>simDau!$H$33</f>
        <v>0.63977990951721</v>
      </c>
      <c r="I31" s="135">
        <f>simDau!K33</f>
        <v>0.7209764843311264</v>
      </c>
      <c r="J31" s="135">
        <v>0.93</v>
      </c>
      <c r="K31" s="137">
        <f>K$23</f>
        <v>3264000000</v>
      </c>
      <c r="L31" s="135">
        <f>$L$3</f>
        <v>0.88</v>
      </c>
      <c r="M31" s="135">
        <f>$M$3</f>
        <v>2260</v>
      </c>
      <c r="N31" s="137">
        <f>K31/L31/(M31*1000000)</f>
        <v>1.6411906677393402</v>
      </c>
      <c r="O31" s="135">
        <f>$O$3</f>
        <v>0.9362</v>
      </c>
      <c r="P31" s="135">
        <v>0.972</v>
      </c>
      <c r="Q31" s="138">
        <f>(F31/G31/H31/I31/J31)/K31*10^6/D31*(L31/O31)*P31</f>
        <v>0.7589213673448355</v>
      </c>
      <c r="R31" s="138">
        <f>Q31/(R71*E31)</f>
        <v>1.4385242767491713</v>
      </c>
      <c r="S31" s="138">
        <f>rdaPt!P31/R31</f>
        <v>1.0480582879432725</v>
      </c>
      <c r="T31" s="138"/>
      <c r="U31" s="138"/>
      <c r="V31" s="138"/>
    </row>
    <row r="32" spans="1:22" ht="22.5">
      <c r="A32" s="1" t="s">
        <v>24</v>
      </c>
      <c r="C32" s="36" t="s">
        <v>45</v>
      </c>
      <c r="E32" s="1">
        <f>$E$4</f>
        <v>0.3</v>
      </c>
      <c r="F32" s="1">
        <f>fitModel!R119</f>
        <v>17.7857620959388</v>
      </c>
      <c r="I32" s="1">
        <f>simDau!K34</f>
        <v>0.01221817852059483</v>
      </c>
      <c r="K32" s="16"/>
      <c r="N32" s="16"/>
      <c r="Q32" s="3">
        <f>SQRT((F32/F31)^2+(I32/I31)^2)*Q31</f>
        <v>0.07723071613142574</v>
      </c>
      <c r="R32" s="3">
        <f>SQRT((Q32/Q31)^2+(R72/R71)^2)*R31</f>
        <v>0.4220715113893736</v>
      </c>
      <c r="S32" s="3"/>
      <c r="T32" s="3"/>
      <c r="U32" s="3"/>
      <c r="V32" s="3"/>
    </row>
    <row r="33" spans="1:22" ht="22.5">
      <c r="A33" s="1" t="s">
        <v>31</v>
      </c>
      <c r="C33" s="36"/>
      <c r="K33" s="16"/>
      <c r="M33" s="3">
        <f>M25</f>
        <v>0.065</v>
      </c>
      <c r="N33" s="3">
        <f>N25</f>
        <v>0.12379418403139947</v>
      </c>
      <c r="O33" s="3">
        <f>SQRT((M33*Q31)^2+Q32^2)</f>
        <v>0.09164071939280544</v>
      </c>
      <c r="Q33" s="3">
        <f>SQRT((N33*Q31)^2+Q32^2)</f>
        <v>0.12161905966973377</v>
      </c>
      <c r="R33" s="3">
        <f>SQRT((S33*R31)^2+R32^2)</f>
        <v>0.4220715113893736</v>
      </c>
      <c r="S33" s="3"/>
      <c r="T33" s="3"/>
      <c r="U33" s="3"/>
      <c r="V33" s="3"/>
    </row>
    <row r="34" spans="1:22" ht="22.5">
      <c r="A34" s="1" t="s">
        <v>32</v>
      </c>
      <c r="C34" s="36"/>
      <c r="K34" s="16"/>
      <c r="M34" s="3">
        <f>M26</f>
        <v>0.06503076195155644</v>
      </c>
      <c r="N34" s="3">
        <f>N26</f>
        <v>0.14081548210335398</v>
      </c>
      <c r="O34" s="3">
        <f>SQRT((M34*Q31)^2+Q32^2)</f>
        <v>0.09165328852473412</v>
      </c>
      <c r="Q34" s="3">
        <f>SQRT((N34*Q31)^2+Q32^2)</f>
        <v>0.13185342964699104</v>
      </c>
      <c r="R34" s="3">
        <f>SQRT((S34*R31)^2+R32^2)</f>
        <v>0.4220715113893736</v>
      </c>
      <c r="S34" s="3"/>
      <c r="T34" s="3"/>
      <c r="U34" s="3"/>
      <c r="V34" s="3"/>
    </row>
    <row r="35" spans="1:22" s="135" customFormat="1" ht="22.5">
      <c r="A35" s="135" t="s">
        <v>17</v>
      </c>
      <c r="B35" s="135">
        <f>B23</f>
        <v>1.8</v>
      </c>
      <c r="C35" s="136" t="s">
        <v>41</v>
      </c>
      <c r="D35" s="135">
        <v>1.2</v>
      </c>
      <c r="E35" s="135">
        <f>$E$3</f>
        <v>7.58</v>
      </c>
      <c r="F35" s="135">
        <f>fitModel!R120</f>
        <v>62</v>
      </c>
      <c r="G35" s="135">
        <v>0.127</v>
      </c>
      <c r="H35" s="135">
        <f>simDau!$H$35</f>
        <v>0.6935335850448178</v>
      </c>
      <c r="I35" s="135">
        <f>simDau!K35</f>
        <v>0.7353434828110498</v>
      </c>
      <c r="J35" s="135">
        <v>0.93</v>
      </c>
      <c r="K35" s="137">
        <f>K$23</f>
        <v>3264000000</v>
      </c>
      <c r="L35" s="135">
        <f>$L$3</f>
        <v>0.88</v>
      </c>
      <c r="M35" s="135">
        <f>$M$3</f>
        <v>2260</v>
      </c>
      <c r="N35" s="137">
        <f>K35/L35/(M35*1000000)</f>
        <v>1.6411906677393402</v>
      </c>
      <c r="O35" s="135">
        <f>$O$3</f>
        <v>0.9362</v>
      </c>
      <c r="P35" s="135">
        <v>0.939</v>
      </c>
      <c r="Q35" s="138">
        <f>(F35/G35/H35/I35/J35)/K35*10^6/D35*(L35/O35)*P35</f>
        <v>0.2319506034404227</v>
      </c>
      <c r="R35" s="138">
        <f>Q35/(R75*E35)</f>
        <v>1.0274300884909506</v>
      </c>
      <c r="S35" s="138">
        <f>rdaPt!P35/R35</f>
        <v>1.1880695912795785</v>
      </c>
      <c r="T35" s="138"/>
      <c r="U35" s="138"/>
      <c r="V35" s="138"/>
    </row>
    <row r="36" spans="1:22" ht="22.5">
      <c r="A36" s="1" t="s">
        <v>24</v>
      </c>
      <c r="C36" s="36" t="s">
        <v>46</v>
      </c>
      <c r="E36" s="1">
        <f>$E$4</f>
        <v>0.3</v>
      </c>
      <c r="F36" s="1">
        <f>fitModel!R121</f>
        <v>10.851267207105353</v>
      </c>
      <c r="I36" s="1">
        <f>simDau!K36</f>
        <v>0.02760023957915585</v>
      </c>
      <c r="K36" s="16"/>
      <c r="N36" s="16"/>
      <c r="Q36" s="3">
        <f>SQRT((F36/F35)^2+(I36/I35)^2)*Q35</f>
        <v>0.04151911952639154</v>
      </c>
      <c r="R36" s="3">
        <f>SQRT((Q36/Q35)^2+(R76/R75)^2)*R35</f>
        <v>0.44115439451398347</v>
      </c>
      <c r="S36" s="3"/>
      <c r="T36" s="3"/>
      <c r="U36" s="3"/>
      <c r="V36" s="3"/>
    </row>
    <row r="37" spans="1:22" ht="22.5">
      <c r="A37" s="1" t="s">
        <v>31</v>
      </c>
      <c r="C37" s="36"/>
      <c r="K37" s="16"/>
      <c r="M37" s="3">
        <f>M25</f>
        <v>0.065</v>
      </c>
      <c r="N37" s="3">
        <f>N25</f>
        <v>0.12379418403139947</v>
      </c>
      <c r="O37" s="3">
        <f>SQRT((M37*Q35)^2+Q36^2)</f>
        <v>0.04417178805007192</v>
      </c>
      <c r="Q37" s="3">
        <f>SQRT((N37*Q35)^2+Q36^2)</f>
        <v>0.050481074419868016</v>
      </c>
      <c r="R37" s="3">
        <f>SQRT((S37*R35)^2+R36^2)</f>
        <v>0.44115439451398347</v>
      </c>
      <c r="S37" s="3"/>
      <c r="T37" s="3"/>
      <c r="U37" s="3"/>
      <c r="V37" s="3"/>
    </row>
    <row r="38" spans="1:22" ht="22.5">
      <c r="A38" s="1" t="s">
        <v>32</v>
      </c>
      <c r="C38" s="36"/>
      <c r="K38" s="16"/>
      <c r="M38" s="3">
        <f>M26</f>
        <v>0.06503076195155644</v>
      </c>
      <c r="N38" s="3">
        <f>N26</f>
        <v>0.14081548210335398</v>
      </c>
      <c r="O38" s="3">
        <f>SQRT((M38*Q35)^2+Q36^2)</f>
        <v>0.04417422397586881</v>
      </c>
      <c r="Q38" s="3">
        <f>SQRT((N38*Q35)^2+Q36^2)</f>
        <v>0.052826687856401634</v>
      </c>
      <c r="R38" s="3">
        <f>SQRT((S38*R35)^2+R36^2)</f>
        <v>0.44115439451398347</v>
      </c>
      <c r="S38" s="3"/>
      <c r="T38" s="3"/>
      <c r="U38" s="3"/>
      <c r="V38" s="3"/>
    </row>
    <row r="39" spans="1:22" s="135" customFormat="1" ht="22.5">
      <c r="A39" s="135" t="s">
        <v>17</v>
      </c>
      <c r="B39" s="135">
        <f>B23</f>
        <v>1.8</v>
      </c>
      <c r="C39" s="136" t="s">
        <v>42</v>
      </c>
      <c r="D39" s="135">
        <v>1.2</v>
      </c>
      <c r="E39" s="135">
        <f>$E$3</f>
        <v>7.58</v>
      </c>
      <c r="F39" s="184">
        <f>fitModel!R122</f>
        <v>15</v>
      </c>
      <c r="G39" s="135">
        <v>0.127</v>
      </c>
      <c r="H39" s="135">
        <f>simDau!$H$37</f>
        <v>0.839422099264619</v>
      </c>
      <c r="I39" s="135">
        <f>simDau!K37</f>
        <v>0.7193907932891467</v>
      </c>
      <c r="J39" s="135">
        <v>0.93</v>
      </c>
      <c r="K39" s="137">
        <f>K$23</f>
        <v>3264000000</v>
      </c>
      <c r="L39" s="135">
        <f>$L$3</f>
        <v>0.88</v>
      </c>
      <c r="M39" s="135">
        <f>$M$3</f>
        <v>2260</v>
      </c>
      <c r="N39" s="137">
        <f>K39/L39/(M39*1000000)</f>
        <v>1.6411906677393402</v>
      </c>
      <c r="O39" s="135">
        <f>$O$3</f>
        <v>0.9362</v>
      </c>
      <c r="P39" s="135">
        <v>0.929</v>
      </c>
      <c r="Q39" s="138">
        <f>(F39/G39/H39/I39/J39)/K39*10^6/D39*(L39/O39)*P39</f>
        <v>0.046887563867195066</v>
      </c>
      <c r="R39" s="138">
        <f>Q39/(R79*E39)</f>
        <v>1.0520764390360986</v>
      </c>
      <c r="S39" s="138">
        <f>rdaPt!P39/R39</f>
        <v>1.123288529743103</v>
      </c>
      <c r="T39" s="138"/>
      <c r="U39" s="138"/>
      <c r="V39" s="138"/>
    </row>
    <row r="40" spans="1:22" ht="22.5">
      <c r="A40" s="1" t="s">
        <v>24</v>
      </c>
      <c r="C40" s="36" t="s">
        <v>201</v>
      </c>
      <c r="E40" s="1">
        <f>$E$4</f>
        <v>0.3</v>
      </c>
      <c r="F40" s="1">
        <f>fitModel!R123</f>
        <v>6.082762530298219</v>
      </c>
      <c r="I40" s="1">
        <f>simDau!K38</f>
        <v>0.07237237081885574</v>
      </c>
      <c r="K40" s="16"/>
      <c r="N40" s="16"/>
      <c r="Q40" s="3">
        <f>SQRT((F40/F39)^2+(I40/I39)^2)*Q39</f>
        <v>0.019590097087300556</v>
      </c>
      <c r="R40" s="3">
        <f>SQRT((Q40/Q39)^2+(R80/R79)^2)*R39</f>
        <v>0.9540952056921279</v>
      </c>
      <c r="S40" s="8"/>
      <c r="T40" s="3"/>
      <c r="U40" s="3"/>
      <c r="V40" s="3"/>
    </row>
    <row r="41" spans="1:22" ht="22.5">
      <c r="A41" s="1" t="s">
        <v>31</v>
      </c>
      <c r="C41" s="36"/>
      <c r="K41" s="16"/>
      <c r="M41" s="3">
        <f>M25</f>
        <v>0.065</v>
      </c>
      <c r="N41" s="3">
        <f>N25</f>
        <v>0.12379418403139947</v>
      </c>
      <c r="O41" s="3">
        <f>SQRT((M41*Q39)^2+Q40^2)</f>
        <v>0.019825749123089348</v>
      </c>
      <c r="Q41" s="3">
        <f>SQRT((N41*Q39)^2+Q40^2)</f>
        <v>0.02043191260640132</v>
      </c>
      <c r="R41" s="3">
        <f>SQRT((S41*R39)^2+R40^2)</f>
        <v>0.9540952056921279</v>
      </c>
      <c r="S41" s="3"/>
      <c r="T41" s="3"/>
      <c r="U41" s="3"/>
      <c r="V41" s="3"/>
    </row>
    <row r="42" spans="1:22" ht="22.5">
      <c r="A42" s="1" t="s">
        <v>32</v>
      </c>
      <c r="C42" s="36"/>
      <c r="K42" s="16"/>
      <c r="M42" s="3">
        <f>M26</f>
        <v>0.06503076195155644</v>
      </c>
      <c r="N42" s="3">
        <f>N26</f>
        <v>0.14081548210335398</v>
      </c>
      <c r="O42" s="3">
        <f>SQRT((M42*Q39)^2+Q40^2)</f>
        <v>0.01982597089845185</v>
      </c>
      <c r="Q42" s="3">
        <f>SQRT((N42*Q39)^2+Q40^2)</f>
        <v>0.02067280442839104</v>
      </c>
      <c r="R42" s="3">
        <f>SQRT((S42*R39)^2+R40^2)</f>
        <v>0.9540952056921279</v>
      </c>
      <c r="S42" s="3"/>
      <c r="T42" s="3"/>
      <c r="U42" s="3"/>
      <c r="V42" s="3"/>
    </row>
    <row r="43" spans="1:18" s="11" customFormat="1" ht="22.5">
      <c r="A43" s="11" t="s">
        <v>6</v>
      </c>
      <c r="B43" s="11">
        <v>-1.7</v>
      </c>
      <c r="C43" s="35" t="s">
        <v>38</v>
      </c>
      <c r="D43" s="11">
        <v>1</v>
      </c>
      <c r="F43" s="11">
        <f>fitModel!R84</f>
        <v>71</v>
      </c>
      <c r="G43" s="11">
        <v>0.128</v>
      </c>
      <c r="H43" s="11">
        <f>simPp!$H$18</f>
        <v>0.5587930232257564</v>
      </c>
      <c r="I43" s="11">
        <f>simPp!I18</f>
        <v>0.5811348030357788</v>
      </c>
      <c r="J43" s="11">
        <v>0.99</v>
      </c>
      <c r="K43" s="12">
        <v>4531000000</v>
      </c>
      <c r="L43" s="11">
        <v>0.545</v>
      </c>
      <c r="M43" s="11">
        <v>42.2</v>
      </c>
      <c r="N43" s="12">
        <f>K43/L43/(M43*1000000)</f>
        <v>197.00856558980826</v>
      </c>
      <c r="O43" s="11">
        <v>0.79</v>
      </c>
      <c r="P43" s="11">
        <v>1.137</v>
      </c>
      <c r="Q43" s="45">
        <f>(F43/G43/H43/I43/J43)/K43*10^6/D43*(L43/O43)*P43</f>
        <v>0.29869031272637786</v>
      </c>
      <c r="R43" s="8"/>
    </row>
    <row r="44" spans="1:18" s="11" customFormat="1" ht="22.5">
      <c r="A44" s="11" t="s">
        <v>24</v>
      </c>
      <c r="C44" s="35" t="s">
        <v>43</v>
      </c>
      <c r="F44" s="11">
        <f>fitModel!R85</f>
        <v>8.18535277187245</v>
      </c>
      <c r="I44" s="11">
        <f>simPp!I19</f>
        <v>0.010247522138603415</v>
      </c>
      <c r="K44" s="12"/>
      <c r="M44" s="33" t="s">
        <v>35</v>
      </c>
      <c r="N44" s="34" t="s">
        <v>36</v>
      </c>
      <c r="Q44" s="8">
        <f>SQRT((F44/F43)^2+(I44/I43)^2)*Q43</f>
        <v>0.03483548550221299</v>
      </c>
      <c r="R44" s="8"/>
    </row>
    <row r="45" spans="1:20" s="11" customFormat="1" ht="22.5">
      <c r="A45" s="11" t="s">
        <v>31</v>
      </c>
      <c r="C45" s="35"/>
      <c r="K45" s="12"/>
      <c r="M45" s="8">
        <f>syst!B23</f>
        <v>0.0608276253029822</v>
      </c>
      <c r="N45" s="8">
        <f>syst!B25</f>
        <v>0.11090536506409417</v>
      </c>
      <c r="O45" s="8">
        <f>SQRT((M45*Q43)^2+Q44^2)</f>
        <v>0.03928880108843031</v>
      </c>
      <c r="Q45" s="8">
        <f>SQRT((N45*Q43)^2+Q44^2)</f>
        <v>0.04807147445261943</v>
      </c>
      <c r="R45" s="3"/>
      <c r="S45" s="1"/>
      <c r="T45" s="1"/>
    </row>
    <row r="46" spans="1:20" s="11" customFormat="1" ht="22.5">
      <c r="A46" s="11" t="s">
        <v>32</v>
      </c>
      <c r="C46" s="35"/>
      <c r="K46" s="12"/>
      <c r="M46" s="8">
        <f>syst!B24</f>
        <v>0.06103277807866851</v>
      </c>
      <c r="N46" s="8">
        <f>syst!B26</f>
        <v>0.1297112177107285</v>
      </c>
      <c r="O46" s="8">
        <f>SQRT((M46*Q43)^2+Q44^2)</f>
        <v>0.03931717549035227</v>
      </c>
      <c r="Q46" s="8">
        <f>SQRT((N46*Q43)^2+Q44^2)</f>
        <v>0.052101522211413114</v>
      </c>
      <c r="R46" s="3"/>
      <c r="S46" s="1"/>
      <c r="T46" s="1"/>
    </row>
    <row r="47" spans="1:18" s="11" customFormat="1" ht="22.5">
      <c r="A47" s="11" t="s">
        <v>6</v>
      </c>
      <c r="B47" s="11">
        <f>B43</f>
        <v>-1.7</v>
      </c>
      <c r="C47" s="35" t="s">
        <v>39</v>
      </c>
      <c r="D47" s="11">
        <v>1</v>
      </c>
      <c r="F47" s="11">
        <f>fitModel!R86</f>
        <v>59.75</v>
      </c>
      <c r="G47" s="11">
        <v>0.128</v>
      </c>
      <c r="H47" s="11">
        <f>simPp!$H$20</f>
        <v>0.5107175506407275</v>
      </c>
      <c r="I47" s="11">
        <f>simPp!I20</f>
        <v>0.5647693817468106</v>
      </c>
      <c r="J47" s="11">
        <v>0.99</v>
      </c>
      <c r="K47" s="12">
        <f>K$43</f>
        <v>4531000000</v>
      </c>
      <c r="L47" s="11">
        <f>$L$43</f>
        <v>0.545</v>
      </c>
      <c r="M47" s="11">
        <f>$M$43</f>
        <v>42.2</v>
      </c>
      <c r="N47" s="12">
        <f>K47/L47/(M47*1000000)</f>
        <v>197.00856558980826</v>
      </c>
      <c r="O47" s="11">
        <f>O43</f>
        <v>0.79</v>
      </c>
      <c r="P47" s="11">
        <v>1.02</v>
      </c>
      <c r="Q47" s="45">
        <f>(F47/G47/H47/I47/J47)/K47*10^6/D47*(L47/O47)*P47</f>
        <v>0.2538728973570708</v>
      </c>
      <c r="R47" s="8"/>
    </row>
    <row r="48" spans="1:18" s="11" customFormat="1" ht="22.5">
      <c r="A48" s="11" t="s">
        <v>24</v>
      </c>
      <c r="C48" s="35" t="s">
        <v>44</v>
      </c>
      <c r="F48" s="11">
        <f>fitModel!R87</f>
        <v>8.836477427874375</v>
      </c>
      <c r="I48" s="11">
        <f>simPp!I21</f>
        <v>0.008323452136254844</v>
      </c>
      <c r="K48" s="12"/>
      <c r="N48" s="12"/>
      <c r="Q48" s="8">
        <f>SQRT((F48/F47)^2+(I48/I47)^2)*Q47</f>
        <v>0.03773144178252398</v>
      </c>
      <c r="R48" s="8"/>
    </row>
    <row r="49" spans="1:18" s="11" customFormat="1" ht="22.5">
      <c r="A49" s="11" t="s">
        <v>31</v>
      </c>
      <c r="C49" s="35"/>
      <c r="K49" s="12"/>
      <c r="M49" s="8">
        <f>M45</f>
        <v>0.0608276253029822</v>
      </c>
      <c r="N49" s="8">
        <f>N45</f>
        <v>0.11090536506409417</v>
      </c>
      <c r="O49" s="8">
        <f>SQRT((M49*Q47)^2+Q48^2)</f>
        <v>0.04076925381502769</v>
      </c>
      <c r="Q49" s="8">
        <f>SQRT((N49*Q47)^2+Q48^2)</f>
        <v>0.04707881168361649</v>
      </c>
      <c r="R49" s="8"/>
    </row>
    <row r="50" spans="1:18" s="11" customFormat="1" ht="22.5">
      <c r="A50" s="11" t="s">
        <v>32</v>
      </c>
      <c r="C50" s="35"/>
      <c r="K50" s="12"/>
      <c r="M50" s="8">
        <f>M46</f>
        <v>0.06103277807866851</v>
      </c>
      <c r="N50" s="8">
        <f>N46</f>
        <v>0.1297112177107285</v>
      </c>
      <c r="O50" s="8">
        <f>SQRT((M50*Q47)^2+Q48^2)</f>
        <v>0.0407890100742156</v>
      </c>
      <c r="Q50" s="8">
        <f>SQRT((N50*Q47)^2+Q48^2)</f>
        <v>0.050080508302111595</v>
      </c>
      <c r="R50" s="8"/>
    </row>
    <row r="51" spans="1:18" s="11" customFormat="1" ht="22.5">
      <c r="A51" s="11" t="s">
        <v>6</v>
      </c>
      <c r="B51" s="11">
        <f>B43</f>
        <v>-1.7</v>
      </c>
      <c r="C51" s="35" t="s">
        <v>40</v>
      </c>
      <c r="D51" s="11">
        <v>1</v>
      </c>
      <c r="F51" s="11">
        <f>fitModel!R88</f>
        <v>13.25</v>
      </c>
      <c r="G51" s="11">
        <v>0.128</v>
      </c>
      <c r="H51" s="11">
        <f>simPp!$H$22</f>
        <v>0.43751536178177763</v>
      </c>
      <c r="I51" s="11">
        <f>simPp!I22</f>
        <v>0.5665091154625254</v>
      </c>
      <c r="J51" s="11">
        <v>0.99</v>
      </c>
      <c r="K51" s="12">
        <f>K$43</f>
        <v>4531000000</v>
      </c>
      <c r="L51" s="11">
        <f>$L$43</f>
        <v>0.545</v>
      </c>
      <c r="M51" s="11">
        <f>$M$43</f>
        <v>42.2</v>
      </c>
      <c r="N51" s="12">
        <f>K51/L51/(M51*1000000)</f>
        <v>197.00856558980826</v>
      </c>
      <c r="O51" s="11">
        <f>O43</f>
        <v>0.79</v>
      </c>
      <c r="P51" s="11">
        <v>0.933</v>
      </c>
      <c r="Q51" s="45">
        <f>(F51/G51/H51/I51/J51)/K51*10^6/D51*(L51/O51)*P51</f>
        <v>0.05992768454238432</v>
      </c>
      <c r="R51" s="8"/>
    </row>
    <row r="52" spans="1:18" s="11" customFormat="1" ht="22.5">
      <c r="A52" s="11" t="s">
        <v>24</v>
      </c>
      <c r="C52" s="35" t="s">
        <v>45</v>
      </c>
      <c r="F52" s="11">
        <f>fitModel!R89</f>
        <v>5.107184482014854</v>
      </c>
      <c r="I52" s="11">
        <f>simPp!I23</f>
        <v>0.013829641558584769</v>
      </c>
      <c r="K52" s="12"/>
      <c r="N52" s="12"/>
      <c r="Q52" s="8">
        <f>SQRT((F52/F51)^2+(I52/I51)^2)*Q51</f>
        <v>0.023145280529367464</v>
      </c>
      <c r="R52" s="8"/>
    </row>
    <row r="53" spans="1:18" s="11" customFormat="1" ht="22.5">
      <c r="A53" s="11" t="s">
        <v>31</v>
      </c>
      <c r="C53" s="35"/>
      <c r="K53" s="12"/>
      <c r="M53" s="8">
        <f>M45</f>
        <v>0.0608276253029822</v>
      </c>
      <c r="N53" s="8">
        <f>N45</f>
        <v>0.11090536506409417</v>
      </c>
      <c r="O53" s="8">
        <f>SQRT((M53*Q51)^2+Q52^2)</f>
        <v>0.023430576648242767</v>
      </c>
      <c r="Q53" s="8">
        <f>SQRT((N53*Q51)^2+Q52^2)</f>
        <v>0.024080642381191543</v>
      </c>
      <c r="R53" s="8"/>
    </row>
    <row r="54" spans="1:18" s="11" customFormat="1" ht="22.5">
      <c r="A54" s="11" t="s">
        <v>32</v>
      </c>
      <c r="C54" s="35"/>
      <c r="K54" s="12"/>
      <c r="M54" s="8">
        <f>M46</f>
        <v>0.06103277807866851</v>
      </c>
      <c r="N54" s="8">
        <f>N46</f>
        <v>0.1297112177107285</v>
      </c>
      <c r="O54" s="8">
        <f>SQRT((M54*Q51)^2+Q52^2)</f>
        <v>0.023432492510476657</v>
      </c>
      <c r="Q54" s="8">
        <f>SQRT((N54*Q51)^2+Q52^2)</f>
        <v>0.024415734555015042</v>
      </c>
      <c r="R54" s="8"/>
    </row>
    <row r="55" spans="1:18" s="11" customFormat="1" ht="22.5">
      <c r="A55" s="11" t="s">
        <v>6</v>
      </c>
      <c r="B55" s="11">
        <f>B43</f>
        <v>-1.7</v>
      </c>
      <c r="C55" s="35" t="s">
        <v>41</v>
      </c>
      <c r="D55" s="11">
        <v>1</v>
      </c>
      <c r="F55" s="11">
        <f>fitModel!R90</f>
        <v>9.75</v>
      </c>
      <c r="G55" s="11">
        <v>0.128</v>
      </c>
      <c r="H55" s="11">
        <f>simPp!$H$24</f>
        <v>0.4705410918981931</v>
      </c>
      <c r="I55" s="11">
        <f>simPp!I24</f>
        <v>0.5596774193548387</v>
      </c>
      <c r="J55" s="11">
        <v>0.99</v>
      </c>
      <c r="K55" s="12">
        <f>K$43</f>
        <v>4531000000</v>
      </c>
      <c r="L55" s="11">
        <f>$L$43</f>
        <v>0.545</v>
      </c>
      <c r="M55" s="11">
        <f>$M$43</f>
        <v>42.2</v>
      </c>
      <c r="N55" s="12">
        <f>K55/L55/(M55*1000000)</f>
        <v>197.00856558980826</v>
      </c>
      <c r="O55" s="11">
        <f>O43</f>
        <v>0.79</v>
      </c>
      <c r="P55" s="11">
        <v>0.902</v>
      </c>
      <c r="Q55" s="45">
        <f>(F55/G55/H55/I55/J55)/K55*10^6/D55*(L55/O55)*P55</f>
        <v>0.040124163975307416</v>
      </c>
      <c r="R55" s="8"/>
    </row>
    <row r="56" spans="1:18" s="11" customFormat="1" ht="22.5">
      <c r="A56" s="11" t="s">
        <v>24</v>
      </c>
      <c r="C56" s="35" t="s">
        <v>46</v>
      </c>
      <c r="F56" s="11">
        <f>fitModel!R91</f>
        <v>4.092676385936225</v>
      </c>
      <c r="I56" s="11">
        <f>simPp!I25</f>
        <v>0.030045058080963156</v>
      </c>
      <c r="K56" s="12"/>
      <c r="N56" s="12"/>
      <c r="Q56" s="8">
        <f>SQRT((F56/F55)^2+(I56/I55)^2)*Q55</f>
        <v>0.01697976269735984</v>
      </c>
      <c r="R56" s="8"/>
    </row>
    <row r="57" spans="1:18" s="11" customFormat="1" ht="22.5">
      <c r="A57" s="11" t="s">
        <v>31</v>
      </c>
      <c r="C57" s="35"/>
      <c r="K57" s="12"/>
      <c r="M57" s="8">
        <f>M45</f>
        <v>0.0608276253029822</v>
      </c>
      <c r="N57" s="8">
        <f>N45</f>
        <v>0.11090536506409417</v>
      </c>
      <c r="O57" s="8">
        <f>SQRT((M57*Q55)^2+Q56^2)</f>
        <v>0.01715427500179203</v>
      </c>
      <c r="Q57" s="8">
        <f>SQRT((N57*Q55)^2+Q56^2)</f>
        <v>0.01755319652472666</v>
      </c>
      <c r="R57" s="8"/>
    </row>
    <row r="58" spans="1:18" s="11" customFormat="1" ht="22.5">
      <c r="A58" s="11" t="s">
        <v>32</v>
      </c>
      <c r="C58" s="35"/>
      <c r="K58" s="12"/>
      <c r="M58" s="8">
        <f>M46</f>
        <v>0.06103277807866851</v>
      </c>
      <c r="N58" s="8">
        <f>N46</f>
        <v>0.1297112177107285</v>
      </c>
      <c r="O58" s="8">
        <f>SQRT((M58*Q55)^2+Q56^2)</f>
        <v>0.017155448101127374</v>
      </c>
      <c r="Q58" s="8">
        <f>SQRT((N58*Q55)^2+Q56^2)</f>
        <v>0.01775949676525977</v>
      </c>
      <c r="R58" s="8"/>
    </row>
    <row r="59" spans="1:18" s="11" customFormat="1" ht="22.5">
      <c r="A59" s="11" t="s">
        <v>6</v>
      </c>
      <c r="B59" s="11">
        <f>B43</f>
        <v>-1.7</v>
      </c>
      <c r="C59" s="35" t="s">
        <v>42</v>
      </c>
      <c r="D59" s="11">
        <v>1</v>
      </c>
      <c r="F59" s="30">
        <f>fitModel!R92</f>
        <v>2.25</v>
      </c>
      <c r="G59" s="11">
        <v>0.128</v>
      </c>
      <c r="H59" s="11">
        <f>simPp!$H$26</f>
        <v>0.5355102817974104</v>
      </c>
      <c r="I59" s="11">
        <f>simPp!I26</f>
        <v>0.5777777777777777</v>
      </c>
      <c r="J59" s="11">
        <v>0.99</v>
      </c>
      <c r="K59" s="12">
        <f>K$43</f>
        <v>4531000000</v>
      </c>
      <c r="L59" s="11">
        <f>$L$43</f>
        <v>0.545</v>
      </c>
      <c r="M59" s="11">
        <f>$M$43</f>
        <v>42.2</v>
      </c>
      <c r="N59" s="12">
        <f>K59/L59/(M59*1000000)</f>
        <v>197.00856558980826</v>
      </c>
      <c r="O59" s="11">
        <f>O43</f>
        <v>0.79</v>
      </c>
      <c r="P59" s="11">
        <v>0.902</v>
      </c>
      <c r="Q59" s="45">
        <f>(F59/G59/H59/I59/J59)/K59*10^6/D59*(L59/O59)*P59</f>
        <v>0.007881168127303053</v>
      </c>
      <c r="R59" s="8"/>
    </row>
    <row r="60" spans="1:18" s="11" customFormat="1" ht="22.5">
      <c r="A60" s="11" t="s">
        <v>24</v>
      </c>
      <c r="C60" s="35" t="s">
        <v>201</v>
      </c>
      <c r="F60" s="11">
        <f>fitModel!R93</f>
        <v>2.179449471770337</v>
      </c>
      <c r="I60" s="11">
        <f>simPp!I27</f>
        <v>0.08012336167697753</v>
      </c>
      <c r="K60" s="12"/>
      <c r="N60" s="12"/>
      <c r="Q60" s="8">
        <f>SQRT((F60/F59)^2+(I60/I59)^2)*Q59</f>
        <v>0.007711884597649968</v>
      </c>
      <c r="R60" s="8"/>
    </row>
    <row r="61" spans="1:18" s="11" customFormat="1" ht="22.5">
      <c r="A61" s="11" t="s">
        <v>31</v>
      </c>
      <c r="C61" s="35"/>
      <c r="K61" s="12"/>
      <c r="M61" s="8">
        <f>M45</f>
        <v>0.0608276253029822</v>
      </c>
      <c r="N61" s="8">
        <f>N45</f>
        <v>0.11090536506409417</v>
      </c>
      <c r="O61" s="8">
        <f>SQRT((M61*Q59)^2+Q60^2)</f>
        <v>0.007726770441028958</v>
      </c>
      <c r="Q61" s="8">
        <f>SQRT((N61*Q59)^2+Q60^2)</f>
        <v>0.0077612596673089</v>
      </c>
      <c r="R61" s="8"/>
    </row>
    <row r="62" spans="1:19" s="11" customFormat="1" ht="22.5">
      <c r="A62" s="11" t="s">
        <v>32</v>
      </c>
      <c r="C62" s="35"/>
      <c r="K62" s="12"/>
      <c r="M62" s="8">
        <f>M46</f>
        <v>0.06103277807866851</v>
      </c>
      <c r="N62" s="8">
        <f>N46</f>
        <v>0.1297112177107285</v>
      </c>
      <c r="O62" s="8">
        <f>SQRT((M62*Q59)^2+Q60^2)</f>
        <v>0.007726870923513289</v>
      </c>
      <c r="Q62" s="8">
        <f>SQRT((N62*Q59)^2+Q60^2)</f>
        <v>0.007779345222665004</v>
      </c>
      <c r="R62" s="8"/>
      <c r="S62" s="230"/>
    </row>
    <row r="63" spans="1:19" ht="22.5">
      <c r="A63" s="1" t="s">
        <v>6</v>
      </c>
      <c r="B63" s="1">
        <v>1.8</v>
      </c>
      <c r="C63" s="36" t="s">
        <v>38</v>
      </c>
      <c r="D63" s="1">
        <v>1.2</v>
      </c>
      <c r="F63" s="1">
        <f>fitModel!R94</f>
        <v>118.75</v>
      </c>
      <c r="G63" s="1">
        <v>0.127</v>
      </c>
      <c r="H63" s="1">
        <f>simPp!$H$28</f>
        <v>0.826733337598581</v>
      </c>
      <c r="I63" s="1">
        <f>simPp!I28</f>
        <v>0.8363871524035352</v>
      </c>
      <c r="J63" s="1">
        <v>0.95</v>
      </c>
      <c r="K63" s="16">
        <v>4021000000</v>
      </c>
      <c r="L63" s="1">
        <f>$L$43</f>
        <v>0.545</v>
      </c>
      <c r="M63" s="1">
        <f>$M$43</f>
        <v>42.2</v>
      </c>
      <c r="N63" s="16">
        <f>K63/L63/(M63*1000000)</f>
        <v>174.8336884212357</v>
      </c>
      <c r="O63" s="1">
        <v>0.79</v>
      </c>
      <c r="P63" s="1">
        <v>1.137</v>
      </c>
      <c r="Q63" s="203">
        <f>(F63/G63/H63/I63/J63)/K63*10^6/D63*(L63/O63)*P63</f>
        <v>0.23139184280427572</v>
      </c>
      <c r="R63" s="3">
        <f>(Q43^3/Q44^2+Q63^3/Q64^2)/(Q43^2/Q44^2+Q63^2/Q64^2)</f>
        <v>0.26176960148745926</v>
      </c>
      <c r="S63" s="3"/>
    </row>
    <row r="64" spans="1:19" ht="22.5">
      <c r="A64" s="1" t="s">
        <v>24</v>
      </c>
      <c r="C64" s="36" t="s">
        <v>43</v>
      </c>
      <c r="F64" s="1">
        <f>fitModel!R95</f>
        <v>12.489995996796797</v>
      </c>
      <c r="I64" s="1">
        <f>simPp!I29</f>
        <v>0.009494596053263738</v>
      </c>
      <c r="M64" s="231" t="s">
        <v>35</v>
      </c>
      <c r="N64" s="232" t="s">
        <v>36</v>
      </c>
      <c r="Q64" s="3">
        <f>SQRT((F64/F63)^2+(I64/I63)^2)*Q63</f>
        <v>0.024478883728552666</v>
      </c>
      <c r="R64" s="3">
        <f>(Q43^2/Q44+Q63^2/Q64)/(Q43^2/Q44^2+Q63^2/Q64^2)</f>
        <v>0.02915373517498591</v>
      </c>
      <c r="S64" s="3"/>
    </row>
    <row r="65" spans="1:20" ht="22.5">
      <c r="A65" s="1" t="s">
        <v>31</v>
      </c>
      <c r="C65" s="36"/>
      <c r="K65" s="16"/>
      <c r="M65" s="3">
        <f>syst!C23</f>
        <v>0.0608276253029822</v>
      </c>
      <c r="N65" s="3">
        <f>syst!C25</f>
        <v>0.1216552506059644</v>
      </c>
      <c r="O65" s="3">
        <f>SQRT((M65*Q63)^2+Q64^2)</f>
        <v>0.028236887802775425</v>
      </c>
      <c r="Q65" s="3">
        <f>SQRT((N65*Q63)^2+Q64^2)</f>
        <v>0.03730469253804551</v>
      </c>
      <c r="R65" s="3"/>
      <c r="S65" s="3"/>
      <c r="T65" s="3"/>
    </row>
    <row r="66" spans="1:20" ht="22.5">
      <c r="A66" s="1" t="s">
        <v>32</v>
      </c>
      <c r="C66" s="36"/>
      <c r="K66" s="16"/>
      <c r="M66" s="3">
        <f>syst!C24</f>
        <v>0.06090155991434045</v>
      </c>
      <c r="N66" s="3">
        <f>syst!C26</f>
        <v>0.13895682782792648</v>
      </c>
      <c r="O66" s="3">
        <f>SQRT((M66*Q63)^2+Q64^2)</f>
        <v>0.02824541931801995</v>
      </c>
      <c r="Q66" s="3">
        <f>SQRT((N66*Q63)^2+Q64^2)</f>
        <v>0.04041115931455035</v>
      </c>
      <c r="R66" s="3"/>
      <c r="S66" s="3"/>
      <c r="T66" s="3"/>
    </row>
    <row r="67" spans="1:19" ht="22.5">
      <c r="A67" s="1" t="s">
        <v>6</v>
      </c>
      <c r="B67" s="1">
        <f>B63</f>
        <v>1.8</v>
      </c>
      <c r="C67" s="36" t="s">
        <v>39</v>
      </c>
      <c r="D67" s="1">
        <v>1.2</v>
      </c>
      <c r="F67" s="1">
        <f>fitModel!R96</f>
        <v>123.75</v>
      </c>
      <c r="G67" s="1">
        <v>0.127</v>
      </c>
      <c r="H67" s="1">
        <f>simPp!$H$30</f>
        <v>0.7588501173102168</v>
      </c>
      <c r="I67" s="1">
        <f>simPp!I30</f>
        <v>0.8298387096774194</v>
      </c>
      <c r="J67" s="1">
        <v>0.95</v>
      </c>
      <c r="K67" s="16">
        <f>K$63</f>
        <v>4021000000</v>
      </c>
      <c r="L67" s="1">
        <f>$L$43</f>
        <v>0.545</v>
      </c>
      <c r="M67" s="1">
        <f>$M$43</f>
        <v>42.2</v>
      </c>
      <c r="N67" s="16">
        <f>K67/L67/(M67*1000000)</f>
        <v>174.8336884212357</v>
      </c>
      <c r="O67" s="1">
        <f>O63</f>
        <v>0.79</v>
      </c>
      <c r="P67" s="1">
        <v>1.02</v>
      </c>
      <c r="Q67" s="203">
        <f>(F67/G67/H67/I67/J67)/K67*10^6/D67*(L67/O67)*P67</f>
        <v>0.23753217735576004</v>
      </c>
      <c r="R67" s="3">
        <f>(Q47^3/Q48^2+Q67^3/Q68^2)/(Q47^2/Q48^2+Q67^2/Q68^2)</f>
        <v>0.2432505542283641</v>
      </c>
      <c r="S67" s="3"/>
    </row>
    <row r="68" spans="1:19" ht="22.5">
      <c r="A68" s="1" t="s">
        <v>24</v>
      </c>
      <c r="C68" s="36" t="s">
        <v>44</v>
      </c>
      <c r="F68" s="1">
        <f>fitModel!R97</f>
        <v>13.444329659748751</v>
      </c>
      <c r="I68" s="1">
        <f>simPp!I31</f>
        <v>0.007799911222506939</v>
      </c>
      <c r="Q68" s="3">
        <f>SQRT((F68/F67)^2+(I68/I67)^2)*Q67</f>
        <v>0.025902145287318386</v>
      </c>
      <c r="R68" s="3">
        <f>(Q47^2/Q48+Q67^2/Q68)/(Q47^2/Q48^2+Q67^2/Q68^2)</f>
        <v>0.030041765542235786</v>
      </c>
      <c r="S68" s="3"/>
    </row>
    <row r="69" spans="1:20" ht="22.5">
      <c r="A69" s="1" t="s">
        <v>31</v>
      </c>
      <c r="C69" s="36"/>
      <c r="K69" s="16"/>
      <c r="M69" s="3">
        <f>M65</f>
        <v>0.0608276253029822</v>
      </c>
      <c r="N69" s="3">
        <f>N65</f>
        <v>0.1216552506059644</v>
      </c>
      <c r="O69" s="3">
        <f>SQRT((M69*Q67)^2+Q68^2)</f>
        <v>0.029659413531272202</v>
      </c>
      <c r="Q69" s="3">
        <f>SQRT((N69*Q67)^2+Q68^2)</f>
        <v>0.03880669855347141</v>
      </c>
      <c r="R69" s="3"/>
      <c r="S69" s="3"/>
      <c r="T69" s="3"/>
    </row>
    <row r="70" spans="1:20" ht="22.5">
      <c r="A70" s="1" t="s">
        <v>32</v>
      </c>
      <c r="C70" s="36"/>
      <c r="K70" s="16"/>
      <c r="M70" s="3">
        <f>M66</f>
        <v>0.06090155991434045</v>
      </c>
      <c r="N70" s="3">
        <f>N66</f>
        <v>0.13895682782792648</v>
      </c>
      <c r="O70" s="3">
        <f>SQRT((M70*Q67)^2+Q68^2)</f>
        <v>0.02966797271194186</v>
      </c>
      <c r="Q70" s="3">
        <f>SQRT((N70*Q67)^2+Q68^2)</f>
        <v>0.04195669857358503</v>
      </c>
      <c r="R70" s="3"/>
      <c r="S70" s="3"/>
      <c r="T70" s="3"/>
    </row>
    <row r="71" spans="1:19" ht="22.5">
      <c r="A71" s="1" t="s">
        <v>6</v>
      </c>
      <c r="B71" s="1">
        <f>B63</f>
        <v>1.8</v>
      </c>
      <c r="C71" s="36" t="s">
        <v>40</v>
      </c>
      <c r="D71" s="1">
        <v>1.2</v>
      </c>
      <c r="F71" s="1">
        <f>fitModel!R98</f>
        <v>35</v>
      </c>
      <c r="G71" s="1">
        <v>0.127</v>
      </c>
      <c r="H71" s="42">
        <f>simPp!$H$32</f>
        <v>0.6286824766373229</v>
      </c>
      <c r="I71" s="1">
        <f>simPp!I32</f>
        <v>0.8392857142857143</v>
      </c>
      <c r="J71" s="1">
        <v>0.95</v>
      </c>
      <c r="K71" s="16">
        <f>K$63</f>
        <v>4021000000</v>
      </c>
      <c r="L71" s="1">
        <f>$L$43</f>
        <v>0.545</v>
      </c>
      <c r="M71" s="1">
        <f>$M$43</f>
        <v>42.2</v>
      </c>
      <c r="N71" s="16">
        <f>K71/L71/(M71*1000000)</f>
        <v>174.8336884212357</v>
      </c>
      <c r="O71" s="1">
        <f>O63</f>
        <v>0.79</v>
      </c>
      <c r="P71" s="1">
        <v>0.933</v>
      </c>
      <c r="Q71" s="203">
        <f>(F71/G71/H71/I71/J71)/K71*10^6/D71*(L71/O71)*P71</f>
        <v>0.07333904786949082</v>
      </c>
      <c r="R71" s="3">
        <f>(Q51^3/Q52^2+Q71^3/Q72^2)/(Q51^2/Q52^2+Q71^2/Q72^2)</f>
        <v>0.06960018265831514</v>
      </c>
      <c r="S71" s="3"/>
    </row>
    <row r="72" spans="1:19" ht="22.5">
      <c r="A72" s="1" t="s">
        <v>24</v>
      </c>
      <c r="C72" s="36" t="s">
        <v>45</v>
      </c>
      <c r="F72" s="1">
        <f>fitModel!R99</f>
        <v>8.386497083606084</v>
      </c>
      <c r="I72" s="1">
        <f>simPp!I33</f>
        <v>0.013125059342157774</v>
      </c>
      <c r="Q72" s="3">
        <f>SQRT((F72/F71)^2+(I72/I71)^2)*Q71</f>
        <v>0.017610463878614636</v>
      </c>
      <c r="R72" s="3">
        <f>(Q51^2/Q52+Q71^2/Q72)/(Q51^2/Q52^2+Q71^2/Q72^2)</f>
        <v>0.01915347877732444</v>
      </c>
      <c r="S72" s="3"/>
    </row>
    <row r="73" spans="1:20" ht="22.5">
      <c r="A73" s="1" t="s">
        <v>31</v>
      </c>
      <c r="C73" s="36"/>
      <c r="K73" s="16"/>
      <c r="M73" s="3">
        <f>M65</f>
        <v>0.0608276253029822</v>
      </c>
      <c r="N73" s="3">
        <f>N65</f>
        <v>0.1216552506059644</v>
      </c>
      <c r="O73" s="3">
        <f>SQRT((M73*Q71)^2+Q72^2)</f>
        <v>0.018166709030721102</v>
      </c>
      <c r="Q73" s="3">
        <f>SQRT((N73*Q71)^2+Q72^2)</f>
        <v>0.019741629972410135</v>
      </c>
      <c r="R73" s="3"/>
      <c r="S73" s="3"/>
      <c r="T73" s="3"/>
    </row>
    <row r="74" spans="1:20" ht="22.5">
      <c r="A74" s="1" t="s">
        <v>32</v>
      </c>
      <c r="C74" s="36"/>
      <c r="K74" s="16"/>
      <c r="M74" s="3">
        <f>M66</f>
        <v>0.06090155991434045</v>
      </c>
      <c r="N74" s="3">
        <f>N66</f>
        <v>0.13895682782792648</v>
      </c>
      <c r="O74" s="3">
        <f>SQRT((M74*Q71)^2+Q72^2)</f>
        <v>0.018168041296473467</v>
      </c>
      <c r="Q74" s="3">
        <f>SQRT((N74*Q71)^2+Q72^2)</f>
        <v>0.02034660004157597</v>
      </c>
      <c r="R74" s="3"/>
      <c r="S74" s="3"/>
      <c r="T74" s="3"/>
    </row>
    <row r="75" spans="1:19" ht="22.5">
      <c r="A75" s="1" t="s">
        <v>6</v>
      </c>
      <c r="B75" s="1">
        <f>B63</f>
        <v>1.8</v>
      </c>
      <c r="C75" s="36" t="s">
        <v>41</v>
      </c>
      <c r="D75" s="1">
        <v>1.2</v>
      </c>
      <c r="F75" s="1">
        <f>fitModel!R100</f>
        <v>12.5</v>
      </c>
      <c r="G75" s="1">
        <v>0.127</v>
      </c>
      <c r="H75" s="1">
        <f>simPp!$H$34</f>
        <v>0.6872477821592152</v>
      </c>
      <c r="I75" s="1">
        <f>simPp!I34</f>
        <v>0.8567073170731707</v>
      </c>
      <c r="J75" s="1">
        <v>0.95</v>
      </c>
      <c r="K75" s="16">
        <f>K$63</f>
        <v>4021000000</v>
      </c>
      <c r="L75" s="1">
        <f>$L$43</f>
        <v>0.545</v>
      </c>
      <c r="M75" s="1">
        <f>$M$43</f>
        <v>42.2</v>
      </c>
      <c r="N75" s="16">
        <f>K75/L75/(M75*1000000)</f>
        <v>174.8336884212357</v>
      </c>
      <c r="O75" s="1">
        <f>O63</f>
        <v>0.79</v>
      </c>
      <c r="P75" s="1">
        <v>0.902</v>
      </c>
      <c r="Q75" s="203">
        <f>(F75/G75/H75/I75/J75)/K75*10^6/D75*(L75/O75)*P75</f>
        <v>0.0226932915620262</v>
      </c>
      <c r="R75" s="3">
        <f>(Q55^3/Q56^2+Q75^3/Q76^2)/(Q55^2/Q56^2+Q75^2/Q76^2)</f>
        <v>0.029783382640410874</v>
      </c>
      <c r="S75" s="3"/>
    </row>
    <row r="76" spans="1:19" ht="22.5">
      <c r="A76" s="1" t="s">
        <v>24</v>
      </c>
      <c r="C76" s="36" t="s">
        <v>46</v>
      </c>
      <c r="F76" s="1">
        <f>fitModel!R101</f>
        <v>4.358898943540674</v>
      </c>
      <c r="I76" s="1">
        <f>simPp!I35</f>
        <v>0.029506567359670683</v>
      </c>
      <c r="Q76" s="3">
        <f>SQRT((F76/F75)^2+(I76/I75)^2)*Q75</f>
        <v>0.007951926231043087</v>
      </c>
      <c r="R76" s="3">
        <f>(Q55^2/Q56+Q75^2/Q76)/(Q55^2/Q56^2+Q75^2/Q76^2)</f>
        <v>0.011624042076385288</v>
      </c>
      <c r="S76" s="3"/>
    </row>
    <row r="77" spans="1:20" ht="22.5">
      <c r="A77" s="1" t="s">
        <v>31</v>
      </c>
      <c r="C77" s="36"/>
      <c r="K77" s="16"/>
      <c r="M77" s="3">
        <f>M65</f>
        <v>0.0608276253029822</v>
      </c>
      <c r="N77" s="3">
        <f>N65</f>
        <v>0.1216552506059644</v>
      </c>
      <c r="O77" s="3">
        <f>SQRT((M77*Q75)^2+Q76^2)</f>
        <v>0.008070847357437254</v>
      </c>
      <c r="Q77" s="3">
        <f>SQRT((N77*Q75)^2+Q76^2)</f>
        <v>0.008417536214139754</v>
      </c>
      <c r="R77" s="3"/>
      <c r="S77" s="3"/>
      <c r="T77" s="3"/>
    </row>
    <row r="78" spans="1:20" ht="22.5">
      <c r="A78" s="1" t="s">
        <v>32</v>
      </c>
      <c r="C78" s="36"/>
      <c r="K78" s="16"/>
      <c r="M78" s="3">
        <f>M66</f>
        <v>0.06090155991434045</v>
      </c>
      <c r="N78" s="3">
        <f>N66</f>
        <v>0.13895682782792648</v>
      </c>
      <c r="O78" s="3">
        <f>SQRT((M78*Q75)^2+Q76^2)</f>
        <v>0.00807113448880572</v>
      </c>
      <c r="Q78" s="3">
        <f>SQRT((N78*Q75)^2+Q76^2)</f>
        <v>0.008554354765517243</v>
      </c>
      <c r="R78" s="3"/>
      <c r="S78" s="3"/>
      <c r="T78" s="3"/>
    </row>
    <row r="79" spans="1:19" ht="22.5">
      <c r="A79" s="1" t="s">
        <v>6</v>
      </c>
      <c r="B79" s="1">
        <f>B63</f>
        <v>1.8</v>
      </c>
      <c r="C79" s="36" t="s">
        <v>42</v>
      </c>
      <c r="D79" s="1">
        <v>1.2</v>
      </c>
      <c r="F79" s="185">
        <f>fitModel!R102</f>
        <v>3</v>
      </c>
      <c r="G79" s="1">
        <v>0.127</v>
      </c>
      <c r="H79" s="1">
        <f>simPp!$H$36</f>
        <v>0.786219290156298</v>
      </c>
      <c r="I79" s="1">
        <f>simPp!I36</f>
        <v>0.8270676691729323</v>
      </c>
      <c r="J79" s="1">
        <v>0.95</v>
      </c>
      <c r="K79" s="16">
        <f>K$63</f>
        <v>4021000000</v>
      </c>
      <c r="L79" s="1">
        <f>$L$43</f>
        <v>0.545</v>
      </c>
      <c r="M79" s="1">
        <f>$M$43</f>
        <v>42.2</v>
      </c>
      <c r="N79" s="16">
        <f>K79/L79/(M79*1000000)</f>
        <v>174.8336884212357</v>
      </c>
      <c r="O79" s="1">
        <f>O63</f>
        <v>0.79</v>
      </c>
      <c r="P79" s="1">
        <v>0.902</v>
      </c>
      <c r="Q79" s="203">
        <f>(F79/G79/H79/I79/J79)/K79*10^6/D79*(L79/O79)*P79</f>
        <v>0.00493139531781929</v>
      </c>
      <c r="R79" s="3">
        <f>(Q59^3/Q60^2+Q79^3/Q80^2)/(Q59^2/Q60^2+Q79^2/Q80^2)</f>
        <v>0.005879510472879453</v>
      </c>
      <c r="S79" s="3"/>
    </row>
    <row r="80" spans="1:19" ht="22.5">
      <c r="A80" s="1" t="s">
        <v>24</v>
      </c>
      <c r="C80" s="36" t="s">
        <v>201</v>
      </c>
      <c r="F80" s="1">
        <f>fitModel!R103</f>
        <v>2</v>
      </c>
      <c r="I80" s="1">
        <f>simPp!I37</f>
        <v>0.07885780813309409</v>
      </c>
      <c r="Q80" s="3">
        <f>SQRT((F80/F79)^2+(I80/I79)^2)*Q79</f>
        <v>0.003321049828157498</v>
      </c>
      <c r="R80" s="3">
        <f>(Q59^2/Q60+Q79^2/Q80)/(Q59^2/Q60^2+Q79^2/Q80^2)</f>
        <v>0.00473235071714002</v>
      </c>
      <c r="S80" s="3"/>
    </row>
    <row r="81" spans="1:20" ht="22.5">
      <c r="A81" s="1" t="s">
        <v>31</v>
      </c>
      <c r="C81" s="36"/>
      <c r="K81" s="16"/>
      <c r="M81" s="3">
        <f>M65</f>
        <v>0.0608276253029822</v>
      </c>
      <c r="N81" s="3">
        <f>N65</f>
        <v>0.1216552506059644</v>
      </c>
      <c r="O81" s="3">
        <f>SQRT((M81*Q79)^2+Q80^2)</f>
        <v>0.0033345690879472275</v>
      </c>
      <c r="Q81" s="3">
        <f>SQRT((N81*Q79)^2+Q80^2)</f>
        <v>0.0033748019387599584</v>
      </c>
      <c r="R81" s="3"/>
      <c r="S81" s="3"/>
      <c r="T81" s="3"/>
    </row>
    <row r="82" spans="1:20" ht="22.5">
      <c r="A82" s="1" t="s">
        <v>32</v>
      </c>
      <c r="C82" s="36"/>
      <c r="K82" s="16"/>
      <c r="M82" s="3">
        <f>M66</f>
        <v>0.06090155991434045</v>
      </c>
      <c r="N82" s="3">
        <f>N66</f>
        <v>0.13895682782792648</v>
      </c>
      <c r="O82" s="3">
        <f>SQRT((M82*Q79)^2+Q80^2)</f>
        <v>0.003334601905809932</v>
      </c>
      <c r="Q82" s="3">
        <f>SQRT((N82*Q79)^2+Q80^2)</f>
        <v>0.0033910088414524585</v>
      </c>
      <c r="R82" s="3"/>
      <c r="S82" s="3"/>
      <c r="T82" s="3"/>
    </row>
    <row r="83" spans="1:18" ht="22.5">
      <c r="A83" s="9" t="s">
        <v>5</v>
      </c>
      <c r="B83" s="9">
        <v>-1.7</v>
      </c>
      <c r="C83" s="37" t="s">
        <v>38</v>
      </c>
      <c r="D83" s="9">
        <v>1</v>
      </c>
      <c r="E83" s="9"/>
      <c r="F83" s="9">
        <v>15</v>
      </c>
      <c r="G83" s="9">
        <v>0.1265</v>
      </c>
      <c r="H83" s="9">
        <v>0.468</v>
      </c>
      <c r="I83" s="9">
        <v>0.6</v>
      </c>
      <c r="J83" s="9">
        <v>0.99</v>
      </c>
      <c r="K83" s="38">
        <v>1450000000</v>
      </c>
      <c r="L83" s="9">
        <v>0.53</v>
      </c>
      <c r="M83" s="9">
        <v>42.1</v>
      </c>
      <c r="N83" s="38">
        <f>K83/L83/(M83*1000000)</f>
        <v>64.98453816160982</v>
      </c>
      <c r="O83" s="9">
        <v>0.74</v>
      </c>
      <c r="Q83" s="39">
        <f>(F83/G83/H83/I83/J83/O83)/(K83/(M83*1E-27*L83))/D83*1E+33/(2*3.14156*C84)</f>
        <v>2.823457925241388</v>
      </c>
      <c r="R83" s="3"/>
    </row>
    <row r="84" spans="1:18" ht="22.5">
      <c r="A84" s="9" t="s">
        <v>24</v>
      </c>
      <c r="B84" s="9"/>
      <c r="C84" s="37" t="s">
        <v>43</v>
      </c>
      <c r="D84" s="9"/>
      <c r="E84" s="9"/>
      <c r="F84" s="9">
        <v>5</v>
      </c>
      <c r="G84" s="9"/>
      <c r="H84" s="9"/>
      <c r="I84" s="9"/>
      <c r="J84" s="9"/>
      <c r="K84" s="38"/>
      <c r="L84" s="9"/>
      <c r="M84" s="9"/>
      <c r="N84" s="38"/>
      <c r="O84" s="9"/>
      <c r="Q84" s="39">
        <f>F84/F83*Q83</f>
        <v>0.9411526417471292</v>
      </c>
      <c r="R84" s="3"/>
    </row>
    <row r="85" spans="1:18" ht="22.5">
      <c r="A85" s="9" t="s">
        <v>5</v>
      </c>
      <c r="B85" s="9">
        <v>-1.7</v>
      </c>
      <c r="C85" s="37" t="s">
        <v>39</v>
      </c>
      <c r="D85" s="9">
        <v>1</v>
      </c>
      <c r="E85" s="9"/>
      <c r="F85" s="9">
        <v>31</v>
      </c>
      <c r="G85" s="9">
        <v>0.1265</v>
      </c>
      <c r="H85" s="9">
        <v>0.468</v>
      </c>
      <c r="I85" s="9">
        <v>0.6</v>
      </c>
      <c r="J85" s="9">
        <v>0.99</v>
      </c>
      <c r="K85" s="38">
        <v>1450000000</v>
      </c>
      <c r="L85" s="9">
        <v>0.53</v>
      </c>
      <c r="M85" s="9">
        <v>42.1</v>
      </c>
      <c r="N85" s="38">
        <f>K85/L85/(M85*1000000)</f>
        <v>64.98453816160982</v>
      </c>
      <c r="O85" s="9">
        <v>0.74</v>
      </c>
      <c r="Q85" s="39">
        <f>(F85/G85/H85/I85/J85/O85)/(K85/(M85*1E-27*L85))/D85*1E+33/(2*3.14156*C86)</f>
        <v>1.9450487929440674</v>
      </c>
      <c r="R85" s="3"/>
    </row>
    <row r="86" spans="1:18" ht="22.5">
      <c r="A86" s="9" t="s">
        <v>24</v>
      </c>
      <c r="B86" s="9"/>
      <c r="C86" s="37" t="s">
        <v>44</v>
      </c>
      <c r="D86" s="9"/>
      <c r="E86" s="9"/>
      <c r="F86" s="9">
        <v>6.5</v>
      </c>
      <c r="G86" s="9"/>
      <c r="H86" s="9"/>
      <c r="I86" s="9"/>
      <c r="J86" s="9"/>
      <c r="K86" s="38"/>
      <c r="L86" s="9"/>
      <c r="M86" s="9"/>
      <c r="N86" s="38"/>
      <c r="O86" s="9"/>
      <c r="Q86" s="39">
        <f>F86/F85*Q85</f>
        <v>0.4078328114237561</v>
      </c>
      <c r="R86" s="3"/>
    </row>
    <row r="87" spans="1:18" ht="22.5">
      <c r="A87" s="9" t="s">
        <v>5</v>
      </c>
      <c r="B87" s="9">
        <v>-1.7</v>
      </c>
      <c r="C87" s="37" t="s">
        <v>40</v>
      </c>
      <c r="D87" s="9">
        <v>1</v>
      </c>
      <c r="E87" s="9"/>
      <c r="F87" s="9">
        <v>10</v>
      </c>
      <c r="G87" s="9">
        <v>0.1265</v>
      </c>
      <c r="H87" s="9">
        <v>0.468</v>
      </c>
      <c r="I87" s="9">
        <v>0.6</v>
      </c>
      <c r="J87" s="9">
        <v>0.99</v>
      </c>
      <c r="K87" s="38">
        <v>1450000000</v>
      </c>
      <c r="L87" s="9">
        <v>0.53</v>
      </c>
      <c r="M87" s="9">
        <v>42.1</v>
      </c>
      <c r="N87" s="38">
        <f>K87/L87/(M87*1000000)</f>
        <v>64.98453816160982</v>
      </c>
      <c r="O87" s="9">
        <v>0.74</v>
      </c>
      <c r="Q87" s="39">
        <f>(F87/G87/H87/I87/J87/O87)/(K87/(M87*1E-27*L87))/D87*1E+33/(2*3.14156*C88)</f>
        <v>0.3764610566988517</v>
      </c>
      <c r="R87" s="3"/>
    </row>
    <row r="88" spans="1:18" ht="22.5">
      <c r="A88" s="9" t="s">
        <v>24</v>
      </c>
      <c r="B88" s="9"/>
      <c r="C88" s="37" t="s">
        <v>45</v>
      </c>
      <c r="D88" s="9"/>
      <c r="E88" s="9"/>
      <c r="F88" s="9">
        <v>4</v>
      </c>
      <c r="G88" s="9"/>
      <c r="H88" s="9"/>
      <c r="I88" s="9"/>
      <c r="J88" s="9"/>
      <c r="K88" s="38"/>
      <c r="L88" s="9"/>
      <c r="M88" s="9"/>
      <c r="N88" s="38"/>
      <c r="O88" s="9"/>
      <c r="Q88" s="39">
        <f>F88/F87*Q87</f>
        <v>0.1505844226795407</v>
      </c>
      <c r="R88" s="3"/>
    </row>
    <row r="89" spans="1:18" ht="22.5">
      <c r="A89" s="9" t="s">
        <v>5</v>
      </c>
      <c r="B89" s="9">
        <v>-1.7</v>
      </c>
      <c r="C89" s="37" t="s">
        <v>41</v>
      </c>
      <c r="D89" s="9">
        <v>1</v>
      </c>
      <c r="E89" s="9"/>
      <c r="F89" s="9">
        <v>8</v>
      </c>
      <c r="G89" s="9">
        <v>0.1265</v>
      </c>
      <c r="H89" s="9">
        <v>0.468</v>
      </c>
      <c r="I89" s="9">
        <v>0.6</v>
      </c>
      <c r="J89" s="9">
        <v>0.99</v>
      </c>
      <c r="K89" s="38">
        <v>1450000000</v>
      </c>
      <c r="L89" s="9">
        <v>0.53</v>
      </c>
      <c r="M89" s="9">
        <v>42.1</v>
      </c>
      <c r="N89" s="38">
        <f>K89/L89/(M89*1000000)</f>
        <v>64.98453816160982</v>
      </c>
      <c r="O89" s="9">
        <v>0.74</v>
      </c>
      <c r="Q89" s="39">
        <f>(F89/G89/H89/I89/J89/O89)/(K89/(M89*1E-27*L89))/D89*1E+33/(2*3.14156*C90)</f>
        <v>0.21512060382791526</v>
      </c>
      <c r="R89" s="3"/>
    </row>
    <row r="90" spans="1:18" ht="22.5">
      <c r="A90" s="9" t="s">
        <v>24</v>
      </c>
      <c r="B90" s="9"/>
      <c r="C90" s="37" t="s">
        <v>46</v>
      </c>
      <c r="D90" s="9"/>
      <c r="E90" s="9"/>
      <c r="F90" s="9">
        <v>2.8</v>
      </c>
      <c r="G90" s="9"/>
      <c r="H90" s="9"/>
      <c r="I90" s="9"/>
      <c r="J90" s="9"/>
      <c r="K90" s="38"/>
      <c r="L90" s="9"/>
      <c r="M90" s="9"/>
      <c r="N90" s="38"/>
      <c r="O90" s="9"/>
      <c r="Q90" s="39">
        <f>F90/F89*Q89</f>
        <v>0.07529221133977033</v>
      </c>
      <c r="R90" s="3"/>
    </row>
    <row r="91" spans="2:18" ht="23.25">
      <c r="B91" s="2" t="s">
        <v>7</v>
      </c>
      <c r="C91" s="2"/>
      <c r="D91" s="2"/>
      <c r="E91" s="2"/>
      <c r="Q91" s="3"/>
      <c r="R91" s="8"/>
    </row>
    <row r="92" spans="2:18" ht="22.5">
      <c r="B92" s="3">
        <v>0.0588</v>
      </c>
      <c r="C92" s="3"/>
      <c r="Q92" s="3"/>
      <c r="R92" s="8"/>
    </row>
    <row r="93" spans="7:22" ht="26.25" customHeight="1">
      <c r="G93" s="5" t="s">
        <v>10</v>
      </c>
      <c r="I93" s="5" t="s">
        <v>9</v>
      </c>
      <c r="M93" s="5" t="s">
        <v>23</v>
      </c>
      <c r="N93" s="5" t="s">
        <v>20</v>
      </c>
      <c r="Q93" s="2" t="s">
        <v>26</v>
      </c>
      <c r="U93" s="5"/>
      <c r="V93" s="5"/>
    </row>
    <row r="94" spans="2:17" s="2" customFormat="1" ht="21" customHeight="1">
      <c r="B94" s="2" t="s">
        <v>0</v>
      </c>
      <c r="C94" s="2" t="s">
        <v>37</v>
      </c>
      <c r="D94" s="2" t="s">
        <v>1</v>
      </c>
      <c r="F94" s="2" t="s">
        <v>2</v>
      </c>
      <c r="G94" s="2" t="s">
        <v>3</v>
      </c>
      <c r="H94" s="2" t="s">
        <v>11</v>
      </c>
      <c r="I94" s="2" t="s">
        <v>8</v>
      </c>
      <c r="J94" s="2" t="s">
        <v>4</v>
      </c>
      <c r="K94" s="2" t="s">
        <v>12</v>
      </c>
      <c r="L94" s="2" t="s">
        <v>13</v>
      </c>
      <c r="M94" s="2" t="s">
        <v>22</v>
      </c>
      <c r="N94" s="2" t="s">
        <v>21</v>
      </c>
      <c r="O94" s="2" t="s">
        <v>14</v>
      </c>
      <c r="P94" s="2" t="s">
        <v>308</v>
      </c>
      <c r="Q94" s="2" t="s">
        <v>27</v>
      </c>
    </row>
    <row r="98" ht="22.5">
      <c r="F98" s="4"/>
    </row>
    <row r="99" ht="22.5">
      <c r="F99" s="4"/>
    </row>
    <row r="100" ht="22.5">
      <c r="F100" s="4"/>
    </row>
    <row r="101" ht="22.5">
      <c r="F101" s="4"/>
    </row>
    <row r="102" ht="22.5">
      <c r="F102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leitch</dc:creator>
  <cp:keywords/>
  <dc:description/>
  <cp:lastModifiedBy> Mike Leitch</cp:lastModifiedBy>
  <cp:lastPrinted>2005-07-23T14:23:57Z</cp:lastPrinted>
  <dcterms:created xsi:type="dcterms:W3CDTF">2003-08-22T01:37:07Z</dcterms:created>
  <dcterms:modified xsi:type="dcterms:W3CDTF">2005-09-16T13:38:13Z</dcterms:modified>
  <cp:category/>
  <cp:version/>
  <cp:contentType/>
  <cp:contentStatus/>
</cp:coreProperties>
</file>