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8595" windowHeight="9945" activeTab="0"/>
  </bookViews>
  <sheets>
    <sheet name="MGMT FUND" sheetId="1" r:id="rId1"/>
    <sheet name="SSF ASSESS" sheetId="2" r:id="rId2"/>
    <sheet name="CSR" sheetId="3" r:id="rId3"/>
    <sheet name="SREA" sheetId="4" r:id="rId4"/>
    <sheet name="CIT" sheetId="5" r:id="rId5"/>
    <sheet name="CC" sheetId="6" r:id="rId6"/>
    <sheet name="OD" sheetId="7" r:id="rId7"/>
    <sheet name="ORS" sheetId="8" r:id="rId8"/>
    <sheet name="ORF" sheetId="9" r:id="rId9"/>
    <sheet name="NSABB" sheetId="10" r:id="rId10"/>
    <sheet name="Reserve " sheetId="11" r:id="rId11"/>
    <sheet name="OD(SSF)" sheetId="12" r:id="rId12"/>
    <sheet name="Telecom" sheetId="13" r:id="rId13"/>
    <sheet name="IT Software Dev" sheetId="14" r:id="rId14"/>
    <sheet name="IT Ongoing" sheetId="15" r:id="rId15"/>
    <sheet name="CIT (SSF)" sheetId="16" r:id="rId16"/>
    <sheet name="DHHS " sheetId="17" r:id="rId17"/>
    <sheet name="PSC " sheetId="18" r:id="rId18"/>
    <sheet name="Census" sheetId="19" r:id="rId19"/>
    <sheet name="FTEs &amp; onbrd" sheetId="20" r:id="rId20"/>
    <sheet name="School Tax" sheetId="21" r:id="rId21"/>
    <sheet name="TCR Model" sheetId="22" r:id="rId22"/>
    <sheet name="PB" sheetId="23" r:id="rId23"/>
    <sheet name="Document Nos" sheetId="24" r:id="rId24"/>
  </sheets>
  <definedNames>
    <definedName name="_xlnm.Print_Area" localSheetId="5">'CC'!$A$1:$N$45</definedName>
    <definedName name="_xlnm.Print_Area" localSheetId="23">'Document Nos'!$A$1:$D$52</definedName>
    <definedName name="_xlnm.Print_Area" localSheetId="19">'FTEs &amp; onbrd'!$A$1:$F$40</definedName>
    <definedName name="_xlnm.Print_Area" localSheetId="14">'IT Ongoing'!$A$2:$AD$43</definedName>
    <definedName name="_xlnm.Print_Area" localSheetId="0">'MGMT FUND'!$A$1:$L$47</definedName>
    <definedName name="_xlnm.Print_Area" localSheetId="11">'OD(SSF)'!$A$2:$AH$46</definedName>
    <definedName name="_xlnm.Print_Area" localSheetId="20">'School Tax'!$A$1:$M$38</definedName>
    <definedName name="_xlnm.Print_Area" localSheetId="3">'SREA'!$A$2:$F$43</definedName>
    <definedName name="_xlnm.Print_Area" localSheetId="1">'SSF ASSESS'!$A$1:$J$45</definedName>
    <definedName name="_xlnm.Print_Titles" localSheetId="15">'CIT (SSF)'!$2:$2</definedName>
  </definedNames>
  <calcPr fullCalcOnLoad="1"/>
</workbook>
</file>

<file path=xl/sharedStrings.xml><?xml version="1.0" encoding="utf-8"?>
<sst xmlns="http://schemas.openxmlformats.org/spreadsheetml/2006/main" count="1329" uniqueCount="316">
  <si>
    <t>NCI</t>
  </si>
  <si>
    <t>DHHS</t>
  </si>
  <si>
    <t>Subtotal</t>
  </si>
  <si>
    <t>CSR</t>
  </si>
  <si>
    <t>CIT</t>
  </si>
  <si>
    <t xml:space="preserve">CC  </t>
  </si>
  <si>
    <t>OD</t>
  </si>
  <si>
    <t>ORS</t>
  </si>
  <si>
    <t>Reserve</t>
  </si>
  <si>
    <t>MF</t>
  </si>
  <si>
    <t>NHLBI</t>
  </si>
  <si>
    <t>NIDCR</t>
  </si>
  <si>
    <t>NIDDK</t>
  </si>
  <si>
    <t>NINDS</t>
  </si>
  <si>
    <t>NIAID</t>
  </si>
  <si>
    <t>NIGMS</t>
  </si>
  <si>
    <t>NICHD</t>
  </si>
  <si>
    <t>NEI</t>
  </si>
  <si>
    <t>NIEHS</t>
  </si>
  <si>
    <t>NIA</t>
  </si>
  <si>
    <t>NIAMS</t>
  </si>
  <si>
    <t>NIDCD</t>
  </si>
  <si>
    <t>NIMH</t>
  </si>
  <si>
    <t>NIDA</t>
  </si>
  <si>
    <t>NIAAA</t>
  </si>
  <si>
    <t>NINR</t>
  </si>
  <si>
    <t>NHGRI</t>
  </si>
  <si>
    <t>NIBIB</t>
  </si>
  <si>
    <t>NCRR</t>
  </si>
  <si>
    <t>NCCAM</t>
  </si>
  <si>
    <t>NCMHD</t>
  </si>
  <si>
    <t>FIC</t>
  </si>
  <si>
    <t>NLM</t>
  </si>
  <si>
    <t>FDA</t>
  </si>
  <si>
    <t>CC</t>
  </si>
  <si>
    <t>Total</t>
  </si>
  <si>
    <t>Factor</t>
  </si>
  <si>
    <t>Percent</t>
  </si>
  <si>
    <t>Amount</t>
  </si>
  <si>
    <t>DHHS Assessment</t>
  </si>
  <si>
    <t>Intramural</t>
  </si>
  <si>
    <t>RMS</t>
  </si>
  <si>
    <t>Extramural</t>
  </si>
  <si>
    <t>Cancer</t>
  </si>
  <si>
    <t>Control</t>
  </si>
  <si>
    <t>OD/CS</t>
  </si>
  <si>
    <t>Mgmt Fnd</t>
  </si>
  <si>
    <t>SSF</t>
  </si>
  <si>
    <t>AUX</t>
  </si>
  <si>
    <t>Network</t>
  </si>
  <si>
    <t>HR</t>
  </si>
  <si>
    <t>Factor - President's Budget</t>
  </si>
  <si>
    <t>Factor - School Tax</t>
  </si>
  <si>
    <t>Telecommunications</t>
  </si>
  <si>
    <t>Graduate Program</t>
  </si>
  <si>
    <t>NRSA Payback</t>
  </si>
  <si>
    <t>PB</t>
  </si>
  <si>
    <t>NATIONAL INSTITUTES OF HEALTH</t>
  </si>
  <si>
    <t>Intramural Budget by IC</t>
  </si>
  <si>
    <t>Adjusted</t>
  </si>
  <si>
    <t xml:space="preserve">Budget </t>
  </si>
  <si>
    <t>NIGMS*</t>
  </si>
  <si>
    <t xml:space="preserve"> 1/</t>
  </si>
  <si>
    <t>NIA*</t>
  </si>
  <si>
    <t>NIDA*</t>
  </si>
  <si>
    <t>FTEs</t>
  </si>
  <si>
    <t>Factor -  Payback file open records</t>
  </si>
  <si>
    <t>Factor - On-board strength</t>
  </si>
  <si>
    <t xml:space="preserve">Factor -  Weighted usage of CRADAs, EIRs, </t>
  </si>
  <si>
    <t xml:space="preserve">               Applications filed/pending, Licenses</t>
  </si>
  <si>
    <t>IT Software Development Account</t>
  </si>
  <si>
    <t>(dollars in thousands)</t>
  </si>
  <si>
    <t>$ in thousands</t>
  </si>
  <si>
    <t xml:space="preserve">note:  excludes summers </t>
  </si>
  <si>
    <t>Percent of</t>
  </si>
  <si>
    <t>Total, ICs</t>
  </si>
  <si>
    <t>Grand Ttl</t>
  </si>
  <si>
    <t>Total w/ CS</t>
  </si>
  <si>
    <t>% of Total</t>
  </si>
  <si>
    <t>w/o CS</t>
  </si>
  <si>
    <t xml:space="preserve">Subtotal </t>
  </si>
  <si>
    <t>Single Investigator</t>
  </si>
  <si>
    <t>Other</t>
  </si>
  <si>
    <t>INSTITUTE</t>
  </si>
  <si>
    <t>New</t>
  </si>
  <si>
    <t>Renewal</t>
  </si>
  <si>
    <t>AR includes open files from AM</t>
  </si>
  <si>
    <t xml:space="preserve">CIT </t>
  </si>
  <si>
    <t>Clinical Center</t>
  </si>
  <si>
    <t>Center for Scientific Review</t>
  </si>
  <si>
    <t>Center for Information Technology</t>
  </si>
  <si>
    <t>Office of Research Services</t>
  </si>
  <si>
    <t>MF Reserve</t>
  </si>
  <si>
    <t>OHR</t>
  </si>
  <si>
    <t xml:space="preserve">Factor </t>
  </si>
  <si>
    <t>Pres. Budget</t>
  </si>
  <si>
    <t>Clinical Ctr</t>
  </si>
  <si>
    <t>"School Tax"</t>
  </si>
  <si>
    <t xml:space="preserve">Management Fund  </t>
  </si>
  <si>
    <t xml:space="preserve">Service and Supply Fund Assessments </t>
  </si>
  <si>
    <t>Workcomp</t>
  </si>
  <si>
    <t>Unemploy</t>
  </si>
  <si>
    <t>Number</t>
  </si>
  <si>
    <t>of Rsrch Grants</t>
  </si>
  <si>
    <t>Construction</t>
  </si>
  <si>
    <t>Cancer Control/</t>
  </si>
  <si>
    <t>ORF</t>
  </si>
  <si>
    <t>On-Board</t>
  </si>
  <si>
    <t>Strength</t>
  </si>
  <si>
    <t>Includes Biodefense, Type I Diabetes, and Roadmap</t>
  </si>
  <si>
    <t>Office of Research Facilities</t>
  </si>
  <si>
    <t>Development &amp; Operations</t>
  </si>
  <si>
    <t>A-76 Studies</t>
  </si>
  <si>
    <t>Transition Center</t>
  </si>
  <si>
    <t>R &amp; D</t>
  </si>
  <si>
    <t>Contracts</t>
  </si>
  <si>
    <t>Factor -  Grants</t>
  </si>
  <si>
    <t>Factor - Grants, Contracts &amp;</t>
  </si>
  <si>
    <t>NSABB</t>
  </si>
  <si>
    <t>Telcommunications</t>
  </si>
  <si>
    <t>IT Software Develop.</t>
  </si>
  <si>
    <t>CIT Assessments:</t>
  </si>
  <si>
    <t>Document number</t>
  </si>
  <si>
    <t>Programs for S&amp;SF</t>
  </si>
  <si>
    <t>Programs for MF</t>
  </si>
  <si>
    <t>ORFDO</t>
  </si>
  <si>
    <t>O.C.</t>
  </si>
  <si>
    <t>25.9X</t>
  </si>
  <si>
    <t>646TELCOM SSF</t>
  </si>
  <si>
    <t>25.9N</t>
  </si>
  <si>
    <t>25.3Q</t>
  </si>
  <si>
    <t>25.9Y</t>
  </si>
  <si>
    <t>81.2P</t>
  </si>
  <si>
    <t>81.2N</t>
  </si>
  <si>
    <t>900MGMT FUND</t>
  </si>
  <si>
    <t xml:space="preserve"> </t>
  </si>
  <si>
    <t>Devlopmnt</t>
  </si>
  <si>
    <t>Tier 1 Help Desk</t>
  </si>
  <si>
    <t>NBIS &amp; ADB Ongoing</t>
  </si>
  <si>
    <t>Factor - Total Census</t>
  </si>
  <si>
    <t xml:space="preserve">Factor - 50% Total Census </t>
  </si>
  <si>
    <t xml:space="preserve">    and 50% Usage</t>
  </si>
  <si>
    <t>Factor - TCR Model</t>
  </si>
  <si>
    <t>Factor - Census by Campus; Local; Field; Poolesville</t>
  </si>
  <si>
    <t>Factor - Research Grants PB</t>
  </si>
  <si>
    <t>DEAS</t>
  </si>
  <si>
    <t>Common Services *</t>
  </si>
  <si>
    <t>(formerly called Business Intelligence)</t>
  </si>
  <si>
    <t>1/ Includes Ethics Database; Ethics Office;</t>
  </si>
  <si>
    <t>OHR/CS</t>
  </si>
  <si>
    <t>FTEs &amp; On-Board Strength</t>
  </si>
  <si>
    <t>*</t>
  </si>
  <si>
    <t>MBWG approved CC budg. less NIA,NIGMS,NIDA</t>
  </si>
  <si>
    <t xml:space="preserve">           </t>
  </si>
  <si>
    <t>Roadmap</t>
  </si>
  <si>
    <t>Number of Applications (Phase III)</t>
  </si>
  <si>
    <t xml:space="preserve">    IC TOTAL</t>
  </si>
  <si>
    <t>ROADMAP-ML</t>
  </si>
  <si>
    <t>ROADMAP-BB</t>
  </si>
  <si>
    <t>ROADMAP-SB</t>
  </si>
  <si>
    <t>ROADMAP-BC</t>
  </si>
  <si>
    <t>ROADMAP-NM</t>
  </si>
  <si>
    <t>ROADMAP-IR</t>
  </si>
  <si>
    <t>ROADMAP-HR</t>
  </si>
  <si>
    <t>ROADMAP-CR</t>
  </si>
  <si>
    <t xml:space="preserve">    RM TOTAL</t>
  </si>
  <si>
    <t>w/o Roadmap</t>
  </si>
  <si>
    <t>FTE w/o RdMp</t>
  </si>
  <si>
    <t>exclude RdMp</t>
  </si>
  <si>
    <t xml:space="preserve">OD </t>
  </si>
  <si>
    <t xml:space="preserve">National Science Advisory Board for Biosecurity </t>
  </si>
  <si>
    <t>NEES</t>
  </si>
  <si>
    <t>Factor -  President's Budget</t>
  </si>
  <si>
    <t>Adjusted IR budget less NIA, NIGMS, NIDA</t>
  </si>
  <si>
    <t>OD-CS</t>
  </si>
  <si>
    <t>FY2008</t>
  </si>
  <si>
    <t>104OTT2008</t>
  </si>
  <si>
    <t>104ITINVEST08</t>
  </si>
  <si>
    <t>104ADB2008</t>
  </si>
  <si>
    <t>104NETWORK08</t>
  </si>
  <si>
    <t>104COMMON08</t>
  </si>
  <si>
    <t>104HELPDESK08</t>
  </si>
  <si>
    <t>104GRADPROG08</t>
  </si>
  <si>
    <t>104NRSAPYBK08</t>
  </si>
  <si>
    <t>104OFM2008</t>
  </si>
  <si>
    <t>SREA</t>
  </si>
  <si>
    <t>FY 2007 Census</t>
  </si>
  <si>
    <t>FY06</t>
  </si>
  <si>
    <t>%</t>
  </si>
  <si>
    <t>change in</t>
  </si>
  <si>
    <t>as of 9/30/2007</t>
  </si>
  <si>
    <t>FY 2008 FTEs</t>
  </si>
  <si>
    <t>2008 CJ  Target</t>
  </si>
  <si>
    <t>NOTE:  FY 08 excludes 10 CRADA FTEs</t>
  </si>
  <si>
    <t>Note:  Total amount assessed includes $2.7 mil  for</t>
  </si>
  <si>
    <t xml:space="preserve">           Smart Card (HSPD-12)</t>
  </si>
  <si>
    <t>*NIGMS, NIA and NIDA will remain at the FY 1999 level</t>
  </si>
  <si>
    <t>Factor -  Number of phone lines as of 9/30/07</t>
  </si>
  <si>
    <t>FY 2008</t>
  </si>
  <si>
    <t>IT</t>
  </si>
  <si>
    <t>IT Ongoing (OM)</t>
  </si>
  <si>
    <t>PSC</t>
  </si>
  <si>
    <t xml:space="preserve">IT </t>
  </si>
  <si>
    <t>DHHS Audit</t>
  </si>
  <si>
    <t>DHHS Bioethics</t>
  </si>
  <si>
    <t>DHHS EIM/EIT</t>
  </si>
  <si>
    <t>TOTAL</t>
  </si>
  <si>
    <t>Road-map</t>
  </si>
  <si>
    <t>RPGs</t>
  </si>
  <si>
    <t>Training</t>
  </si>
  <si>
    <t xml:space="preserve">Transition Center </t>
  </si>
  <si>
    <t>Factor - 50% Amended PB</t>
  </si>
  <si>
    <t>Factor - 50% Total Census</t>
  </si>
  <si>
    <t>NIH OHR Consolidated, NIH Residual</t>
  </si>
  <si>
    <t>Factor - Extramural Budget</t>
  </si>
  <si>
    <t>Factor - Onboard strength</t>
  </si>
  <si>
    <t>PSC HRS (HR Ongoing)</t>
  </si>
  <si>
    <t>Work Comp/Unempl Comp</t>
  </si>
  <si>
    <t xml:space="preserve">1/ excludes $33,661K for NIEHS NTP and  facility support </t>
  </si>
  <si>
    <t xml:space="preserve">CIT Assessments </t>
  </si>
  <si>
    <t>Telecom</t>
  </si>
  <si>
    <t>Factor - Research Project Grants and Research Training Totals in the PB</t>
  </si>
  <si>
    <t>FY 2008 President's Budget</t>
  </si>
  <si>
    <t>Billing Contact</t>
  </si>
  <si>
    <t>FY2008 PB</t>
  </si>
  <si>
    <t>Factor -  FTE Ceiling</t>
  </si>
  <si>
    <t>Factor - FTE Ceiling</t>
  </si>
  <si>
    <t xml:space="preserve">Factor - FY 2007 DTM blood products weighted </t>
  </si>
  <si>
    <t>by cost utilization</t>
  </si>
  <si>
    <t>Amount - 85% of total CC DTM RBP cost</t>
  </si>
  <si>
    <t>NCI credited $50,000 for nurse support in FY07</t>
  </si>
  <si>
    <t>NIDDK credited $20,000 for reagent support in FY07</t>
  </si>
  <si>
    <t>CC - Research Blood Products</t>
  </si>
  <si>
    <t>Amount - 85% of Clinical Center PET operations cost</t>
  </si>
  <si>
    <t xml:space="preserve">Factor - FY05 to FY07 PET procedures weighted </t>
  </si>
  <si>
    <t>CC - Research PET</t>
  </si>
  <si>
    <t>Karen Goshaney</t>
  </si>
  <si>
    <t xml:space="preserve">     CC</t>
  </si>
  <si>
    <t xml:space="preserve">     Blood Products</t>
  </si>
  <si>
    <t xml:space="preserve">     PET</t>
  </si>
  <si>
    <t>Joe McPherson</t>
  </si>
  <si>
    <t>104NIHITONG08</t>
  </si>
  <si>
    <t xml:space="preserve">     ADB/NBIS</t>
  </si>
  <si>
    <t xml:space="preserve">     Network</t>
  </si>
  <si>
    <t xml:space="preserve">     Common Services</t>
  </si>
  <si>
    <t xml:space="preserve">     NEES</t>
  </si>
  <si>
    <t xml:space="preserve">     NIDB</t>
  </si>
  <si>
    <t xml:space="preserve">     Help Desk</t>
  </si>
  <si>
    <t xml:space="preserve">     DHHS Assessments</t>
  </si>
  <si>
    <t>104DHHSTAPS08</t>
  </si>
  <si>
    <t>Frank Sammarco</t>
  </si>
  <si>
    <t xml:space="preserve">     DHHS EIM/EIT</t>
  </si>
  <si>
    <t xml:space="preserve">     DHHS Bioethics</t>
  </si>
  <si>
    <t xml:space="preserve">     UFMS</t>
  </si>
  <si>
    <t xml:space="preserve">     DHHS Audit</t>
  </si>
  <si>
    <t xml:space="preserve">     Work Cap/Pymt Mgmt </t>
  </si>
  <si>
    <t xml:space="preserve">     PSC HR Ongoing</t>
  </si>
  <si>
    <t xml:space="preserve">     Workman Comp/Unempl</t>
  </si>
  <si>
    <t>Carlyn Lewis</t>
  </si>
  <si>
    <t xml:space="preserve">     HR Core Support</t>
  </si>
  <si>
    <t>104NIHHR08</t>
  </si>
  <si>
    <t xml:space="preserve">     Transition Center</t>
  </si>
  <si>
    <t>OD  /1</t>
  </si>
  <si>
    <t xml:space="preserve">Office of the Director </t>
  </si>
  <si>
    <t xml:space="preserve">   on-board, and PB</t>
  </si>
  <si>
    <t>Fiscal Year 2008</t>
  </si>
  <si>
    <t>IV&amp;V</t>
  </si>
  <si>
    <t>ERA</t>
  </si>
  <si>
    <t>NBS</t>
  </si>
  <si>
    <t xml:space="preserve">     eRA ongoing</t>
  </si>
  <si>
    <t xml:space="preserve">     HR ongoing</t>
  </si>
  <si>
    <t xml:space="preserve">     NBS ongoing</t>
  </si>
  <si>
    <t xml:space="preserve">     IV&amp;V</t>
  </si>
  <si>
    <t>DHHS Assessments 1/</t>
  </si>
  <si>
    <t>SERCH</t>
  </si>
  <si>
    <t xml:space="preserve">     SERCH</t>
  </si>
  <si>
    <t>NIDB</t>
  </si>
  <si>
    <t>Bill Malczewski</t>
  </si>
  <si>
    <t>OTT (Ofc. Of Technology Transfer)</t>
  </si>
  <si>
    <t>OD (SSF)</t>
  </si>
  <si>
    <t>Amt per Student</t>
  </si>
  <si>
    <t>Office of Financial Mgmt.</t>
  </si>
  <si>
    <t>Factor - # of transactions processed in PY</t>
  </si>
  <si>
    <t>Factor - # of graduate students x $1,870</t>
  </si>
  <si>
    <t>Office of the CIO</t>
  </si>
  <si>
    <t>Includes:  Mgmt. Intern Program</t>
  </si>
  <si>
    <t>Amt. excludes FY07 MF carryover of $1,426K</t>
  </si>
  <si>
    <t xml:space="preserve">Transition 
Center </t>
  </si>
  <si>
    <t xml:space="preserve">OHR Core Support </t>
  </si>
  <si>
    <t xml:space="preserve">     Graduate Prog</t>
  </si>
  <si>
    <t xml:space="preserve">     OTT </t>
  </si>
  <si>
    <t xml:space="preserve">     NRSA Payback</t>
  </si>
  <si>
    <t xml:space="preserve">     OFM</t>
  </si>
  <si>
    <t xml:space="preserve">     CIO</t>
  </si>
  <si>
    <t>104CIO2008</t>
  </si>
  <si>
    <t xml:space="preserve">     OD</t>
  </si>
  <si>
    <t xml:space="preserve">     DEAS</t>
  </si>
  <si>
    <t xml:space="preserve">Factor -  OD contributes $1,557k; </t>
  </si>
  <si>
    <t xml:space="preserve">   remainder is distributed based </t>
  </si>
  <si>
    <t xml:space="preserve">   on the PB</t>
  </si>
  <si>
    <t xml:space="preserve">Parklawn Service Center </t>
  </si>
  <si>
    <t>Formerly called the</t>
  </si>
  <si>
    <t xml:space="preserve">   Working Capital Fund</t>
  </si>
  <si>
    <t>PSC (Program Support Ctr)</t>
  </si>
  <si>
    <t>PMS (Payment Mgmt. Sys)</t>
  </si>
  <si>
    <t xml:space="preserve">of Total </t>
  </si>
  <si>
    <t>104PSCTAPS08</t>
  </si>
  <si>
    <t xml:space="preserve"> A-76</t>
  </si>
  <si>
    <t>OPF (Records Mgmt.)</t>
  </si>
  <si>
    <t>have unsatisfied obligs, does not include records</t>
  </si>
  <si>
    <t>without Termination Notices)</t>
  </si>
  <si>
    <t xml:space="preserve"> Includes all records in the Payback File which</t>
  </si>
  <si>
    <t>Ongoing (O&amp;M)</t>
  </si>
  <si>
    <t>1/ includes 150K for support of property position, 500K Obesity Compaign</t>
  </si>
  <si>
    <t>Unified Financial Management System 2/</t>
  </si>
  <si>
    <t>2/ includes 1762K for HCAS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</si>
</sst>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$-409]#,##0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"/>
    <numFmt numFmtId="171" formatCode="0.0%"/>
    <numFmt numFmtId="172" formatCode="&quot;$&quot;#,##0.00"/>
    <numFmt numFmtId="173" formatCode="&quot;$&quot;#,##0.0"/>
    <numFmt numFmtId="174" formatCode="mmmm\ d\,\ yyyy"/>
    <numFmt numFmtId="175" formatCode="_(* #,##0.000_);_(* \(#,##0.000\);_(* &quot;-&quot;??_);_(@_)"/>
    <numFmt numFmtId="176" formatCode="_(* #,##0.0_);_(* \(#,##0.0\);_(* &quot;-&quot;?_);_(@_)"/>
    <numFmt numFmtId="177" formatCode="0.0"/>
    <numFmt numFmtId="178" formatCode="[$$-409]#,##0.0"/>
    <numFmt numFmtId="179" formatCode="#,##0.0"/>
    <numFmt numFmtId="180" formatCode="_(&quot;$&quot;* #,##0.000_);_(&quot;$&quot;* \(#,##0.000\);_(&quot;$&quot;* &quot;-&quot;??_);_(@_)"/>
    <numFmt numFmtId="181" formatCode="[$$-409]#,##0.00"/>
    <numFmt numFmtId="182" formatCode="[$$-409]#,##0.000"/>
    <numFmt numFmtId="183" formatCode="0.000"/>
    <numFmt numFmtId="184" formatCode="&quot;$&quot;#,##0.000"/>
    <numFmt numFmtId="185" formatCode="_(&quot;$&quot;* #,##0.0000_);_(&quot;$&quot;* \(#,##0.0000\);_(&quot;$&quot;* &quot;-&quot;??_);_(@_)"/>
    <numFmt numFmtId="186" formatCode="0.000%"/>
    <numFmt numFmtId="187" formatCode="_(* #,##0.0000_);_(* \(#,##0.00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"/>
    <numFmt numFmtId="193" formatCode="0.00000"/>
    <numFmt numFmtId="194" formatCode="&quot;$&quot;#,##0.0_);[Red]\(&quot;$&quot;#,##0.0\)"/>
    <numFmt numFmtId="195" formatCode="&quot;$&quot;#,##0.000_);[Red]\(&quot;$&quot;#,##0.000\)"/>
  </numFmts>
  <fonts count="24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2"/>
      <name val="SWISS"/>
      <family val="0"/>
    </font>
    <font>
      <sz val="10"/>
      <color indexed="18"/>
      <name val="Arial"/>
      <family val="0"/>
    </font>
    <font>
      <sz val="8"/>
      <name val="Arial"/>
      <family val="0"/>
    </font>
    <font>
      <sz val="10"/>
      <name val="Arial MT"/>
      <family val="0"/>
    </font>
    <font>
      <b/>
      <sz val="14"/>
      <name val="SWISS"/>
      <family val="0"/>
    </font>
    <font>
      <b/>
      <sz val="12"/>
      <name val="SWISS"/>
      <family val="0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2"/>
      <color indexed="8"/>
      <name val="Times New Roman"/>
      <family val="1"/>
    </font>
    <font>
      <u val="singleAccounting"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7" fontId="11" fillId="0" borderId="0">
      <alignment/>
      <protection/>
    </xf>
    <xf numFmtId="9" fontId="0" fillId="0" borderId="0" applyFont="0" applyFill="0" applyBorder="0" applyAlignment="0" applyProtection="0"/>
  </cellStyleXfs>
  <cellXfs count="377">
    <xf numFmtId="0" fontId="0" fillId="0" borderId="0" xfId="0" applyAlignment="1">
      <alignment/>
    </xf>
    <xf numFmtId="0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2" fillId="0" borderId="2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3" fillId="0" borderId="3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0" fontId="1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2" fillId="0" borderId="8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4" xfId="0" applyFont="1" applyBorder="1" applyAlignment="1">
      <alignment/>
    </xf>
    <xf numFmtId="0" fontId="4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167" fontId="0" fillId="0" borderId="2" xfId="15" applyNumberFormat="1" applyBorder="1" applyAlignment="1">
      <alignment/>
    </xf>
    <xf numFmtId="167" fontId="0" fillId="0" borderId="6" xfId="15" applyNumberFormat="1" applyBorder="1" applyAlignment="1">
      <alignment/>
    </xf>
    <xf numFmtId="167" fontId="0" fillId="0" borderId="0" xfId="15" applyNumberFormat="1" applyAlignment="1">
      <alignment/>
    </xf>
    <xf numFmtId="169" fontId="0" fillId="0" borderId="2" xfId="17" applyNumberFormat="1" applyBorder="1" applyAlignment="1">
      <alignment/>
    </xf>
    <xf numFmtId="169" fontId="0" fillId="0" borderId="6" xfId="17" applyNumberFormat="1" applyBorder="1" applyAlignment="1">
      <alignment/>
    </xf>
    <xf numFmtId="167" fontId="0" fillId="0" borderId="3" xfId="15" applyNumberFormat="1" applyBorder="1" applyAlignment="1">
      <alignment/>
    </xf>
    <xf numFmtId="167" fontId="0" fillId="0" borderId="11" xfId="15" applyNumberFormat="1" applyBorder="1" applyAlignment="1">
      <alignment/>
    </xf>
    <xf numFmtId="169" fontId="0" fillId="0" borderId="12" xfId="17" applyNumberFormat="1" applyBorder="1" applyAlignment="1">
      <alignment/>
    </xf>
    <xf numFmtId="0" fontId="0" fillId="0" borderId="0" xfId="0" applyAlignment="1">
      <alignment horizontal="center"/>
    </xf>
    <xf numFmtId="167" fontId="0" fillId="0" borderId="7" xfId="15" applyNumberFormat="1" applyBorder="1" applyAlignment="1">
      <alignment/>
    </xf>
    <xf numFmtId="167" fontId="0" fillId="0" borderId="0" xfId="0" applyNumberFormat="1" applyAlignment="1">
      <alignment/>
    </xf>
    <xf numFmtId="167" fontId="0" fillId="0" borderId="13" xfId="0" applyNumberFormat="1" applyBorder="1" applyAlignment="1">
      <alignment/>
    </xf>
    <xf numFmtId="167" fontId="0" fillId="0" borderId="3" xfId="0" applyNumberFormat="1" applyBorder="1" applyAlignment="1">
      <alignment/>
    </xf>
    <xf numFmtId="167" fontId="0" fillId="0" borderId="1" xfId="15" applyNumberFormat="1" applyBorder="1" applyAlignment="1">
      <alignment/>
    </xf>
    <xf numFmtId="167" fontId="0" fillId="0" borderId="6" xfId="0" applyNumberFormat="1" applyBorder="1" applyAlignment="1">
      <alignment/>
    </xf>
    <xf numFmtId="10" fontId="0" fillId="0" borderId="2" xfId="22" applyNumberFormat="1" applyBorder="1" applyAlignment="1">
      <alignment/>
    </xf>
    <xf numFmtId="10" fontId="0" fillId="0" borderId="3" xfId="0" applyNumberFormat="1" applyBorder="1" applyAlignment="1">
      <alignment/>
    </xf>
    <xf numFmtId="170" fontId="0" fillId="0" borderId="3" xfId="0" applyNumberFormat="1" applyBorder="1" applyAlignment="1">
      <alignment/>
    </xf>
    <xf numFmtId="167" fontId="0" fillId="0" borderId="2" xfId="0" applyNumberFormat="1" applyBorder="1" applyAlignment="1">
      <alignment/>
    </xf>
    <xf numFmtId="169" fontId="0" fillId="0" borderId="3" xfId="0" applyNumberFormat="1" applyBorder="1" applyAlignment="1">
      <alignment/>
    </xf>
    <xf numFmtId="10" fontId="0" fillId="0" borderId="2" xfId="0" applyNumberFormat="1" applyBorder="1" applyAlignment="1">
      <alignment/>
    </xf>
    <xf numFmtId="169" fontId="0" fillId="0" borderId="1" xfId="17" applyNumberFormat="1" applyBorder="1" applyAlignment="1">
      <alignment/>
    </xf>
    <xf numFmtId="169" fontId="0" fillId="0" borderId="3" xfId="17" applyNumberFormat="1" applyBorder="1" applyAlignment="1">
      <alignment/>
    </xf>
    <xf numFmtId="169" fontId="0" fillId="0" borderId="2" xfId="0" applyNumberFormat="1" applyBorder="1" applyAlignment="1">
      <alignment/>
    </xf>
    <xf numFmtId="10" fontId="0" fillId="0" borderId="0" xfId="22" applyNumberFormat="1" applyAlignment="1">
      <alignment/>
    </xf>
    <xf numFmtId="169" fontId="0" fillId="0" borderId="0" xfId="0" applyNumberFormat="1" applyAlignment="1">
      <alignment/>
    </xf>
    <xf numFmtId="171" fontId="0" fillId="0" borderId="2" xfId="22" applyNumberFormat="1" applyBorder="1" applyAlignment="1">
      <alignment/>
    </xf>
    <xf numFmtId="0" fontId="0" fillId="0" borderId="12" xfId="0" applyBorder="1" applyAlignment="1">
      <alignment horizontal="center"/>
    </xf>
    <xf numFmtId="169" fontId="0" fillId="0" borderId="2" xfId="17" applyNumberFormat="1" applyBorder="1" applyAlignment="1">
      <alignment horizontal="right"/>
    </xf>
    <xf numFmtId="169" fontId="0" fillId="0" borderId="3" xfId="17" applyNumberFormat="1" applyBorder="1" applyAlignment="1">
      <alignment horizontal="right"/>
    </xf>
    <xf numFmtId="0" fontId="7" fillId="0" borderId="0" xfId="0" applyFont="1" applyAlignment="1">
      <alignment/>
    </xf>
    <xf numFmtId="171" fontId="0" fillId="0" borderId="3" xfId="0" applyNumberFormat="1" applyBorder="1" applyAlignment="1">
      <alignment/>
    </xf>
    <xf numFmtId="0" fontId="2" fillId="0" borderId="2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0" fillId="0" borderId="0" xfId="0" applyAlignment="1" quotePrefix="1">
      <alignment/>
    </xf>
    <xf numFmtId="0" fontId="10" fillId="0" borderId="0" xfId="0" applyFont="1" applyAlignment="1">
      <alignment/>
    </xf>
    <xf numFmtId="167" fontId="0" fillId="0" borderId="2" xfId="15" applyNumberFormat="1" applyFont="1" applyBorder="1" applyAlignment="1">
      <alignment/>
    </xf>
    <xf numFmtId="167" fontId="0" fillId="0" borderId="2" xfId="15" applyNumberFormat="1" applyFont="1" applyBorder="1" applyAlignment="1">
      <alignment/>
    </xf>
    <xf numFmtId="167" fontId="0" fillId="0" borderId="0" xfId="15" applyNumberFormat="1" applyFont="1" applyAlignment="1">
      <alignment/>
    </xf>
    <xf numFmtId="0" fontId="0" fillId="0" borderId="7" xfId="0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11" fillId="0" borderId="14" xfId="0" applyFont="1" applyBorder="1" applyAlignment="1" applyProtection="1">
      <alignment/>
      <protection/>
    </xf>
    <xf numFmtId="3" fontId="2" fillId="0" borderId="2" xfId="0" applyNumberFormat="1" applyFont="1" applyBorder="1" applyAlignment="1">
      <alignment horizontal="center"/>
    </xf>
    <xf numFmtId="0" fontId="11" fillId="0" borderId="0" xfId="0" applyFont="1" applyAlignment="1" applyProtection="1">
      <alignment/>
      <protection/>
    </xf>
    <xf numFmtId="0" fontId="11" fillId="0" borderId="15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 horizontal="centerContinuous"/>
      <protection/>
    </xf>
    <xf numFmtId="0" fontId="11" fillId="0" borderId="17" xfId="0" applyFont="1" applyBorder="1" applyAlignment="1" applyProtection="1">
      <alignment horizontal="centerContinuous"/>
      <protection/>
    </xf>
    <xf numFmtId="0" fontId="11" fillId="0" borderId="18" xfId="0" applyFont="1" applyBorder="1" applyAlignment="1" applyProtection="1">
      <alignment/>
      <protection/>
    </xf>
    <xf numFmtId="0" fontId="11" fillId="0" borderId="19" xfId="0" applyFont="1" applyBorder="1" applyAlignment="1" applyProtection="1">
      <alignment horizontal="center"/>
      <protection/>
    </xf>
    <xf numFmtId="0" fontId="11" fillId="0" borderId="20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/>
      <protection/>
    </xf>
    <xf numFmtId="170" fontId="0" fillId="0" borderId="0" xfId="0" applyNumberFormat="1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0" fontId="2" fillId="0" borderId="0" xfId="0" applyNumberFormat="1" applyFont="1" applyBorder="1" applyAlignment="1">
      <alignment/>
    </xf>
    <xf numFmtId="167" fontId="0" fillId="0" borderId="6" xfId="15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10" fontId="0" fillId="0" borderId="0" xfId="22" applyNumberFormat="1" applyFont="1" applyAlignment="1">
      <alignment/>
    </xf>
    <xf numFmtId="167" fontId="0" fillId="0" borderId="0" xfId="15" applyNumberFormat="1" applyFont="1" applyFill="1" applyBorder="1" applyAlignment="1">
      <alignment/>
    </xf>
    <xf numFmtId="0" fontId="0" fillId="0" borderId="5" xfId="0" applyFill="1" applyBorder="1" applyAlignment="1">
      <alignment/>
    </xf>
    <xf numFmtId="167" fontId="12" fillId="0" borderId="2" xfId="15" applyNumberFormat="1" applyFont="1" applyBorder="1" applyAlignment="1">
      <alignment/>
    </xf>
    <xf numFmtId="0" fontId="2" fillId="0" borderId="5" xfId="0" applyNumberFormat="1" applyFont="1" applyBorder="1" applyAlignment="1">
      <alignment/>
    </xf>
    <xf numFmtId="43" fontId="0" fillId="0" borderId="3" xfId="15" applyBorder="1" applyAlignment="1">
      <alignment/>
    </xf>
    <xf numFmtId="43" fontId="0" fillId="0" borderId="2" xfId="15" applyBorder="1" applyAlignment="1">
      <alignment/>
    </xf>
    <xf numFmtId="43" fontId="7" fillId="0" borderId="2" xfId="15" applyFont="1" applyBorder="1" applyAlignment="1">
      <alignment/>
    </xf>
    <xf numFmtId="43" fontId="0" fillId="0" borderId="6" xfId="15" applyBorder="1" applyAlignment="1">
      <alignment/>
    </xf>
    <xf numFmtId="0" fontId="2" fillId="0" borderId="0" xfId="0" applyFont="1" applyFill="1" applyBorder="1" applyAlignment="1">
      <alignment/>
    </xf>
    <xf numFmtId="167" fontId="0" fillId="0" borderId="2" xfId="15" applyNumberForma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8" xfId="0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2" fillId="0" borderId="12" xfId="0" applyFont="1" applyBorder="1" applyAlignment="1">
      <alignment horizontal="center"/>
    </xf>
    <xf numFmtId="169" fontId="2" fillId="0" borderId="0" xfId="0" applyNumberFormat="1" applyFont="1" applyAlignment="1">
      <alignment/>
    </xf>
    <xf numFmtId="0" fontId="1" fillId="2" borderId="1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165" fontId="1" fillId="2" borderId="3" xfId="0" applyNumberFormat="1" applyFont="1" applyFill="1" applyBorder="1" applyAlignment="1">
      <alignment/>
    </xf>
    <xf numFmtId="0" fontId="14" fillId="0" borderId="3" xfId="0" applyFont="1" applyBorder="1" applyAlignment="1">
      <alignment/>
    </xf>
    <xf numFmtId="0" fontId="14" fillId="0" borderId="2" xfId="0" applyFont="1" applyBorder="1" applyAlignment="1">
      <alignment/>
    </xf>
    <xf numFmtId="5" fontId="14" fillId="0" borderId="2" xfId="0" applyNumberFormat="1" applyFont="1" applyBorder="1" applyAlignment="1">
      <alignment/>
    </xf>
    <xf numFmtId="37" fontId="14" fillId="0" borderId="2" xfId="0" applyNumberFormat="1" applyFont="1" applyBorder="1" applyAlignment="1">
      <alignment/>
    </xf>
    <xf numFmtId="5" fontId="14" fillId="0" borderId="3" xfId="0" applyNumberFormat="1" applyFont="1" applyBorder="1" applyAlignment="1">
      <alignment/>
    </xf>
    <xf numFmtId="167" fontId="14" fillId="0" borderId="2" xfId="15" applyNumberFormat="1" applyFont="1" applyBorder="1" applyAlignment="1">
      <alignment/>
    </xf>
    <xf numFmtId="167" fontId="14" fillId="0" borderId="3" xfId="15" applyNumberFormat="1" applyFont="1" applyBorder="1" applyAlignment="1">
      <alignment/>
    </xf>
    <xf numFmtId="0" fontId="2" fillId="0" borderId="6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169" fontId="14" fillId="0" borderId="2" xfId="17" applyNumberFormat="1" applyFont="1" applyBorder="1" applyAlignment="1">
      <alignment/>
    </xf>
    <xf numFmtId="0" fontId="7" fillId="0" borderId="8" xfId="0" applyFont="1" applyBorder="1" applyAlignment="1">
      <alignment horizontal="center"/>
    </xf>
    <xf numFmtId="10" fontId="0" fillId="0" borderId="7" xfId="22" applyNumberFormat="1" applyBorder="1" applyAlignment="1">
      <alignment/>
    </xf>
    <xf numFmtId="10" fontId="0" fillId="0" borderId="13" xfId="22" applyNumberFormat="1" applyBorder="1" applyAlignment="1">
      <alignment/>
    </xf>
    <xf numFmtId="167" fontId="2" fillId="0" borderId="12" xfId="15" applyNumberFormat="1" applyFont="1" applyBorder="1" applyAlignment="1">
      <alignment/>
    </xf>
    <xf numFmtId="3" fontId="2" fillId="0" borderId="3" xfId="0" applyNumberFormat="1" applyFont="1" applyBorder="1" applyAlignment="1">
      <alignment horizontal="center"/>
    </xf>
    <xf numFmtId="0" fontId="7" fillId="0" borderId="0" xfId="0" applyFont="1" applyAlignment="1">
      <alignment/>
    </xf>
    <xf numFmtId="3" fontId="2" fillId="0" borderId="1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195" fontId="0" fillId="0" borderId="2" xfId="0" applyNumberFormat="1" applyBorder="1" applyAlignment="1">
      <alignment/>
    </xf>
    <xf numFmtId="175" fontId="0" fillId="0" borderId="2" xfId="15" applyNumberFormat="1" applyBorder="1" applyAlignment="1">
      <alignment/>
    </xf>
    <xf numFmtId="167" fontId="2" fillId="0" borderId="0" xfId="0" applyNumberFormat="1" applyFont="1" applyAlignment="1">
      <alignment/>
    </xf>
    <xf numFmtId="0" fontId="0" fillId="0" borderId="12" xfId="0" applyBorder="1" applyAlignment="1">
      <alignment/>
    </xf>
    <xf numFmtId="171" fontId="0" fillId="0" borderId="2" xfId="22" applyNumberFormat="1" applyBorder="1" applyAlignment="1">
      <alignment/>
    </xf>
    <xf numFmtId="0" fontId="2" fillId="0" borderId="6" xfId="0" applyNumberFormat="1" applyFont="1" applyFill="1" applyBorder="1" applyAlignment="1">
      <alignment/>
    </xf>
    <xf numFmtId="167" fontId="0" fillId="0" borderId="0" xfId="15" applyNumberFormat="1" applyBorder="1" applyAlignment="1">
      <alignment/>
    </xf>
    <xf numFmtId="0" fontId="15" fillId="0" borderId="0" xfId="0" applyFont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11" fillId="0" borderId="0" xfId="0" applyFont="1" applyAlignment="1" applyProtection="1">
      <alignment horizontal="centerContinuous"/>
      <protection/>
    </xf>
    <xf numFmtId="0" fontId="16" fillId="0" borderId="0" xfId="0" applyFont="1" applyAlignment="1" applyProtection="1">
      <alignment/>
      <protection/>
    </xf>
    <xf numFmtId="0" fontId="2" fillId="0" borderId="0" xfId="0" applyNumberFormat="1" applyFont="1" applyFill="1" applyBorder="1" applyAlignment="1">
      <alignment/>
    </xf>
    <xf numFmtId="171" fontId="14" fillId="0" borderId="2" xfId="22" applyNumberFormat="1" applyFont="1" applyBorder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8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9" fontId="0" fillId="0" borderId="3" xfId="17" applyNumberFormat="1" applyFill="1" applyBorder="1" applyAlignment="1">
      <alignment horizontal="center"/>
    </xf>
    <xf numFmtId="167" fontId="0" fillId="0" borderId="6" xfId="15" applyNumberFormat="1" applyBorder="1" applyAlignment="1">
      <alignment/>
    </xf>
    <xf numFmtId="0" fontId="0" fillId="0" borderId="1" xfId="0" applyFill="1" applyBorder="1" applyAlignment="1">
      <alignment/>
    </xf>
    <xf numFmtId="171" fontId="0" fillId="0" borderId="2" xfId="22" applyNumberFormat="1" applyFill="1" applyBorder="1" applyAlignment="1">
      <alignment/>
    </xf>
    <xf numFmtId="169" fontId="0" fillId="0" borderId="2" xfId="17" applyNumberFormat="1" applyFill="1" applyBorder="1" applyAlignment="1">
      <alignment/>
    </xf>
    <xf numFmtId="167" fontId="0" fillId="0" borderId="1" xfId="15" applyNumberFormat="1" applyFill="1" applyBorder="1" applyAlignment="1">
      <alignment/>
    </xf>
    <xf numFmtId="0" fontId="0" fillId="0" borderId="2" xfId="0" applyFill="1" applyBorder="1" applyAlignment="1">
      <alignment/>
    </xf>
    <xf numFmtId="167" fontId="0" fillId="0" borderId="2" xfId="15" applyNumberFormat="1" applyFill="1" applyBorder="1" applyAlignment="1">
      <alignment/>
    </xf>
    <xf numFmtId="171" fontId="0" fillId="0" borderId="2" xfId="22" applyNumberFormat="1" applyFont="1" applyBorder="1" applyAlignment="1">
      <alignment/>
    </xf>
    <xf numFmtId="167" fontId="0" fillId="0" borderId="2" xfId="15" applyNumberFormat="1" applyBorder="1" applyAlignment="1">
      <alignment/>
    </xf>
    <xf numFmtId="0" fontId="0" fillId="0" borderId="8" xfId="0" applyFill="1" applyBorder="1" applyAlignment="1">
      <alignment/>
    </xf>
    <xf numFmtId="167" fontId="0" fillId="0" borderId="11" xfId="15" applyNumberFormat="1" applyFill="1" applyBorder="1" applyAlignment="1">
      <alignment/>
    </xf>
    <xf numFmtId="167" fontId="0" fillId="0" borderId="3" xfId="15" applyNumberFormat="1" applyFill="1" applyBorder="1" applyAlignment="1">
      <alignment/>
    </xf>
    <xf numFmtId="0" fontId="0" fillId="0" borderId="12" xfId="0" applyFill="1" applyBorder="1" applyAlignment="1">
      <alignment/>
    </xf>
    <xf numFmtId="167" fontId="0" fillId="0" borderId="3" xfId="0" applyNumberFormat="1" applyFill="1" applyBorder="1" applyAlignment="1">
      <alignment/>
    </xf>
    <xf numFmtId="169" fontId="0" fillId="0" borderId="3" xfId="0" applyNumberFormat="1" applyFill="1" applyBorder="1" applyAlignment="1">
      <alignment/>
    </xf>
    <xf numFmtId="0" fontId="2" fillId="0" borderId="0" xfId="0" applyFont="1" applyFill="1" applyAlignment="1">
      <alignment/>
    </xf>
    <xf numFmtId="169" fontId="0" fillId="0" borderId="2" xfId="17" applyNumberFormat="1" applyFont="1" applyFill="1" applyBorder="1" applyAlignment="1">
      <alignment/>
    </xf>
    <xf numFmtId="167" fontId="0" fillId="0" borderId="3" xfId="15" applyNumberFormat="1" applyFont="1" applyBorder="1" applyAlignment="1">
      <alignment/>
    </xf>
    <xf numFmtId="167" fontId="0" fillId="0" borderId="1" xfId="15" applyNumberFormat="1" applyFont="1" applyFill="1" applyBorder="1" applyAlignment="1">
      <alignment horizontal="right"/>
    </xf>
    <xf numFmtId="167" fontId="0" fillId="0" borderId="2" xfId="15" applyNumberFormat="1" applyFill="1" applyBorder="1" applyAlignment="1">
      <alignment horizontal="right"/>
    </xf>
    <xf numFmtId="167" fontId="0" fillId="0" borderId="3" xfId="15" applyNumberFormat="1" applyFill="1" applyBorder="1" applyAlignment="1">
      <alignment horizontal="right"/>
    </xf>
    <xf numFmtId="171" fontId="0" fillId="0" borderId="0" xfId="22" applyNumberFormat="1" applyAlignment="1">
      <alignment/>
    </xf>
    <xf numFmtId="0" fontId="0" fillId="0" borderId="0" xfId="0" applyFont="1" applyAlignment="1">
      <alignment/>
    </xf>
    <xf numFmtId="169" fontId="0" fillId="0" borderId="12" xfId="0" applyNumberFormat="1" applyFont="1" applyBorder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9" fontId="0" fillId="0" borderId="0" xfId="17" applyNumberFormat="1" applyFont="1" applyBorder="1" applyAlignment="1">
      <alignment/>
    </xf>
    <xf numFmtId="10" fontId="0" fillId="0" borderId="0" xfId="22" applyNumberFormat="1" applyFont="1" applyBorder="1" applyAlignment="1">
      <alignment/>
    </xf>
    <xf numFmtId="167" fontId="0" fillId="0" borderId="0" xfId="15" applyNumberFormat="1" applyFont="1" applyBorder="1" applyAlignment="1">
      <alignment/>
    </xf>
    <xf numFmtId="167" fontId="18" fillId="0" borderId="0" xfId="15" applyNumberFormat="1" applyFont="1" applyBorder="1" applyAlignment="1">
      <alignment/>
    </xf>
    <xf numFmtId="167" fontId="18" fillId="0" borderId="0" xfId="15" applyNumberFormat="1" applyFont="1" applyBorder="1" applyAlignment="1" quotePrefix="1">
      <alignment horizontal="right"/>
    </xf>
    <xf numFmtId="167" fontId="0" fillId="0" borderId="0" xfId="15" applyNumberFormat="1" applyFont="1" applyBorder="1" applyAlignment="1" quotePrefix="1">
      <alignment horizontal="center"/>
    </xf>
    <xf numFmtId="167" fontId="0" fillId="0" borderId="0" xfId="15" applyNumberFormat="1" applyFont="1" applyBorder="1" applyAlignment="1" quotePrefix="1">
      <alignment horizontal="left"/>
    </xf>
    <xf numFmtId="167" fontId="0" fillId="0" borderId="0" xfId="15" applyNumberFormat="1" applyFont="1" applyBorder="1" applyAlignment="1">
      <alignment horizontal="left"/>
    </xf>
    <xf numFmtId="42" fontId="0" fillId="0" borderId="22" xfId="15" applyNumberFormat="1" applyFont="1" applyBorder="1" applyAlignment="1">
      <alignment/>
    </xf>
    <xf numFmtId="42" fontId="0" fillId="0" borderId="0" xfId="15" applyNumberFormat="1" applyFont="1" applyBorder="1" applyAlignment="1">
      <alignment/>
    </xf>
    <xf numFmtId="10" fontId="0" fillId="0" borderId="0" xfId="15" applyNumberFormat="1" applyFont="1" applyBorder="1" applyAlignment="1">
      <alignment/>
    </xf>
    <xf numFmtId="0" fontId="0" fillId="0" borderId="0" xfId="0" applyFont="1" applyBorder="1" applyAlignment="1" quotePrefix="1">
      <alignment/>
    </xf>
    <xf numFmtId="167" fontId="2" fillId="0" borderId="12" xfId="0" applyNumberFormat="1" applyFont="1" applyBorder="1" applyAlignment="1">
      <alignment/>
    </xf>
    <xf numFmtId="0" fontId="19" fillId="0" borderId="0" xfId="0" applyFont="1" applyAlignment="1">
      <alignment/>
    </xf>
    <xf numFmtId="10" fontId="0" fillId="0" borderId="2" xfId="22" applyNumberFormat="1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5" xfId="0" applyFont="1" applyBorder="1" applyAlignment="1">
      <alignment/>
    </xf>
    <xf numFmtId="10" fontId="0" fillId="0" borderId="12" xfId="0" applyNumberFormat="1" applyFont="1" applyBorder="1" applyAlignment="1">
      <alignment/>
    </xf>
    <xf numFmtId="10" fontId="0" fillId="0" borderId="12" xfId="0" applyNumberFormat="1" applyBorder="1" applyAlignment="1">
      <alignment/>
    </xf>
    <xf numFmtId="171" fontId="0" fillId="0" borderId="12" xfId="22" applyNumberFormat="1" applyBorder="1" applyAlignment="1">
      <alignment/>
    </xf>
    <xf numFmtId="171" fontId="0" fillId="0" borderId="12" xfId="0" applyNumberFormat="1" applyBorder="1" applyAlignment="1">
      <alignment/>
    </xf>
    <xf numFmtId="171" fontId="0" fillId="0" borderId="12" xfId="0" applyNumberFormat="1" applyFill="1" applyBorder="1" applyAlignment="1">
      <alignment/>
    </xf>
    <xf numFmtId="0" fontId="10" fillId="0" borderId="0" xfId="0" applyFont="1" applyAlignment="1">
      <alignment/>
    </xf>
    <xf numFmtId="167" fontId="0" fillId="0" borderId="5" xfId="15" applyNumberFormat="1" applyBorder="1" applyAlignment="1">
      <alignment/>
    </xf>
    <xf numFmtId="167" fontId="0" fillId="0" borderId="2" xfId="15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1" fillId="0" borderId="2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0" fontId="11" fillId="0" borderId="23" xfId="0" applyFont="1" applyBorder="1" applyAlignment="1" applyProtection="1">
      <alignment/>
      <protection/>
    </xf>
    <xf numFmtId="167" fontId="0" fillId="0" borderId="0" xfId="15" applyNumberFormat="1" applyFill="1" applyBorder="1" applyAlignment="1">
      <alignment/>
    </xf>
    <xf numFmtId="167" fontId="0" fillId="0" borderId="0" xfId="15" applyNumberFormat="1" applyFill="1" applyAlignment="1">
      <alignment/>
    </xf>
    <xf numFmtId="167" fontId="0" fillId="0" borderId="7" xfId="15" applyNumberFormat="1" applyFill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0" xfId="0" applyNumberFormat="1" applyFont="1" applyAlignment="1">
      <alignment/>
    </xf>
    <xf numFmtId="6" fontId="0" fillId="0" borderId="5" xfId="0" applyNumberFormat="1" applyFill="1" applyBorder="1" applyAlignment="1">
      <alignment/>
    </xf>
    <xf numFmtId="38" fontId="0" fillId="0" borderId="5" xfId="0" applyNumberFormat="1" applyFill="1" applyBorder="1" applyAlignment="1">
      <alignment/>
    </xf>
    <xf numFmtId="43" fontId="0" fillId="0" borderId="3" xfId="15" applyBorder="1" applyAlignment="1">
      <alignment/>
    </xf>
    <xf numFmtId="43" fontId="0" fillId="0" borderId="2" xfId="15" applyBorder="1" applyAlignment="1">
      <alignment/>
    </xf>
    <xf numFmtId="167" fontId="0" fillId="0" borderId="3" xfId="15" applyNumberFormat="1" applyBorder="1" applyAlignment="1">
      <alignment/>
    </xf>
    <xf numFmtId="169" fontId="0" fillId="0" borderId="3" xfId="17" applyNumberFormat="1" applyBorder="1" applyAlignment="1">
      <alignment/>
    </xf>
    <xf numFmtId="0" fontId="2" fillId="0" borderId="24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67" fontId="0" fillId="0" borderId="3" xfId="15" applyNumberFormat="1" applyFill="1" applyBorder="1" applyAlignment="1">
      <alignment/>
    </xf>
    <xf numFmtId="167" fontId="0" fillId="0" borderId="6" xfId="15" applyNumberFormat="1" applyFill="1" applyBorder="1" applyAlignment="1">
      <alignment/>
    </xf>
    <xf numFmtId="10" fontId="0" fillId="0" borderId="3" xfId="22" applyNumberFormat="1" applyFill="1" applyBorder="1" applyAlignment="1">
      <alignment/>
    </xf>
    <xf numFmtId="167" fontId="0" fillId="0" borderId="3" xfId="15" applyNumberFormat="1" applyBorder="1" applyAlignment="1">
      <alignment horizontal="center"/>
    </xf>
    <xf numFmtId="0" fontId="4" fillId="0" borderId="0" xfId="0" applyFont="1" applyFill="1" applyAlignment="1">
      <alignment/>
    </xf>
    <xf numFmtId="0" fontId="19" fillId="0" borderId="5" xfId="0" applyFont="1" applyFill="1" applyBorder="1" applyAlignment="1">
      <alignment/>
    </xf>
    <xf numFmtId="167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167" fontId="0" fillId="0" borderId="2" xfId="0" applyNumberFormat="1" applyFont="1" applyBorder="1" applyAlignment="1">
      <alignment/>
    </xf>
    <xf numFmtId="171" fontId="14" fillId="0" borderId="3" xfId="0" applyNumberFormat="1" applyFont="1" applyBorder="1" applyAlignment="1">
      <alignment/>
    </xf>
    <xf numFmtId="0" fontId="1" fillId="3" borderId="3" xfId="0" applyNumberFormat="1" applyFont="1" applyFill="1" applyBorder="1" applyAlignment="1">
      <alignment horizontal="center"/>
    </xf>
    <xf numFmtId="167" fontId="1" fillId="2" borderId="2" xfId="15" applyNumberFormat="1" applyFont="1" applyFill="1" applyBorder="1" applyAlignment="1">
      <alignment/>
    </xf>
    <xf numFmtId="0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165" fontId="1" fillId="2" borderId="1" xfId="0" applyNumberFormat="1" applyFont="1" applyFill="1" applyBorder="1" applyAlignment="1">
      <alignment/>
    </xf>
    <xf numFmtId="165" fontId="0" fillId="0" borderId="0" xfId="0" applyNumberFormat="1" applyBorder="1" applyAlignment="1">
      <alignment/>
    </xf>
    <xf numFmtId="0" fontId="3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0" fontId="1" fillId="2" borderId="1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169" fontId="0" fillId="0" borderId="6" xfId="17" applyNumberFormat="1" applyBorder="1" applyAlignment="1">
      <alignment/>
    </xf>
    <xf numFmtId="167" fontId="0" fillId="0" borderId="12" xfId="15" applyNumberFormat="1" applyBorder="1" applyAlignment="1">
      <alignment/>
    </xf>
    <xf numFmtId="167" fontId="0" fillId="0" borderId="0" xfId="15" applyNumberFormat="1" applyAlignment="1">
      <alignment/>
    </xf>
    <xf numFmtId="171" fontId="0" fillId="0" borderId="12" xfId="22" applyNumberFormat="1" applyBorder="1" applyAlignment="1">
      <alignment/>
    </xf>
    <xf numFmtId="0" fontId="19" fillId="0" borderId="0" xfId="0" applyFont="1" applyFill="1" applyAlignment="1">
      <alignment/>
    </xf>
    <xf numFmtId="167" fontId="0" fillId="0" borderId="0" xfId="15" applyNumberFormat="1" applyBorder="1" applyAlignment="1">
      <alignment/>
    </xf>
    <xf numFmtId="0" fontId="21" fillId="0" borderId="0" xfId="0" applyFont="1" applyBorder="1" applyAlignment="1">
      <alignment/>
    </xf>
    <xf numFmtId="0" fontId="21" fillId="0" borderId="8" xfId="0" applyFont="1" applyBorder="1" applyAlignment="1">
      <alignment horizontal="center"/>
    </xf>
    <xf numFmtId="167" fontId="21" fillId="0" borderId="3" xfId="15" applyNumberFormat="1" applyFont="1" applyBorder="1" applyAlignment="1">
      <alignment horizontal="center"/>
    </xf>
    <xf numFmtId="169" fontId="0" fillId="0" borderId="2" xfId="17" applyNumberFormat="1" applyBorder="1" applyAlignment="1">
      <alignment/>
    </xf>
    <xf numFmtId="169" fontId="0" fillId="0" borderId="2" xfId="17" applyNumberFormat="1" applyFont="1" applyBorder="1" applyAlignment="1">
      <alignment/>
    </xf>
    <xf numFmtId="169" fontId="21" fillId="0" borderId="2" xfId="17" applyNumberFormat="1" applyFont="1" applyBorder="1" applyAlignment="1">
      <alignment/>
    </xf>
    <xf numFmtId="10" fontId="21" fillId="0" borderId="2" xfId="22" applyNumberFormat="1" applyFont="1" applyBorder="1" applyAlignment="1">
      <alignment/>
    </xf>
    <xf numFmtId="167" fontId="21" fillId="0" borderId="2" xfId="15" applyNumberFormat="1" applyFont="1" applyBorder="1" applyAlignment="1">
      <alignment/>
    </xf>
    <xf numFmtId="167" fontId="21" fillId="0" borderId="1" xfId="0" applyNumberFormat="1" applyFont="1" applyBorder="1" applyAlignment="1">
      <alignment/>
    </xf>
    <xf numFmtId="167" fontId="21" fillId="0" borderId="2" xfId="0" applyNumberFormat="1" applyFont="1" applyBorder="1" applyAlignment="1">
      <alignment/>
    </xf>
    <xf numFmtId="44" fontId="0" fillId="0" borderId="2" xfId="0" applyNumberFormat="1" applyBorder="1" applyAlignment="1">
      <alignment/>
    </xf>
    <xf numFmtId="167" fontId="21" fillId="0" borderId="6" xfId="15" applyNumberFormat="1" applyFont="1" applyBorder="1" applyAlignment="1">
      <alignment/>
    </xf>
    <xf numFmtId="167" fontId="21" fillId="0" borderId="3" xfId="15" applyNumberFormat="1" applyFont="1" applyBorder="1" applyAlignment="1">
      <alignment/>
    </xf>
    <xf numFmtId="0" fontId="21" fillId="0" borderId="2" xfId="0" applyFont="1" applyBorder="1" applyAlignment="1">
      <alignment/>
    </xf>
    <xf numFmtId="167" fontId="21" fillId="0" borderId="3" xfId="0" applyNumberFormat="1" applyFont="1" applyBorder="1" applyAlignment="1">
      <alignment/>
    </xf>
    <xf numFmtId="167" fontId="21" fillId="0" borderId="0" xfId="15" applyNumberFormat="1" applyFont="1" applyBorder="1" applyAlignment="1">
      <alignment/>
    </xf>
    <xf numFmtId="167" fontId="20" fillId="0" borderId="12" xfId="15" applyNumberFormat="1" applyFont="1" applyBorder="1" applyAlignment="1">
      <alignment/>
    </xf>
    <xf numFmtId="167" fontId="0" fillId="0" borderId="12" xfId="0" applyNumberFormat="1" applyBorder="1" applyAlignment="1">
      <alignment/>
    </xf>
    <xf numFmtId="170" fontId="0" fillId="0" borderId="12" xfId="0" applyNumberFormat="1" applyBorder="1" applyAlignment="1">
      <alignment/>
    </xf>
    <xf numFmtId="169" fontId="0" fillId="0" borderId="5" xfId="0" applyNumberFormat="1" applyFill="1" applyBorder="1" applyAlignment="1">
      <alignment/>
    </xf>
    <xf numFmtId="0" fontId="2" fillId="0" borderId="25" xfId="0" applyFont="1" applyBorder="1" applyAlignment="1">
      <alignment wrapText="1"/>
    </xf>
    <xf numFmtId="0" fontId="0" fillId="0" borderId="0" xfId="0" applyFont="1" applyFill="1" applyBorder="1" applyAlignment="1">
      <alignment/>
    </xf>
    <xf numFmtId="37" fontId="11" fillId="0" borderId="0" xfId="21" applyNumberFormat="1" applyFont="1" applyProtection="1">
      <alignment/>
      <protection/>
    </xf>
    <xf numFmtId="37" fontId="11" fillId="0" borderId="26" xfId="21" applyNumberFormat="1" applyFont="1" applyBorder="1" applyProtection="1">
      <alignment/>
      <protection/>
    </xf>
    <xf numFmtId="37" fontId="11" fillId="0" borderId="27" xfId="21" applyNumberFormat="1" applyFont="1" applyBorder="1" applyProtection="1">
      <alignment/>
      <protection/>
    </xf>
    <xf numFmtId="37" fontId="11" fillId="0" borderId="28" xfId="21" applyNumberFormat="1" applyFont="1" applyBorder="1" applyProtection="1">
      <alignment/>
      <protection/>
    </xf>
    <xf numFmtId="37" fontId="11" fillId="0" borderId="29" xfId="21" applyNumberFormat="1" applyFont="1" applyBorder="1" applyProtection="1">
      <alignment/>
      <protection/>
    </xf>
    <xf numFmtId="10" fontId="21" fillId="0" borderId="12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6" fontId="0" fillId="0" borderId="12" xfId="0" applyNumberFormat="1" applyFont="1" applyFill="1" applyBorder="1" applyAlignment="1">
      <alignment/>
    </xf>
    <xf numFmtId="6" fontId="0" fillId="0" borderId="12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167" fontId="0" fillId="0" borderId="12" xfId="15" applyNumberFormat="1" applyBorder="1" applyAlignment="1">
      <alignment/>
    </xf>
    <xf numFmtId="169" fontId="0" fillId="0" borderId="12" xfId="0" applyNumberFormat="1" applyBorder="1" applyAlignment="1">
      <alignment/>
    </xf>
    <xf numFmtId="169" fontId="14" fillId="0" borderId="0" xfId="17" applyNumberFormat="1" applyFont="1" applyBorder="1" applyAlignment="1">
      <alignment/>
    </xf>
    <xf numFmtId="167" fontId="14" fillId="0" borderId="0" xfId="15" applyNumberFormat="1" applyFont="1" applyBorder="1" applyAlignment="1">
      <alignment/>
    </xf>
    <xf numFmtId="5" fontId="14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9" fontId="0" fillId="0" borderId="5" xfId="17" applyNumberFormat="1" applyFont="1" applyBorder="1" applyAlignment="1">
      <alignment/>
    </xf>
    <xf numFmtId="167" fontId="0" fillId="0" borderId="8" xfId="15" applyNumberFormat="1" applyBorder="1" applyAlignment="1">
      <alignment/>
    </xf>
    <xf numFmtId="169" fontId="0" fillId="0" borderId="1" xfId="17" applyNumberFormat="1" applyFill="1" applyBorder="1" applyAlignment="1">
      <alignment/>
    </xf>
    <xf numFmtId="0" fontId="2" fillId="0" borderId="8" xfId="0" applyFont="1" applyBorder="1" applyAlignment="1">
      <alignment horizontal="center"/>
    </xf>
    <xf numFmtId="167" fontId="0" fillId="0" borderId="1" xfId="17" applyNumberFormat="1" applyFont="1" applyBorder="1" applyAlignment="1">
      <alignment/>
    </xf>
    <xf numFmtId="10" fontId="0" fillId="0" borderId="2" xfId="22" applyNumberFormat="1" applyFont="1" applyBorder="1" applyAlignment="1">
      <alignment/>
    </xf>
    <xf numFmtId="167" fontId="0" fillId="0" borderId="2" xfId="15" applyNumberFormat="1" applyFont="1" applyBorder="1" applyAlignment="1">
      <alignment/>
    </xf>
    <xf numFmtId="38" fontId="0" fillId="0" borderId="2" xfId="17" applyNumberFormat="1" applyBorder="1" applyAlignment="1">
      <alignment/>
    </xf>
    <xf numFmtId="167" fontId="0" fillId="0" borderId="2" xfId="15" applyNumberFormat="1" applyFont="1" applyFill="1" applyBorder="1" applyAlignment="1">
      <alignment/>
    </xf>
    <xf numFmtId="167" fontId="0" fillId="0" borderId="3" xfId="15" applyNumberFormat="1" applyFont="1" applyBorder="1" applyAlignment="1">
      <alignment/>
    </xf>
    <xf numFmtId="169" fontId="2" fillId="0" borderId="0" xfId="17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167" fontId="2" fillId="0" borderId="12" xfId="15" applyNumberFormat="1" applyFont="1" applyFill="1" applyBorder="1" applyAlignment="1">
      <alignment/>
    </xf>
    <xf numFmtId="3" fontId="0" fillId="0" borderId="12" xfId="17" applyNumberFormat="1" applyFont="1" applyBorder="1" applyAlignment="1">
      <alignment/>
    </xf>
    <xf numFmtId="169" fontId="0" fillId="0" borderId="12" xfId="17" applyNumberFormat="1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3" fontId="7" fillId="0" borderId="6" xfId="15" applyFont="1" applyBorder="1" applyAlignment="1">
      <alignment/>
    </xf>
    <xf numFmtId="171" fontId="0" fillId="0" borderId="6" xfId="22" applyNumberFormat="1" applyFont="1" applyBorder="1" applyAlignment="1">
      <alignment/>
    </xf>
    <xf numFmtId="167" fontId="0" fillId="0" borderId="1" xfId="17" applyNumberFormat="1" applyFont="1" applyFill="1" applyBorder="1" applyAlignment="1">
      <alignment/>
    </xf>
    <xf numFmtId="0" fontId="2" fillId="0" borderId="5" xfId="0" applyFont="1" applyBorder="1" applyAlignment="1">
      <alignment horizontal="center"/>
    </xf>
    <xf numFmtId="3" fontId="0" fillId="0" borderId="3" xfId="17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/>
    </xf>
    <xf numFmtId="169" fontId="0" fillId="0" borderId="0" xfId="0" applyNumberFormat="1" applyFill="1" applyAlignment="1">
      <alignment/>
    </xf>
    <xf numFmtId="167" fontId="4" fillId="0" borderId="0" xfId="15" applyNumberFormat="1" applyFont="1" applyAlignment="1">
      <alignment/>
    </xf>
    <xf numFmtId="167" fontId="2" fillId="0" borderId="1" xfId="15" applyNumberFormat="1" applyFont="1" applyBorder="1" applyAlignment="1">
      <alignment horizontal="center"/>
    </xf>
    <xf numFmtId="167" fontId="2" fillId="0" borderId="3" xfId="15" applyNumberFormat="1" applyFont="1" applyBorder="1" applyAlignment="1">
      <alignment horizontal="center"/>
    </xf>
    <xf numFmtId="169" fontId="0" fillId="0" borderId="1" xfId="17" applyNumberFormat="1" applyBorder="1" applyAlignment="1">
      <alignment/>
    </xf>
    <xf numFmtId="43" fontId="0" fillId="0" borderId="6" xfId="15" applyBorder="1" applyAlignment="1">
      <alignment/>
    </xf>
    <xf numFmtId="167" fontId="0" fillId="0" borderId="12" xfId="15" applyNumberFormat="1" applyFont="1" applyBorder="1" applyAlignment="1">
      <alignment/>
    </xf>
    <xf numFmtId="167" fontId="2" fillId="0" borderId="0" xfId="15" applyNumberFormat="1" applyFont="1" applyFill="1" applyBorder="1" applyAlignment="1">
      <alignment/>
    </xf>
    <xf numFmtId="165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2" fillId="0" borderId="30" xfId="0" applyFont="1" applyBorder="1" applyAlignment="1">
      <alignment horizontal="center"/>
    </xf>
    <xf numFmtId="37" fontId="1" fillId="0" borderId="2" xfId="0" applyNumberFormat="1" applyFont="1" applyBorder="1" applyAlignment="1">
      <alignment/>
    </xf>
    <xf numFmtId="37" fontId="1" fillId="0" borderId="3" xfId="0" applyNumberFormat="1" applyFont="1" applyBorder="1" applyAlignment="1">
      <alignment/>
    </xf>
    <xf numFmtId="165" fontId="1" fillId="0" borderId="3" xfId="0" applyNumberFormat="1" applyFont="1" applyFill="1" applyBorder="1" applyAlignment="1">
      <alignment/>
    </xf>
    <xf numFmtId="169" fontId="0" fillId="0" borderId="6" xfId="0" applyNumberFormat="1" applyFont="1" applyBorder="1" applyAlignment="1">
      <alignment/>
    </xf>
    <xf numFmtId="167" fontId="0" fillId="0" borderId="6" xfId="15" applyNumberFormat="1" applyFont="1" applyBorder="1" applyAlignment="1">
      <alignment/>
    </xf>
    <xf numFmtId="167" fontId="0" fillId="0" borderId="2" xfId="15" applyNumberFormat="1" applyFont="1" applyBorder="1" applyAlignment="1">
      <alignment/>
    </xf>
    <xf numFmtId="169" fontId="0" fillId="0" borderId="3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6" xfId="0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7" fontId="17" fillId="0" borderId="0" xfId="15" applyNumberFormat="1" applyFont="1" applyAlignment="1">
      <alignment/>
    </xf>
    <xf numFmtId="165" fontId="10" fillId="0" borderId="0" xfId="0" applyNumberFormat="1" applyFont="1" applyAlignment="1">
      <alignment/>
    </xf>
    <xf numFmtId="167" fontId="23" fillId="0" borderId="0" xfId="15" applyNumberFormat="1" applyFont="1" applyAlignment="1">
      <alignment/>
    </xf>
    <xf numFmtId="167" fontId="0" fillId="0" borderId="3" xfId="15" applyNumberFormat="1" applyFont="1" applyFill="1" applyBorder="1" applyAlignment="1">
      <alignment/>
    </xf>
    <xf numFmtId="167" fontId="0" fillId="0" borderId="0" xfId="15" applyNumberFormat="1" applyFont="1" applyFill="1" applyAlignment="1">
      <alignment/>
    </xf>
    <xf numFmtId="0" fontId="7" fillId="0" borderId="2" xfId="0" applyFont="1" applyBorder="1" applyAlignment="1">
      <alignment horizontal="center"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167" fontId="0" fillId="0" borderId="12" xfId="15" applyNumberForma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5" fillId="0" borderId="30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3" fontId="2" fillId="0" borderId="4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74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8 of 09 TCR_12-5-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19050</xdr:colOff>
      <xdr:row>15</xdr:row>
      <xdr:rowOff>0</xdr:rowOff>
    </xdr:from>
    <xdr:ext cx="38100" cy="28575"/>
    <xdr:sp>
      <xdr:nvSpPr>
        <xdr:cNvPr id="1" name="TextBox 1"/>
        <xdr:cNvSpPr txBox="1">
          <a:spLocks noChangeArrowheads="1"/>
        </xdr:cNvSpPr>
      </xdr:nvSpPr>
      <xdr:spPr>
        <a:xfrm>
          <a:off x="2066925" y="2495550"/>
          <a:ext cx="38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M47"/>
  <sheetViews>
    <sheetView tabSelected="1" zoomScale="80" zoomScaleNormal="80" workbookViewId="0" topLeftCell="A1">
      <pane xSplit="1" ySplit="4" topLeftCell="B5" activePane="bottomRight" state="frozen"/>
      <selection pane="topLeft" activeCell="B42" sqref="B42"/>
      <selection pane="topRight" activeCell="B42" sqref="B42"/>
      <selection pane="bottomLeft" activeCell="B42" sqref="B42"/>
      <selection pane="bottomRight" activeCell="G19" sqref="G19"/>
    </sheetView>
  </sheetViews>
  <sheetFormatPr defaultColWidth="9.140625" defaultRowHeight="12.75"/>
  <cols>
    <col min="1" max="1" width="8.7109375" style="0" customWidth="1"/>
    <col min="2" max="10" width="14.140625" style="0" customWidth="1"/>
    <col min="11" max="11" width="13.8515625" style="0" customWidth="1"/>
    <col min="12" max="12" width="14.00390625" style="0" customWidth="1"/>
    <col min="13" max="13" width="14.28125" style="0" customWidth="1"/>
  </cols>
  <sheetData>
    <row r="1" spans="1:11" ht="18">
      <c r="A1" s="349" t="s">
        <v>98</v>
      </c>
      <c r="B1" s="350"/>
      <c r="C1" s="350"/>
      <c r="D1" s="350"/>
      <c r="E1" s="350"/>
      <c r="F1" s="350"/>
      <c r="G1" s="350"/>
      <c r="H1" s="350"/>
      <c r="I1" s="350"/>
      <c r="J1" s="350"/>
      <c r="K1" s="351"/>
    </row>
    <row r="2" spans="1:11" ht="15.75">
      <c r="A2" s="352" t="s">
        <v>175</v>
      </c>
      <c r="B2" s="353"/>
      <c r="C2" s="353"/>
      <c r="D2" s="353"/>
      <c r="E2" s="353"/>
      <c r="F2" s="353"/>
      <c r="G2" s="353"/>
      <c r="H2" s="353"/>
      <c r="I2" s="353"/>
      <c r="J2" s="353"/>
      <c r="K2" s="354"/>
    </row>
    <row r="3" spans="1:11" ht="15">
      <c r="A3" s="204"/>
      <c r="B3" s="205"/>
      <c r="C3" s="205"/>
      <c r="D3" s="205"/>
      <c r="E3" s="205"/>
      <c r="F3" s="205"/>
      <c r="G3" s="205"/>
      <c r="H3" s="205"/>
      <c r="I3" s="205" t="s">
        <v>118</v>
      </c>
      <c r="J3" s="205"/>
      <c r="K3" s="106" t="s">
        <v>2</v>
      </c>
    </row>
    <row r="4" spans="1:11" ht="15">
      <c r="A4" s="3"/>
      <c r="B4" s="9" t="s">
        <v>3</v>
      </c>
      <c r="C4" s="9" t="s">
        <v>185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125</v>
      </c>
      <c r="I4" s="232" t="s">
        <v>169</v>
      </c>
      <c r="J4" s="9" t="s">
        <v>8</v>
      </c>
      <c r="K4" s="107" t="s">
        <v>9</v>
      </c>
    </row>
    <row r="5" spans="1:13" ht="15">
      <c r="A5" s="4" t="s">
        <v>0</v>
      </c>
      <c r="B5" s="5">
        <f>SUM(CSR!D5)</f>
        <v>8910</v>
      </c>
      <c r="C5" s="5">
        <f>+SREA!F5</f>
        <v>5164</v>
      </c>
      <c r="D5" s="5">
        <f>SUM(CIT!D5)</f>
        <v>5036</v>
      </c>
      <c r="E5" s="5">
        <f>+'CC'!B5</f>
        <v>94226</v>
      </c>
      <c r="F5" s="5">
        <f>SUM(OD!B5)</f>
        <v>11289</v>
      </c>
      <c r="G5" s="5">
        <f>SUM(ORS!D5)</f>
        <v>12810</v>
      </c>
      <c r="H5" s="5">
        <f>SUM(ORF!D5)</f>
        <v>2054</v>
      </c>
      <c r="I5" s="5">
        <f>SUM(NSABB!D5)</f>
        <v>304</v>
      </c>
      <c r="J5" s="5">
        <f>SUM('Reserve '!D5)</f>
        <v>570</v>
      </c>
      <c r="K5" s="108">
        <f aca="true" t="shared" si="0" ref="K5:K37">SUM(B5:J5)</f>
        <v>140363</v>
      </c>
      <c r="L5" s="83"/>
      <c r="M5" s="83"/>
    </row>
    <row r="6" spans="1:13" ht="15">
      <c r="A6" s="4" t="s">
        <v>10</v>
      </c>
      <c r="B6" s="6">
        <f>SUM(CSR!D6)</f>
        <v>6610</v>
      </c>
      <c r="C6" s="6">
        <f>+SREA!F6</f>
        <v>5000</v>
      </c>
      <c r="D6" s="6">
        <f>SUM(CIT!D6)</f>
        <v>1242</v>
      </c>
      <c r="E6" s="6">
        <f>+'CC'!B6</f>
        <v>22787</v>
      </c>
      <c r="F6" s="6">
        <f>SUM(OD!B6)</f>
        <v>5590</v>
      </c>
      <c r="G6" s="6">
        <f>SUM(ORS!D6)</f>
        <v>3768</v>
      </c>
      <c r="H6" s="6">
        <f>SUM(ORF!D6)</f>
        <v>532</v>
      </c>
      <c r="I6" s="6">
        <f>SUM(NSABB!D6)</f>
        <v>187</v>
      </c>
      <c r="J6" s="6">
        <f>SUM('Reserve '!D6)</f>
        <v>141</v>
      </c>
      <c r="K6" s="233">
        <f t="shared" si="0"/>
        <v>45857</v>
      </c>
      <c r="L6" s="83"/>
      <c r="M6" s="83"/>
    </row>
    <row r="7" spans="1:13" ht="15">
      <c r="A7" s="4" t="s">
        <v>11</v>
      </c>
      <c r="B7" s="6">
        <f>SUM(CSR!D7)</f>
        <v>1261</v>
      </c>
      <c r="C7" s="6">
        <f>+SREA!F7</f>
        <v>633</v>
      </c>
      <c r="D7" s="6">
        <f>SUM(CIT!D7)</f>
        <v>526</v>
      </c>
      <c r="E7" s="6">
        <f>+'CC'!B7</f>
        <v>7655</v>
      </c>
      <c r="F7" s="6">
        <f>SUM(OD!B7)</f>
        <v>1215</v>
      </c>
      <c r="G7" s="6">
        <f>SUM(ORS!D7)</f>
        <v>1897</v>
      </c>
      <c r="H7" s="6">
        <f>SUM(ORF!D7)</f>
        <v>222</v>
      </c>
      <c r="I7" s="6">
        <f>SUM(NSABB!D7)</f>
        <v>25</v>
      </c>
      <c r="J7" s="6">
        <f>SUM('Reserve '!D7)</f>
        <v>60</v>
      </c>
      <c r="K7" s="233">
        <f t="shared" si="0"/>
        <v>13494</v>
      </c>
      <c r="L7" s="83"/>
      <c r="M7" s="83"/>
    </row>
    <row r="8" spans="1:13" ht="15">
      <c r="A8" s="4" t="s">
        <v>12</v>
      </c>
      <c r="B8" s="6">
        <f>SUM(CSR!D8)</f>
        <v>4855</v>
      </c>
      <c r="C8" s="6">
        <f>+SREA!F8</f>
        <v>3143</v>
      </c>
      <c r="D8" s="6">
        <f>SUM(CIT!D8)</f>
        <v>1118</v>
      </c>
      <c r="E8" s="6">
        <f>+'CC'!B8</f>
        <v>21940</v>
      </c>
      <c r="F8" s="6">
        <f>SUM(OD!B8)</f>
        <v>4807</v>
      </c>
      <c r="G8" s="6">
        <f>SUM(ORS!D8)</f>
        <v>3564</v>
      </c>
      <c r="H8" s="6">
        <f>SUM(ORF!D8)</f>
        <v>474</v>
      </c>
      <c r="I8" s="6">
        <f>SUM(NSABB!D8)</f>
        <v>119</v>
      </c>
      <c r="J8" s="6">
        <f>SUM('Reserve '!D8)</f>
        <v>127</v>
      </c>
      <c r="K8" s="233">
        <f t="shared" si="0"/>
        <v>40147</v>
      </c>
      <c r="L8" s="83"/>
      <c r="M8" s="83"/>
    </row>
    <row r="9" spans="1:13" ht="15">
      <c r="A9" s="4" t="s">
        <v>13</v>
      </c>
      <c r="B9" s="6">
        <f>SUM(CSR!D9)</f>
        <v>5130</v>
      </c>
      <c r="C9" s="6">
        <f>+SREA!F9</f>
        <v>2644</v>
      </c>
      <c r="D9" s="6">
        <f>SUM(CIT!D9)</f>
        <v>1053</v>
      </c>
      <c r="E9" s="6">
        <f>+'CC'!B9</f>
        <v>19561</v>
      </c>
      <c r="F9" s="6">
        <f>SUM(OD!B9)</f>
        <v>4157</v>
      </c>
      <c r="G9" s="6">
        <f>SUM(ORS!D9)</f>
        <v>3410</v>
      </c>
      <c r="H9" s="6">
        <f>SUM(ORF!D9)</f>
        <v>446</v>
      </c>
      <c r="I9" s="6">
        <f>SUM(NSABB!D9)</f>
        <v>98</v>
      </c>
      <c r="J9" s="6">
        <f>SUM('Reserve '!D9)</f>
        <v>119</v>
      </c>
      <c r="K9" s="233">
        <f t="shared" si="0"/>
        <v>36618</v>
      </c>
      <c r="L9" s="83"/>
      <c r="M9" s="83"/>
    </row>
    <row r="10" spans="1:13" ht="15">
      <c r="A10" s="4" t="s">
        <v>14</v>
      </c>
      <c r="B10" s="6">
        <f>SUM(CSR!D10)</f>
        <v>7183</v>
      </c>
      <c r="C10" s="6">
        <f>+SREA!F10</f>
        <v>5832</v>
      </c>
      <c r="D10" s="6">
        <f>SUM(CIT!D10)</f>
        <v>3288</v>
      </c>
      <c r="E10" s="6">
        <f>+'CC'!B10</f>
        <v>73546</v>
      </c>
      <c r="F10" s="6">
        <f>SUM(OD!B10)</f>
        <v>8029</v>
      </c>
      <c r="G10" s="6">
        <f>SUM(ORS!D10)</f>
        <v>8139</v>
      </c>
      <c r="H10" s="6">
        <f>SUM(ORF!D10)</f>
        <v>1347</v>
      </c>
      <c r="I10" s="6">
        <f>SUM(NSABB!D10)</f>
        <v>294</v>
      </c>
      <c r="J10" s="6">
        <f>SUM('Reserve '!D10)</f>
        <v>372</v>
      </c>
      <c r="K10" s="233">
        <f t="shared" si="0"/>
        <v>108030</v>
      </c>
      <c r="L10" s="83"/>
      <c r="M10" s="83"/>
    </row>
    <row r="11" spans="1:13" ht="15">
      <c r="A11" s="4" t="s">
        <v>15</v>
      </c>
      <c r="B11" s="6">
        <f>SUM(CSR!D11)</f>
        <v>5071</v>
      </c>
      <c r="C11" s="6">
        <f>+SREA!F11</f>
        <v>3753</v>
      </c>
      <c r="D11" s="6">
        <f>SUM(CIT!D11)</f>
        <v>203</v>
      </c>
      <c r="E11" s="6">
        <f>+'CC'!B11</f>
        <v>153</v>
      </c>
      <c r="F11" s="6">
        <f>SUM(OD!B11)</f>
        <v>4263</v>
      </c>
      <c r="G11" s="6">
        <f>SUM(ORS!D11)</f>
        <v>802</v>
      </c>
      <c r="H11" s="6">
        <f>SUM(ORF!D11)</f>
        <v>94</v>
      </c>
      <c r="I11" s="6">
        <f>SUM(NSABB!D11)</f>
        <v>124</v>
      </c>
      <c r="J11" s="6">
        <f>SUM('Reserve '!D11)</f>
        <v>23</v>
      </c>
      <c r="K11" s="233">
        <f t="shared" si="0"/>
        <v>14486</v>
      </c>
      <c r="L11" s="83"/>
      <c r="M11" s="83"/>
    </row>
    <row r="12" spans="1:13" ht="15">
      <c r="A12" s="4" t="s">
        <v>16</v>
      </c>
      <c r="B12" s="6">
        <f>SUM(CSR!D12)</f>
        <v>4174</v>
      </c>
      <c r="C12" s="6">
        <f>+SREA!F12</f>
        <v>1746</v>
      </c>
      <c r="D12" s="6">
        <f>SUM(CIT!D12)</f>
        <v>1263</v>
      </c>
      <c r="E12" s="6">
        <f>+'CC'!B12</f>
        <v>21502</v>
      </c>
      <c r="F12" s="6">
        <f>SUM(OD!B12)</f>
        <v>3529</v>
      </c>
      <c r="G12" s="6">
        <f>SUM(ORS!D12)</f>
        <v>3856</v>
      </c>
      <c r="H12" s="6">
        <f>SUM(ORF!D12)</f>
        <v>534</v>
      </c>
      <c r="I12" s="6">
        <f>SUM(NSABB!D12)</f>
        <v>81</v>
      </c>
      <c r="J12" s="6">
        <f>SUM('Reserve '!D12)</f>
        <v>143</v>
      </c>
      <c r="K12" s="233">
        <f t="shared" si="0"/>
        <v>36828</v>
      </c>
      <c r="L12" s="83"/>
      <c r="M12" s="83"/>
    </row>
    <row r="13" spans="1:13" ht="15">
      <c r="A13" s="4" t="s">
        <v>17</v>
      </c>
      <c r="B13" s="6">
        <f>SUM(CSR!D13)</f>
        <v>1455</v>
      </c>
      <c r="C13" s="6">
        <f>+SREA!F13</f>
        <v>1028</v>
      </c>
      <c r="D13" s="6">
        <f>SUM(CIT!D13)</f>
        <v>489</v>
      </c>
      <c r="E13" s="6">
        <f>+'CC'!B13</f>
        <v>9008</v>
      </c>
      <c r="F13" s="6">
        <f>SUM(OD!B13)</f>
        <v>1742</v>
      </c>
      <c r="G13" s="6">
        <f>SUM(ORS!D13)</f>
        <v>1666</v>
      </c>
      <c r="H13" s="6">
        <f>SUM(ORF!D13)</f>
        <v>206</v>
      </c>
      <c r="I13" s="6">
        <f>SUM(NSABB!D13)</f>
        <v>43</v>
      </c>
      <c r="J13" s="6">
        <f>SUM('Reserve '!D13)</f>
        <v>55</v>
      </c>
      <c r="K13" s="233">
        <f t="shared" si="0"/>
        <v>15692</v>
      </c>
      <c r="L13" s="83"/>
      <c r="M13" s="83"/>
    </row>
    <row r="14" spans="1:13" ht="15">
      <c r="A14" s="4" t="s">
        <v>18</v>
      </c>
      <c r="B14" s="6">
        <f>SUM(CSR!D14)</f>
        <v>1057</v>
      </c>
      <c r="C14" s="6">
        <f>+SREA!F14</f>
        <v>603</v>
      </c>
      <c r="D14" s="6">
        <f>SUM(CIT!D14)</f>
        <v>1383</v>
      </c>
      <c r="E14" s="6">
        <f>+'CC'!B14</f>
        <v>17668</v>
      </c>
      <c r="F14" s="6">
        <f>SUM(OD!B14)</f>
        <v>2143</v>
      </c>
      <c r="G14" s="6">
        <f>SUM(ORS!D14)</f>
        <v>1388</v>
      </c>
      <c r="H14" s="6">
        <f>SUM(ORF!D14)</f>
        <v>426</v>
      </c>
      <c r="I14" s="6">
        <f>SUM(NSABB!D14)</f>
        <v>41</v>
      </c>
      <c r="J14" s="6">
        <f>SUM('Reserve '!D14)</f>
        <v>157</v>
      </c>
      <c r="K14" s="233">
        <f t="shared" si="0"/>
        <v>24866</v>
      </c>
      <c r="L14" s="83"/>
      <c r="M14" s="83"/>
    </row>
    <row r="15" spans="1:13" ht="15">
      <c r="A15" s="4" t="s">
        <v>19</v>
      </c>
      <c r="B15" s="6">
        <f>SUM(CSR!D15)</f>
        <v>2966</v>
      </c>
      <c r="C15" s="6">
        <f>+SREA!F15</f>
        <v>1723</v>
      </c>
      <c r="D15" s="6">
        <f>SUM(CIT!D15)</f>
        <v>922</v>
      </c>
      <c r="E15" s="6">
        <f>+'CC'!B15</f>
        <v>7629</v>
      </c>
      <c r="F15" s="6">
        <f>SUM(OD!B15)</f>
        <v>2724</v>
      </c>
      <c r="G15" s="6">
        <f>SUM(ORS!D15)</f>
        <v>1331</v>
      </c>
      <c r="H15" s="6">
        <f>SUM(ORF!D15)</f>
        <v>317</v>
      </c>
      <c r="I15" s="6">
        <f>SUM(NSABB!D15)</f>
        <v>67</v>
      </c>
      <c r="J15" s="6">
        <f>SUM('Reserve '!D15)</f>
        <v>104</v>
      </c>
      <c r="K15" s="233">
        <f t="shared" si="0"/>
        <v>17783</v>
      </c>
      <c r="L15" s="83"/>
      <c r="M15" s="83"/>
    </row>
    <row r="16" spans="1:13" ht="15">
      <c r="A16" s="4" t="s">
        <v>20</v>
      </c>
      <c r="B16" s="6">
        <f>SUM(CSR!D16)</f>
        <v>1748</v>
      </c>
      <c r="C16" s="6">
        <f>+SREA!F16</f>
        <v>836</v>
      </c>
      <c r="D16" s="6">
        <f>SUM(CIT!D16)</f>
        <v>406</v>
      </c>
      <c r="E16" s="6">
        <f>+'CC'!B16</f>
        <v>6810</v>
      </c>
      <c r="F16" s="6">
        <f>SUM(OD!B16)</f>
        <v>1556</v>
      </c>
      <c r="G16" s="6">
        <f>SUM(ORS!D16)</f>
        <v>1320</v>
      </c>
      <c r="H16" s="6">
        <f>SUM(ORF!D16)</f>
        <v>173</v>
      </c>
      <c r="I16" s="6">
        <f>SUM(NSABB!D16)</f>
        <v>32</v>
      </c>
      <c r="J16" s="6">
        <f>SUM('Reserve '!D16)</f>
        <v>46</v>
      </c>
      <c r="K16" s="233">
        <f t="shared" si="0"/>
        <v>12927</v>
      </c>
      <c r="L16" s="83"/>
      <c r="M16" s="83"/>
    </row>
    <row r="17" spans="1:13" ht="15">
      <c r="A17" s="4" t="s">
        <v>21</v>
      </c>
      <c r="B17" s="6">
        <f>SUM(CSR!D17)</f>
        <v>1080</v>
      </c>
      <c r="C17" s="6">
        <f>+SREA!F17</f>
        <v>699</v>
      </c>
      <c r="D17" s="6">
        <f>SUM(CIT!D17)</f>
        <v>272</v>
      </c>
      <c r="E17" s="6">
        <f>+'CC'!B17</f>
        <v>4718</v>
      </c>
      <c r="F17" s="6">
        <f>SUM(OD!B17)</f>
        <v>1162</v>
      </c>
      <c r="G17" s="6">
        <f>SUM(ORS!D17)</f>
        <v>722</v>
      </c>
      <c r="H17" s="6">
        <f>SUM(ORF!D17)</f>
        <v>115</v>
      </c>
      <c r="I17" s="6">
        <f>SUM(NSABB!D17)</f>
        <v>25</v>
      </c>
      <c r="J17" s="6">
        <f>SUM('Reserve '!D17)</f>
        <v>31</v>
      </c>
      <c r="K17" s="233">
        <f t="shared" si="0"/>
        <v>8824</v>
      </c>
      <c r="L17" s="83"/>
      <c r="M17" s="83"/>
    </row>
    <row r="18" spans="1:13" ht="15">
      <c r="A18" s="4" t="s">
        <v>22</v>
      </c>
      <c r="B18" s="6">
        <f>SUM(CSR!D18)</f>
        <v>4007</v>
      </c>
      <c r="C18" s="6">
        <f>+SREA!F18</f>
        <v>2072</v>
      </c>
      <c r="D18" s="6">
        <f>SUM(CIT!D18)</f>
        <v>1263</v>
      </c>
      <c r="E18" s="6">
        <f>+'CC'!B18</f>
        <v>23672</v>
      </c>
      <c r="F18" s="6">
        <f>SUM(OD!B18)</f>
        <v>4093</v>
      </c>
      <c r="G18" s="6">
        <f>SUM(ORS!D18)</f>
        <v>3845</v>
      </c>
      <c r="H18" s="6">
        <f>SUM(ORF!D18)</f>
        <v>535</v>
      </c>
      <c r="I18" s="6">
        <f>SUM(NSABB!D18)</f>
        <v>90</v>
      </c>
      <c r="J18" s="6">
        <f>SUM('Reserve '!D18)</f>
        <v>143</v>
      </c>
      <c r="K18" s="233">
        <f t="shared" si="0"/>
        <v>39720</v>
      </c>
      <c r="L18" s="83"/>
      <c r="M18" s="83"/>
    </row>
    <row r="19" spans="1:13" ht="15">
      <c r="A19" s="4" t="s">
        <v>23</v>
      </c>
      <c r="B19" s="6">
        <f>SUM(CSR!D19)</f>
        <v>2643</v>
      </c>
      <c r="C19" s="6">
        <f>+SREA!F19</f>
        <v>1456</v>
      </c>
      <c r="D19" s="6">
        <f>SUM(CIT!D19)</f>
        <v>758</v>
      </c>
      <c r="E19" s="6">
        <f>+'CC'!B19</f>
        <v>4897</v>
      </c>
      <c r="F19" s="6">
        <f>SUM(OD!B19)</f>
        <v>2483</v>
      </c>
      <c r="G19" s="6">
        <f>SUM(ORS!D19)</f>
        <v>1086</v>
      </c>
      <c r="H19" s="6">
        <f>SUM(ORF!D19)</f>
        <v>277</v>
      </c>
      <c r="I19" s="6">
        <f>SUM(NSABB!D19)</f>
        <v>64</v>
      </c>
      <c r="J19" s="6">
        <f>SUM('Reserve '!D19)</f>
        <v>86</v>
      </c>
      <c r="K19" s="233">
        <f t="shared" si="0"/>
        <v>13750</v>
      </c>
      <c r="L19" s="83"/>
      <c r="M19" s="83"/>
    </row>
    <row r="20" spans="1:13" ht="15">
      <c r="A20" s="4" t="s">
        <v>24</v>
      </c>
      <c r="B20" s="6">
        <f>SUM(CSR!D20)</f>
        <v>980</v>
      </c>
      <c r="C20" s="6">
        <f>+SREA!F20</f>
        <v>663</v>
      </c>
      <c r="D20" s="6">
        <f>SUM(CIT!D20)</f>
        <v>327</v>
      </c>
      <c r="E20" s="6">
        <f>+'CC'!B20</f>
        <v>6286</v>
      </c>
      <c r="F20" s="6">
        <f>SUM(OD!B20)</f>
        <v>1183</v>
      </c>
      <c r="G20" s="6">
        <f>SUM(ORS!D20)</f>
        <v>699</v>
      </c>
      <c r="H20" s="6">
        <f>SUM(ORF!D20)</f>
        <v>140</v>
      </c>
      <c r="I20" s="6">
        <f>SUM(NSABB!D20)</f>
        <v>28</v>
      </c>
      <c r="J20" s="6">
        <f>SUM('Reserve '!D20)</f>
        <v>37</v>
      </c>
      <c r="K20" s="233">
        <f t="shared" si="0"/>
        <v>10343</v>
      </c>
      <c r="L20" s="83"/>
      <c r="M20" s="83"/>
    </row>
    <row r="21" spans="1:13" ht="15">
      <c r="A21" s="4" t="s">
        <v>25</v>
      </c>
      <c r="B21" s="6">
        <f>SUM(CSR!D21)</f>
        <v>530</v>
      </c>
      <c r="C21" s="6">
        <f>+SREA!F21</f>
        <v>260</v>
      </c>
      <c r="D21" s="6">
        <f>SUM(CIT!D21)</f>
        <v>64</v>
      </c>
      <c r="E21" s="6">
        <f>+'CC'!B21</f>
        <v>445</v>
      </c>
      <c r="F21" s="6">
        <f>SUM(OD!B21)</f>
        <v>373</v>
      </c>
      <c r="G21" s="6">
        <f>SUM(ORS!D21)</f>
        <v>207</v>
      </c>
      <c r="H21" s="6">
        <f>SUM(ORF!D21)</f>
        <v>29</v>
      </c>
      <c r="I21" s="6">
        <f>SUM(NSABB!D21)</f>
        <v>9</v>
      </c>
      <c r="J21" s="6">
        <f>SUM('Reserve '!D21)</f>
        <v>7</v>
      </c>
      <c r="K21" s="233">
        <f t="shared" si="0"/>
        <v>1924</v>
      </c>
      <c r="L21" s="83"/>
      <c r="M21" s="83"/>
    </row>
    <row r="22" spans="1:13" ht="15">
      <c r="A22" s="4" t="s">
        <v>26</v>
      </c>
      <c r="B22" s="6">
        <f>SUM(CSR!D22)</f>
        <v>446</v>
      </c>
      <c r="C22" s="6">
        <f>+SREA!F22</f>
        <v>370</v>
      </c>
      <c r="D22" s="6">
        <f>SUM(CIT!D22)</f>
        <v>583</v>
      </c>
      <c r="E22" s="6">
        <f>+'CC'!B22</f>
        <v>13055</v>
      </c>
      <c r="F22" s="6">
        <f>SUM(OD!B22)</f>
        <v>950</v>
      </c>
      <c r="G22" s="6">
        <f>SUM(ORS!D22)</f>
        <v>1768</v>
      </c>
      <c r="H22" s="6">
        <f>SUM(ORF!D22)</f>
        <v>243</v>
      </c>
      <c r="I22" s="6">
        <f>SUM(NSABB!D22)</f>
        <v>31</v>
      </c>
      <c r="J22" s="6">
        <f>SUM('Reserve '!D22)</f>
        <v>66</v>
      </c>
      <c r="K22" s="233">
        <f t="shared" si="0"/>
        <v>17512</v>
      </c>
      <c r="L22" s="83"/>
      <c r="M22" s="83"/>
    </row>
    <row r="23" spans="1:13" ht="15">
      <c r="A23" s="4" t="s">
        <v>27</v>
      </c>
      <c r="B23" s="6">
        <f>SUM(CSR!D23)</f>
        <v>1528</v>
      </c>
      <c r="C23" s="6">
        <f>+SREA!F23</f>
        <v>545</v>
      </c>
      <c r="D23" s="6">
        <f>SUM(CIT!D23)</f>
        <v>82</v>
      </c>
      <c r="E23" s="6">
        <f>+'CC'!B23</f>
        <v>1270</v>
      </c>
      <c r="F23" s="6">
        <f>SUM(OD!B23)</f>
        <v>769</v>
      </c>
      <c r="G23" s="6">
        <f>SUM(ORS!D23)</f>
        <v>219</v>
      </c>
      <c r="H23" s="6">
        <f>SUM(ORF!D23)</f>
        <v>38</v>
      </c>
      <c r="I23" s="6">
        <f>SUM(NSABB!D23)</f>
        <v>19</v>
      </c>
      <c r="J23" s="6">
        <f>SUM('Reserve '!D23)</f>
        <v>9</v>
      </c>
      <c r="K23" s="233">
        <f t="shared" si="0"/>
        <v>4479</v>
      </c>
      <c r="L23" s="83"/>
      <c r="M23" s="83"/>
    </row>
    <row r="24" spans="1:13" ht="15">
      <c r="A24" s="4" t="s">
        <v>28</v>
      </c>
      <c r="B24" s="6">
        <f>SUM(CSR!D24)</f>
        <v>426</v>
      </c>
      <c r="C24" s="6">
        <f>+SREA!F24</f>
        <v>181</v>
      </c>
      <c r="D24" s="6">
        <f>SUM(CIT!D24)</f>
        <v>145</v>
      </c>
      <c r="E24" s="6">
        <f>+'CC'!B24</f>
        <v>0</v>
      </c>
      <c r="F24" s="6">
        <f>SUM(OD!B24)</f>
        <v>1015</v>
      </c>
      <c r="G24" s="6">
        <f>SUM(ORS!D24)</f>
        <v>321</v>
      </c>
      <c r="H24" s="6">
        <f>SUM(ORF!D24)</f>
        <v>66</v>
      </c>
      <c r="I24" s="6">
        <f>SUM(NSABB!D24)</f>
        <v>71</v>
      </c>
      <c r="J24" s="6">
        <f>SUM('Reserve '!D24)</f>
        <v>16</v>
      </c>
      <c r="K24" s="233">
        <f t="shared" si="0"/>
        <v>2241</v>
      </c>
      <c r="L24" s="83"/>
      <c r="M24" s="83"/>
    </row>
    <row r="25" spans="1:13" ht="15">
      <c r="A25" s="4" t="s">
        <v>29</v>
      </c>
      <c r="B25" s="6">
        <f>SUM(CSR!D25)</f>
        <v>834</v>
      </c>
      <c r="C25" s="6">
        <f>+SREA!F25</f>
        <v>187</v>
      </c>
      <c r="D25" s="6">
        <f>SUM(CIT!D25)</f>
        <v>120</v>
      </c>
      <c r="E25" s="6">
        <f>+'CC'!B25</f>
        <v>986</v>
      </c>
      <c r="F25" s="6">
        <f>SUM(OD!B25)</f>
        <v>437</v>
      </c>
      <c r="G25" s="6">
        <f>SUM(ORS!D25)</f>
        <v>345</v>
      </c>
      <c r="H25" s="6">
        <f>SUM(ORF!D25)</f>
        <v>53</v>
      </c>
      <c r="I25" s="6">
        <f>SUM(NSABB!D25)</f>
        <v>8</v>
      </c>
      <c r="J25" s="6">
        <f>SUM('Reserve '!D25)</f>
        <v>14</v>
      </c>
      <c r="K25" s="233">
        <f t="shared" si="0"/>
        <v>2984</v>
      </c>
      <c r="L25" s="83"/>
      <c r="M25" s="83"/>
    </row>
    <row r="26" spans="1:13" ht="15">
      <c r="A26" s="4" t="s">
        <v>30</v>
      </c>
      <c r="B26" s="6">
        <f>SUM(CSR!D26)</f>
        <v>0</v>
      </c>
      <c r="C26" s="6">
        <f>+SREA!F26</f>
        <v>16</v>
      </c>
      <c r="D26" s="6">
        <f>SUM(CIT!D26)</f>
        <v>40</v>
      </c>
      <c r="E26" s="6">
        <f>+'CC'!B26</f>
        <v>306</v>
      </c>
      <c r="F26" s="6">
        <f>SUM(OD!B26)</f>
        <v>191</v>
      </c>
      <c r="G26" s="6">
        <f>SUM(ORS!D26)</f>
        <v>84</v>
      </c>
      <c r="H26" s="6">
        <f>SUM(ORF!D26)</f>
        <v>18</v>
      </c>
      <c r="I26" s="6">
        <f>SUM(NSABB!D26)</f>
        <v>12</v>
      </c>
      <c r="J26" s="6">
        <f>SUM('Reserve '!D26)</f>
        <v>4</v>
      </c>
      <c r="K26" s="233">
        <f t="shared" si="0"/>
        <v>671</v>
      </c>
      <c r="L26" s="83"/>
      <c r="M26" s="83"/>
    </row>
    <row r="27" spans="1:13" ht="15">
      <c r="A27" s="4" t="s">
        <v>31</v>
      </c>
      <c r="B27" s="6">
        <f>SUM(CSR!D27)</f>
        <v>446</v>
      </c>
      <c r="C27" s="6">
        <f>+SREA!F27</f>
        <v>35</v>
      </c>
      <c r="D27" s="6">
        <f>SUM(CIT!D27)</f>
        <v>80</v>
      </c>
      <c r="E27" s="6">
        <f>+'CC'!B27</f>
        <v>0</v>
      </c>
      <c r="F27" s="6">
        <f>SUM(OD!B27)</f>
        <v>410</v>
      </c>
      <c r="G27" s="6">
        <f>SUM(ORS!D27)</f>
        <v>307</v>
      </c>
      <c r="H27" s="6">
        <f>SUM(ORF!D27)</f>
        <v>36</v>
      </c>
      <c r="I27" s="6">
        <f>SUM(NSABB!D27)</f>
        <v>4</v>
      </c>
      <c r="J27" s="6">
        <f>SUM('Reserve '!D27)</f>
        <v>9</v>
      </c>
      <c r="K27" s="233">
        <f t="shared" si="0"/>
        <v>1327</v>
      </c>
      <c r="L27" s="83"/>
      <c r="M27" s="83"/>
    </row>
    <row r="28" spans="1:13" ht="15">
      <c r="A28" s="4" t="s">
        <v>32</v>
      </c>
      <c r="B28" s="6">
        <f>SUM(CSR!D28)</f>
        <v>222</v>
      </c>
      <c r="C28" s="6">
        <f>+SREA!F28</f>
        <v>0</v>
      </c>
      <c r="D28" s="6">
        <f>SUM(CIT!D28)</f>
        <v>1425</v>
      </c>
      <c r="E28" s="6">
        <f>+'CC'!B28</f>
        <v>8</v>
      </c>
      <c r="F28" s="6">
        <f>SUM(OD!B28)</f>
        <v>1734</v>
      </c>
      <c r="G28" s="6">
        <f>SUM(ORS!D28)</f>
        <v>4064</v>
      </c>
      <c r="H28" s="6">
        <f>SUM(ORF!D28)</f>
        <v>588</v>
      </c>
      <c r="I28" s="6">
        <f>SUM(NSABB!D28)</f>
        <v>20</v>
      </c>
      <c r="J28" s="6">
        <f>SUM('Reserve '!D28)</f>
        <v>161</v>
      </c>
      <c r="K28" s="233">
        <f t="shared" si="0"/>
        <v>8222</v>
      </c>
      <c r="L28" s="83"/>
      <c r="M28" s="83"/>
    </row>
    <row r="29" spans="1:13" ht="15">
      <c r="A29" s="4" t="s">
        <v>33</v>
      </c>
      <c r="B29" s="6">
        <f>SUM(CSR!D29)</f>
        <v>0</v>
      </c>
      <c r="C29" s="6">
        <v>0</v>
      </c>
      <c r="D29" s="6">
        <f>SUM(CIT!D29)</f>
        <v>318</v>
      </c>
      <c r="E29" s="6">
        <f>+'CC'!B29</f>
        <v>186</v>
      </c>
      <c r="F29" s="6">
        <f>SUM(OD!E29)</f>
        <v>0</v>
      </c>
      <c r="G29" s="6">
        <f>SUM(ORS!D29)</f>
        <v>1124</v>
      </c>
      <c r="H29" s="6">
        <f>SUM(ORF!D29)</f>
        <v>132</v>
      </c>
      <c r="I29" s="6">
        <f>SUM(NSABB!D29)</f>
        <v>0</v>
      </c>
      <c r="J29" s="6">
        <f>SUM('Reserve '!D29)</f>
        <v>0</v>
      </c>
      <c r="K29" s="233">
        <f t="shared" si="0"/>
        <v>1760</v>
      </c>
      <c r="L29" s="83"/>
      <c r="M29" s="83"/>
    </row>
    <row r="30" spans="1:13" ht="15">
      <c r="A30" s="4" t="s">
        <v>6</v>
      </c>
      <c r="B30" s="6">
        <f>SUM(CSR!D30)</f>
        <v>0</v>
      </c>
      <c r="C30" s="6">
        <v>0</v>
      </c>
      <c r="D30" s="6">
        <f>SUM(CIT!D30)</f>
        <v>0</v>
      </c>
      <c r="E30" s="6">
        <f>+'CC'!B30</f>
        <v>0</v>
      </c>
      <c r="F30" s="6">
        <f>SUM(OD!E30)</f>
        <v>0</v>
      </c>
      <c r="G30" s="6">
        <f>SUM(ORS!D30)</f>
        <v>1008</v>
      </c>
      <c r="H30" s="6">
        <f>SUM(ORF!D30)</f>
        <v>205</v>
      </c>
      <c r="I30" s="6">
        <f>SUM(NSABB!D30)</f>
        <v>0</v>
      </c>
      <c r="J30" s="6">
        <f>SUM('Reserve '!D30)</f>
        <v>0</v>
      </c>
      <c r="K30" s="108">
        <f t="shared" si="0"/>
        <v>1213</v>
      </c>
      <c r="L30" s="83"/>
      <c r="M30" s="83"/>
    </row>
    <row r="31" spans="1:13" ht="15">
      <c r="A31" s="4" t="s">
        <v>45</v>
      </c>
      <c r="B31" s="6">
        <f>SUM(CSR!D31)</f>
        <v>0</v>
      </c>
      <c r="C31" s="6">
        <v>0</v>
      </c>
      <c r="D31" s="6">
        <f>SUM(CIT!D31)</f>
        <v>0</v>
      </c>
      <c r="E31" s="6">
        <f>+'CC'!B31</f>
        <v>0</v>
      </c>
      <c r="F31" s="6">
        <f>SUM(OD!E31)</f>
        <v>0</v>
      </c>
      <c r="G31" s="6">
        <f>SUM(ORS!D31)</f>
        <v>1093</v>
      </c>
      <c r="H31" s="6">
        <f>SUM(ORF!D31)</f>
        <v>223</v>
      </c>
      <c r="I31" s="6">
        <f>SUM(NSABB!D31)</f>
        <v>0</v>
      </c>
      <c r="J31" s="6">
        <f>SUM('Reserve '!D31)</f>
        <v>0</v>
      </c>
      <c r="K31" s="108">
        <f t="shared" si="0"/>
        <v>1316</v>
      </c>
      <c r="L31" s="83"/>
      <c r="M31" s="83"/>
    </row>
    <row r="32" spans="1:13" ht="15">
      <c r="A32" s="4" t="s">
        <v>34</v>
      </c>
      <c r="B32" s="6">
        <f>SUM(CSR!D32)</f>
        <v>0</v>
      </c>
      <c r="C32" s="6">
        <v>0</v>
      </c>
      <c r="D32" s="6">
        <f>SUM(CIT!D32)</f>
        <v>0</v>
      </c>
      <c r="E32" s="6">
        <f>+'CC'!B32</f>
        <v>0</v>
      </c>
      <c r="F32" s="6">
        <f>SUM(OD!E32)</f>
        <v>0</v>
      </c>
      <c r="G32" s="6">
        <f>SUM(ORS!D32)</f>
        <v>7583</v>
      </c>
      <c r="H32" s="6">
        <f>SUM(ORF!D32)</f>
        <v>908</v>
      </c>
      <c r="I32" s="6">
        <f>SUM(NSABB!D32)</f>
        <v>0</v>
      </c>
      <c r="J32" s="6">
        <f>SUM('Reserve '!D32)</f>
        <v>0</v>
      </c>
      <c r="K32" s="108">
        <f t="shared" si="0"/>
        <v>8491</v>
      </c>
      <c r="L32" s="83"/>
      <c r="M32" s="83"/>
    </row>
    <row r="33" spans="1:13" ht="15">
      <c r="A33" s="4" t="s">
        <v>3</v>
      </c>
      <c r="B33" s="6">
        <f>SUM(CSR!D33)</f>
        <v>0</v>
      </c>
      <c r="C33" s="6">
        <v>0</v>
      </c>
      <c r="D33" s="6">
        <f>SUM(CIT!D33)</f>
        <v>0</v>
      </c>
      <c r="E33" s="6">
        <f>+'CC'!B33</f>
        <v>0</v>
      </c>
      <c r="F33" s="6">
        <f>SUM(OD!E33)</f>
        <v>0</v>
      </c>
      <c r="G33" s="6">
        <f>SUM(ORS!D33)</f>
        <v>803</v>
      </c>
      <c r="H33" s="6">
        <f>SUM(ORF!D33)</f>
        <v>179</v>
      </c>
      <c r="I33" s="6">
        <f>SUM(NSABB!D33)</f>
        <v>0</v>
      </c>
      <c r="J33" s="6">
        <f>SUM('Reserve '!D33)</f>
        <v>0</v>
      </c>
      <c r="K33" s="108">
        <f t="shared" si="0"/>
        <v>982</v>
      </c>
      <c r="L33" s="83"/>
      <c r="M33" s="83"/>
    </row>
    <row r="34" spans="1:13" ht="15">
      <c r="A34" s="4" t="s">
        <v>4</v>
      </c>
      <c r="B34" s="6">
        <f>SUM(CSR!D34)</f>
        <v>0</v>
      </c>
      <c r="C34" s="6">
        <v>0</v>
      </c>
      <c r="D34" s="6">
        <f>SUM(CIT!D34)</f>
        <v>0</v>
      </c>
      <c r="E34" s="6">
        <f>+'CC'!B34</f>
        <v>0</v>
      </c>
      <c r="F34" s="6">
        <f>SUM(OD!E34)</f>
        <v>0</v>
      </c>
      <c r="G34" s="6">
        <f>SUM(ORS!D34)</f>
        <v>2211</v>
      </c>
      <c r="H34" s="6">
        <f>SUM(ORF!D34)</f>
        <v>380</v>
      </c>
      <c r="I34" s="6">
        <f>SUM(NSABB!D34)</f>
        <v>0</v>
      </c>
      <c r="J34" s="6">
        <f>SUM('Reserve '!D34)</f>
        <v>0</v>
      </c>
      <c r="K34" s="108">
        <f t="shared" si="0"/>
        <v>2591</v>
      </c>
      <c r="L34" s="83"/>
      <c r="M34" s="83"/>
    </row>
    <row r="35" spans="1:13" ht="15">
      <c r="A35" s="4" t="s">
        <v>7</v>
      </c>
      <c r="B35" s="6">
        <f>SUM(CSR!D35)</f>
        <v>0</v>
      </c>
      <c r="C35" s="6">
        <v>0</v>
      </c>
      <c r="D35" s="6">
        <f>SUM(CIT!D35)</f>
        <v>0</v>
      </c>
      <c r="E35" s="6">
        <f>+'CC'!B35</f>
        <v>0</v>
      </c>
      <c r="F35" s="6">
        <f>SUM(OD!E35)</f>
        <v>0</v>
      </c>
      <c r="G35" s="6">
        <f>SUM(ORS!D35)</f>
        <v>0</v>
      </c>
      <c r="H35" s="6">
        <f>SUM(ORF!D35)</f>
        <v>0</v>
      </c>
      <c r="I35" s="6">
        <f>SUM(NSABB!D35)</f>
        <v>0</v>
      </c>
      <c r="J35" s="6">
        <f>SUM('Reserve '!D35)</f>
        <v>0</v>
      </c>
      <c r="K35" s="108">
        <f t="shared" si="0"/>
        <v>0</v>
      </c>
      <c r="L35" s="83"/>
      <c r="M35" s="83"/>
    </row>
    <row r="36" spans="1:13" ht="15">
      <c r="A36" s="4" t="s">
        <v>106</v>
      </c>
      <c r="B36" s="6">
        <f>SUM(CSR!D36)</f>
        <v>0</v>
      </c>
      <c r="C36" s="6">
        <v>0</v>
      </c>
      <c r="D36" s="6">
        <f>SUM(CIT!D36)</f>
        <v>0</v>
      </c>
      <c r="E36" s="6">
        <f>+'CC'!B36</f>
        <v>0</v>
      </c>
      <c r="F36" s="6">
        <f>SUM(OD!E36)</f>
        <v>0</v>
      </c>
      <c r="G36" s="6">
        <f>SUM(ORS!D36)</f>
        <v>0</v>
      </c>
      <c r="H36" s="6">
        <f>SUM(ORF!D36)</f>
        <v>0</v>
      </c>
      <c r="I36" s="6">
        <f>SUM(NSABB!D36)</f>
        <v>0</v>
      </c>
      <c r="J36" s="6">
        <f>SUM('Reserve '!D36)</f>
        <v>0</v>
      </c>
      <c r="K36" s="108">
        <f t="shared" si="0"/>
        <v>0</v>
      </c>
      <c r="L36" s="83"/>
      <c r="M36" s="83"/>
    </row>
    <row r="37" spans="1:13" ht="15">
      <c r="A37" s="4" t="s">
        <v>93</v>
      </c>
      <c r="B37" s="6">
        <f>SUM(CSR!D37)</f>
        <v>0</v>
      </c>
      <c r="C37" s="6">
        <v>0</v>
      </c>
      <c r="D37" s="6">
        <f>SUM(CIT!D37)</f>
        <v>0</v>
      </c>
      <c r="E37" s="6">
        <f>+'CC'!B37</f>
        <v>0</v>
      </c>
      <c r="F37" s="6">
        <f>SUM(OD!E37)</f>
        <v>0</v>
      </c>
      <c r="G37" s="6">
        <f>SUM(ORS!D37)</f>
        <v>944</v>
      </c>
      <c r="H37" s="6">
        <f>SUM(ORF!D37)</f>
        <v>163</v>
      </c>
      <c r="I37" s="6">
        <f>SUM(NSABB!D37)</f>
        <v>0</v>
      </c>
      <c r="J37" s="6">
        <f>SUM('Reserve '!D37)</f>
        <v>0</v>
      </c>
      <c r="K37" s="108">
        <f t="shared" si="0"/>
        <v>1107</v>
      </c>
      <c r="L37" s="83"/>
      <c r="M37" s="83"/>
    </row>
    <row r="38" spans="1:11" ht="15">
      <c r="A38" s="234"/>
      <c r="B38" s="321"/>
      <c r="C38" s="235"/>
      <c r="D38" s="235"/>
      <c r="E38" s="235"/>
      <c r="F38" s="235"/>
      <c r="G38" s="235"/>
      <c r="H38" s="235"/>
      <c r="I38" s="235"/>
      <c r="J38" s="235"/>
      <c r="K38" s="236"/>
    </row>
    <row r="39" spans="1:11" ht="15.75">
      <c r="A39" s="7" t="s">
        <v>35</v>
      </c>
      <c r="B39" s="320">
        <f aca="true" t="shared" si="1" ref="B39:K39">SUM(B5:B37)</f>
        <v>63562</v>
      </c>
      <c r="C39" s="8">
        <f t="shared" si="1"/>
        <v>38589</v>
      </c>
      <c r="D39" s="8">
        <f t="shared" si="1"/>
        <v>22406</v>
      </c>
      <c r="E39" s="8">
        <f t="shared" si="1"/>
        <v>358314</v>
      </c>
      <c r="F39" s="8">
        <f t="shared" si="1"/>
        <v>65844</v>
      </c>
      <c r="G39" s="8">
        <f t="shared" si="1"/>
        <v>72384</v>
      </c>
      <c r="H39" s="8">
        <f t="shared" si="1"/>
        <v>11153</v>
      </c>
      <c r="I39" s="8">
        <f t="shared" si="1"/>
        <v>1796</v>
      </c>
      <c r="J39" s="8">
        <f t="shared" si="1"/>
        <v>2500</v>
      </c>
      <c r="K39" s="110">
        <f t="shared" si="1"/>
        <v>636548</v>
      </c>
    </row>
    <row r="40" spans="1:11" ht="12.75">
      <c r="A40" s="140" t="s">
        <v>72</v>
      </c>
      <c r="K40" s="83"/>
    </row>
    <row r="41" spans="1:11" ht="12.75">
      <c r="A41" s="142"/>
      <c r="K41" s="340"/>
    </row>
    <row r="42" spans="4:11" ht="12.75">
      <c r="D42" s="83"/>
      <c r="K42" s="30"/>
    </row>
    <row r="43" ht="12.75">
      <c r="K43" s="30"/>
    </row>
    <row r="44" ht="12.75">
      <c r="K44" s="30"/>
    </row>
    <row r="45" ht="12.75">
      <c r="K45" s="339"/>
    </row>
    <row r="46" ht="12.75">
      <c r="K46" s="30"/>
    </row>
    <row r="47" ht="12.75">
      <c r="K47" s="30"/>
    </row>
  </sheetData>
  <mergeCells count="2">
    <mergeCell ref="A1:K1"/>
    <mergeCell ref="A2:K2"/>
  </mergeCells>
  <printOptions/>
  <pageMargins left="0.75" right="0.75" top="0.54" bottom="0.59" header="0.5" footer="0.5"/>
  <pageSetup fitToHeight="1" fitToWidth="1" horizontalDpi="600" verticalDpi="600" orientation="landscape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2:D43"/>
  <sheetViews>
    <sheetView zoomScale="90" zoomScaleNormal="90" workbookViewId="0" topLeftCell="A1">
      <selection activeCell="C23" sqref="C23"/>
    </sheetView>
  </sheetViews>
  <sheetFormatPr defaultColWidth="9.140625" defaultRowHeight="12.75"/>
  <cols>
    <col min="1" max="1" width="12.140625" style="0" customWidth="1"/>
    <col min="2" max="2" width="15.57421875" style="0" customWidth="1"/>
    <col min="3" max="3" width="16.28125" style="0" customWidth="1"/>
    <col min="4" max="4" width="14.57421875" style="0" customWidth="1"/>
    <col min="6" max="6" width="9.140625" style="52" customWidth="1"/>
  </cols>
  <sheetData>
    <row r="2" ht="18">
      <c r="A2" s="22" t="s">
        <v>170</v>
      </c>
    </row>
    <row r="3" spans="1:4" ht="12.75">
      <c r="A3" s="17"/>
      <c r="B3" s="355" t="s">
        <v>35</v>
      </c>
      <c r="C3" s="356"/>
      <c r="D3" s="357"/>
    </row>
    <row r="4" spans="1:4" ht="12.75">
      <c r="A4" s="15"/>
      <c r="B4" s="19" t="s">
        <v>36</v>
      </c>
      <c r="C4" s="19" t="s">
        <v>37</v>
      </c>
      <c r="D4" s="20" t="s">
        <v>38</v>
      </c>
    </row>
    <row r="5" spans="1:4" ht="12.75">
      <c r="A5" s="4" t="s">
        <v>0</v>
      </c>
      <c r="B5" s="49">
        <f>SUM(PB!B6)</f>
        <v>4718949</v>
      </c>
      <c r="C5" s="48">
        <f>+B5/$B$38</f>
        <v>0.17005577666328797</v>
      </c>
      <c r="D5" s="51">
        <f>ROUND(C5*$D$43,0)-1</f>
        <v>304</v>
      </c>
    </row>
    <row r="6" spans="1:4" ht="12.75">
      <c r="A6" s="4" t="s">
        <v>10</v>
      </c>
      <c r="B6" s="46">
        <f>SUM(PB!B7)</f>
        <v>2886949</v>
      </c>
      <c r="C6" s="48">
        <f aca="true" t="shared" si="0" ref="C6:C28">+B6/$B$38</f>
        <v>0.10403637640125006</v>
      </c>
      <c r="D6" s="46">
        <f>ROUND(C6*$D$43,0)</f>
        <v>187</v>
      </c>
    </row>
    <row r="7" spans="1:4" ht="12.75">
      <c r="A7" s="4" t="s">
        <v>11</v>
      </c>
      <c r="B7" s="46">
        <f>SUM(PB!B8)</f>
        <v>384591</v>
      </c>
      <c r="C7" s="48">
        <f t="shared" si="0"/>
        <v>0.013859425309048812</v>
      </c>
      <c r="D7" s="46">
        <f aca="true" t="shared" si="1" ref="D7:D28">ROUND(C7*$D$43,0)</f>
        <v>25</v>
      </c>
    </row>
    <row r="8" spans="1:4" ht="12.75">
      <c r="A8" s="4" t="s">
        <v>12</v>
      </c>
      <c r="B8" s="46">
        <f>SUM(PB!B9)</f>
        <v>1835581</v>
      </c>
      <c r="C8" s="48">
        <f t="shared" si="0"/>
        <v>0.06614844800894751</v>
      </c>
      <c r="D8" s="46">
        <f t="shared" si="1"/>
        <v>119</v>
      </c>
    </row>
    <row r="9" spans="1:4" ht="12.75">
      <c r="A9" s="4" t="s">
        <v>13</v>
      </c>
      <c r="B9" s="46">
        <f>SUM(PB!B10)</f>
        <v>1516815</v>
      </c>
      <c r="C9" s="48">
        <f t="shared" si="0"/>
        <v>0.05466114443693398</v>
      </c>
      <c r="D9" s="46">
        <f t="shared" si="1"/>
        <v>98</v>
      </c>
    </row>
    <row r="10" spans="1:4" ht="12.75">
      <c r="A10" s="4" t="s">
        <v>14</v>
      </c>
      <c r="B10" s="46">
        <f>SUM(PB!B11)</f>
        <v>4535889</v>
      </c>
      <c r="C10" s="48">
        <f t="shared" si="0"/>
        <v>0.16345888178775922</v>
      </c>
      <c r="D10" s="46">
        <f t="shared" si="1"/>
        <v>294</v>
      </c>
    </row>
    <row r="11" spans="1:4" ht="12.75">
      <c r="A11" s="4" t="s">
        <v>15</v>
      </c>
      <c r="B11" s="46">
        <f>SUM(PB!B12)</f>
        <v>1915939</v>
      </c>
      <c r="C11" s="48">
        <f t="shared" si="0"/>
        <v>0.06904429242284316</v>
      </c>
      <c r="D11" s="46">
        <f t="shared" si="1"/>
        <v>124</v>
      </c>
    </row>
    <row r="12" spans="1:4" ht="12.75">
      <c r="A12" s="4" t="s">
        <v>16</v>
      </c>
      <c r="B12" s="46">
        <f>SUM(PB!B13)</f>
        <v>1248264</v>
      </c>
      <c r="C12" s="48">
        <f t="shared" si="0"/>
        <v>0.04498342830168805</v>
      </c>
      <c r="D12" s="46">
        <f t="shared" si="1"/>
        <v>81</v>
      </c>
    </row>
    <row r="13" spans="1:4" ht="12.75">
      <c r="A13" s="4" t="s">
        <v>17</v>
      </c>
      <c r="B13" s="46">
        <f>SUM(PB!B14)</f>
        <v>659035</v>
      </c>
      <c r="C13" s="48">
        <f t="shared" si="0"/>
        <v>0.023749506250923667</v>
      </c>
      <c r="D13" s="46">
        <f t="shared" si="1"/>
        <v>43</v>
      </c>
    </row>
    <row r="14" spans="1:4" ht="12.75">
      <c r="A14" s="4" t="s">
        <v>18</v>
      </c>
      <c r="B14" s="46">
        <f>SUM(PB!B15)</f>
        <v>628978</v>
      </c>
      <c r="C14" s="48">
        <f t="shared" si="0"/>
        <v>0.022666348437781706</v>
      </c>
      <c r="D14" s="46">
        <f t="shared" si="1"/>
        <v>41</v>
      </c>
    </row>
    <row r="15" spans="1:4" ht="12.75">
      <c r="A15" s="4" t="s">
        <v>19</v>
      </c>
      <c r="B15" s="46">
        <f>SUM(PB!B16)</f>
        <v>1033365</v>
      </c>
      <c r="C15" s="48">
        <f t="shared" si="0"/>
        <v>0.037239158052282104</v>
      </c>
      <c r="D15" s="46">
        <f t="shared" si="1"/>
        <v>67</v>
      </c>
    </row>
    <row r="16" spans="1:4" ht="12.75">
      <c r="A16" s="4" t="s">
        <v>20</v>
      </c>
      <c r="B16" s="46">
        <f>SUM(PB!B17)</f>
        <v>501396</v>
      </c>
      <c r="C16" s="48">
        <f t="shared" si="0"/>
        <v>0.01806870262761177</v>
      </c>
      <c r="D16" s="46">
        <f t="shared" si="1"/>
        <v>32</v>
      </c>
    </row>
    <row r="17" spans="1:4" ht="12.75">
      <c r="A17" s="4" t="s">
        <v>21</v>
      </c>
      <c r="B17" s="46">
        <f>SUM(PB!B18)</f>
        <v>388507</v>
      </c>
      <c r="C17" s="48">
        <f t="shared" si="0"/>
        <v>0.014000545380787972</v>
      </c>
      <c r="D17" s="46">
        <f t="shared" si="1"/>
        <v>25</v>
      </c>
    </row>
    <row r="18" spans="1:4" ht="12.75">
      <c r="A18" s="4" t="s">
        <v>22</v>
      </c>
      <c r="B18" s="46">
        <f>SUM(PB!B19)</f>
        <v>1386920</v>
      </c>
      <c r="C18" s="48">
        <f t="shared" si="0"/>
        <v>0.049980145530254164</v>
      </c>
      <c r="D18" s="46">
        <f t="shared" si="1"/>
        <v>90</v>
      </c>
    </row>
    <row r="19" spans="1:4" ht="12.75">
      <c r="A19" s="4" t="s">
        <v>23</v>
      </c>
      <c r="B19" s="46">
        <f>SUM(PB!B20)</f>
        <v>987195</v>
      </c>
      <c r="C19" s="48">
        <f t="shared" si="0"/>
        <v>0.035575339433232815</v>
      </c>
      <c r="D19" s="46">
        <f t="shared" si="1"/>
        <v>64</v>
      </c>
    </row>
    <row r="20" spans="1:4" ht="12.75">
      <c r="A20" s="4" t="s">
        <v>24</v>
      </c>
      <c r="B20" s="46">
        <f>SUM(PB!B21)</f>
        <v>430760</v>
      </c>
      <c r="C20" s="48">
        <f t="shared" si="0"/>
        <v>0.015523207891307561</v>
      </c>
      <c r="D20" s="46">
        <f t="shared" si="1"/>
        <v>28</v>
      </c>
    </row>
    <row r="21" spans="1:4" ht="12.75">
      <c r="A21" s="4" t="s">
        <v>25</v>
      </c>
      <c r="B21" s="46">
        <f>SUM(PB!B22)</f>
        <v>135992</v>
      </c>
      <c r="C21" s="48">
        <f t="shared" si="0"/>
        <v>0.00490071521857809</v>
      </c>
      <c r="D21" s="46">
        <f t="shared" si="1"/>
        <v>9</v>
      </c>
    </row>
    <row r="22" spans="1:4" ht="12.75">
      <c r="A22" s="4" t="s">
        <v>26</v>
      </c>
      <c r="B22" s="46">
        <f>SUM(PB!B23)</f>
        <v>478036</v>
      </c>
      <c r="C22" s="48">
        <f t="shared" si="0"/>
        <v>0.017226883200689717</v>
      </c>
      <c r="D22" s="46">
        <f t="shared" si="1"/>
        <v>31</v>
      </c>
    </row>
    <row r="23" spans="1:4" ht="12.75">
      <c r="A23" s="4" t="s">
        <v>27</v>
      </c>
      <c r="B23" s="46">
        <f>SUM(PB!B24)</f>
        <v>296526</v>
      </c>
      <c r="C23" s="48">
        <f t="shared" si="0"/>
        <v>0.010685845350491843</v>
      </c>
      <c r="D23" s="46">
        <f t="shared" si="1"/>
        <v>19</v>
      </c>
    </row>
    <row r="24" spans="1:4" ht="12.75">
      <c r="A24" s="4" t="s">
        <v>28</v>
      </c>
      <c r="B24" s="46">
        <f>SUM(PB!B25)</f>
        <v>1097723</v>
      </c>
      <c r="C24" s="48">
        <f t="shared" si="0"/>
        <v>0.03955841381760101</v>
      </c>
      <c r="D24" s="46">
        <f t="shared" si="1"/>
        <v>71</v>
      </c>
    </row>
    <row r="25" spans="1:4" ht="12.75">
      <c r="A25" s="4" t="s">
        <v>29</v>
      </c>
      <c r="B25" s="46">
        <f>SUM(PB!B26)</f>
        <v>120108</v>
      </c>
      <c r="C25" s="48">
        <f t="shared" si="0"/>
        <v>0.004328306837703521</v>
      </c>
      <c r="D25" s="46">
        <f t="shared" si="1"/>
        <v>8</v>
      </c>
    </row>
    <row r="26" spans="1:4" ht="12.75">
      <c r="A26" s="4" t="s">
        <v>30</v>
      </c>
      <c r="B26" s="46">
        <f>SUM(PB!B27)</f>
        <v>191917</v>
      </c>
      <c r="C26" s="48">
        <f t="shared" si="0"/>
        <v>0.006916072729306512</v>
      </c>
      <c r="D26" s="46">
        <f t="shared" si="1"/>
        <v>12</v>
      </c>
    </row>
    <row r="27" spans="1:4" ht="12.75">
      <c r="A27" s="4" t="s">
        <v>31</v>
      </c>
      <c r="B27" s="46">
        <f>SUM(PB!B28)</f>
        <v>65716</v>
      </c>
      <c r="C27" s="48">
        <f t="shared" si="0"/>
        <v>0.002368193726866858</v>
      </c>
      <c r="D27" s="46">
        <f t="shared" si="1"/>
        <v>4</v>
      </c>
    </row>
    <row r="28" spans="1:4" ht="12.75">
      <c r="A28" s="4" t="s">
        <v>32</v>
      </c>
      <c r="B28" s="46">
        <f>SUM(PB!B29)</f>
        <v>304268</v>
      </c>
      <c r="C28" s="48">
        <f t="shared" si="0"/>
        <v>0.010964842182821918</v>
      </c>
      <c r="D28" s="46">
        <f t="shared" si="1"/>
        <v>20</v>
      </c>
    </row>
    <row r="29" spans="1:4" ht="12.75">
      <c r="A29" s="4" t="s">
        <v>33</v>
      </c>
      <c r="B29" s="46"/>
      <c r="C29" s="46"/>
      <c r="D29" s="46"/>
    </row>
    <row r="30" spans="1:4" ht="12.75">
      <c r="A30" s="4" t="s">
        <v>6</v>
      </c>
      <c r="B30" s="46"/>
      <c r="C30" s="46"/>
      <c r="D30" s="46"/>
    </row>
    <row r="31" spans="1:4" ht="12.75">
      <c r="A31" s="4" t="s">
        <v>45</v>
      </c>
      <c r="B31" s="46"/>
      <c r="C31" s="46"/>
      <c r="D31" s="46"/>
    </row>
    <row r="32" spans="1:4" ht="12.75">
      <c r="A32" s="4" t="s">
        <v>34</v>
      </c>
      <c r="B32" s="46"/>
      <c r="C32" s="46"/>
      <c r="D32" s="46"/>
    </row>
    <row r="33" spans="1:4" ht="12.75">
      <c r="A33" s="4" t="s">
        <v>3</v>
      </c>
      <c r="B33" s="46"/>
      <c r="C33" s="46"/>
      <c r="D33" s="46"/>
    </row>
    <row r="34" spans="1:4" ht="12.75">
      <c r="A34" s="4" t="s">
        <v>4</v>
      </c>
      <c r="B34" s="46"/>
      <c r="C34" s="46"/>
      <c r="D34" s="46"/>
    </row>
    <row r="35" spans="1:4" ht="12.75">
      <c r="A35" s="4" t="s">
        <v>7</v>
      </c>
      <c r="B35" s="46"/>
      <c r="C35" s="46"/>
      <c r="D35" s="46"/>
    </row>
    <row r="36" spans="1:4" ht="12.75">
      <c r="A36" s="4" t="s">
        <v>106</v>
      </c>
      <c r="B36" s="28"/>
      <c r="C36" s="28"/>
      <c r="D36" s="28"/>
    </row>
    <row r="37" spans="1:4" ht="12.75">
      <c r="A37" s="4" t="s">
        <v>93</v>
      </c>
      <c r="B37" s="92"/>
      <c r="C37" s="92"/>
      <c r="D37" s="92"/>
    </row>
    <row r="38" spans="1:4" ht="12.75">
      <c r="A38" s="99" t="s">
        <v>35</v>
      </c>
      <c r="B38" s="47">
        <f>SUM(B5:B37)</f>
        <v>27749419</v>
      </c>
      <c r="C38" s="197">
        <v>1</v>
      </c>
      <c r="D38" s="47">
        <f>SUM(D5:D37)</f>
        <v>1796</v>
      </c>
    </row>
    <row r="39" ht="12.75">
      <c r="A39" s="287" t="s">
        <v>51</v>
      </c>
    </row>
    <row r="43" ht="12.75">
      <c r="D43" s="281">
        <v>1796</v>
      </c>
    </row>
  </sheetData>
  <mergeCells count="1">
    <mergeCell ref="B3:D3"/>
  </mergeCells>
  <printOptions/>
  <pageMargins left="0.75" right="0.75" top="0.54" bottom="0.59" header="0.5" footer="0.5"/>
  <pageSetup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:G43"/>
  <sheetViews>
    <sheetView zoomScale="90" zoomScaleNormal="90" workbookViewId="0" topLeftCell="A4">
      <selection activeCell="B42" sqref="B42"/>
    </sheetView>
  </sheetViews>
  <sheetFormatPr defaultColWidth="9.140625" defaultRowHeight="12.75"/>
  <cols>
    <col min="1" max="1" width="9.7109375" style="0" customWidth="1"/>
    <col min="2" max="4" width="14.7109375" style="0" customWidth="1"/>
    <col min="5" max="5" width="2.28125" style="0" customWidth="1"/>
    <col min="6" max="6" width="13.00390625" style="0" hidden="1" customWidth="1"/>
    <col min="7" max="7" width="12.7109375" style="0" hidden="1" customWidth="1"/>
    <col min="8" max="8" width="0" style="0" hidden="1" customWidth="1"/>
  </cols>
  <sheetData>
    <row r="2" ht="18">
      <c r="A2" s="22" t="s">
        <v>92</v>
      </c>
    </row>
    <row r="3" spans="1:4" ht="12.75">
      <c r="A3" s="11"/>
      <c r="B3" s="355" t="s">
        <v>35</v>
      </c>
      <c r="C3" s="356"/>
      <c r="D3" s="357"/>
    </row>
    <row r="4" spans="1:7" ht="12.75">
      <c r="A4" s="12"/>
      <c r="B4" s="19" t="s">
        <v>36</v>
      </c>
      <c r="C4" s="19" t="s">
        <v>37</v>
      </c>
      <c r="D4" s="20" t="s">
        <v>38</v>
      </c>
      <c r="F4" s="55" t="s">
        <v>8</v>
      </c>
      <c r="G4" s="55" t="s">
        <v>112</v>
      </c>
    </row>
    <row r="5" spans="1:7" ht="12.75">
      <c r="A5" s="4" t="s">
        <v>0</v>
      </c>
      <c r="B5" s="42">
        <f>SUM(Census!H5)</f>
        <v>5219</v>
      </c>
      <c r="C5" s="43">
        <f>SUM(B5/$B$38)</f>
        <v>0.22802341838518</v>
      </c>
      <c r="D5" s="31">
        <f>ROUND(C5*$D$43,0)</f>
        <v>570</v>
      </c>
      <c r="F5" s="31">
        <f>ROUND(C5*$F$43,0)</f>
        <v>0</v>
      </c>
      <c r="G5" s="31">
        <f>ROUND(C5*$G$43,0)</f>
        <v>0</v>
      </c>
    </row>
    <row r="6" spans="1:7" ht="12.75">
      <c r="A6" s="4" t="s">
        <v>10</v>
      </c>
      <c r="B6" s="42">
        <f>SUM(Census!H6)</f>
        <v>1287</v>
      </c>
      <c r="C6" s="43">
        <f aca="true" t="shared" si="0" ref="C6:C28">SUM(B6/$B$38)</f>
        <v>0.0562303390422929</v>
      </c>
      <c r="D6" s="28">
        <f>ROUND(C6*$D$43,0)</f>
        <v>141</v>
      </c>
      <c r="F6" s="46">
        <f>ROUND(C6*$F$43,0)</f>
        <v>0</v>
      </c>
      <c r="G6" s="46">
        <f>ROUND(C6*$G$43,0)</f>
        <v>0</v>
      </c>
    </row>
    <row r="7" spans="1:7" ht="12.75">
      <c r="A7" s="4" t="s">
        <v>11</v>
      </c>
      <c r="B7" s="42">
        <f>SUM(Census!H7)</f>
        <v>545</v>
      </c>
      <c r="C7" s="43">
        <f t="shared" si="0"/>
        <v>0.0238116043341489</v>
      </c>
      <c r="D7" s="28">
        <f aca="true" t="shared" si="1" ref="D7:D28">ROUND(C7*$D$43,0)</f>
        <v>60</v>
      </c>
      <c r="F7" s="46">
        <f aca="true" t="shared" si="2" ref="F7:F27">ROUND(C7*$F$43,0)</f>
        <v>0</v>
      </c>
      <c r="G7" s="46">
        <f aca="true" t="shared" si="3" ref="G7:G28">ROUND(C7*$G$43,0)</f>
        <v>0</v>
      </c>
    </row>
    <row r="8" spans="1:7" ht="12.75">
      <c r="A8" s="4" t="s">
        <v>12</v>
      </c>
      <c r="B8" s="42">
        <f>SUM(Census!H8)</f>
        <v>1159</v>
      </c>
      <c r="C8" s="43">
        <f t="shared" si="0"/>
        <v>0.05063788885005243</v>
      </c>
      <c r="D8" s="28">
        <f t="shared" si="1"/>
        <v>127</v>
      </c>
      <c r="F8" s="46">
        <f t="shared" si="2"/>
        <v>0</v>
      </c>
      <c r="G8" s="46">
        <f t="shared" si="3"/>
        <v>0</v>
      </c>
    </row>
    <row r="9" spans="1:7" ht="12.75">
      <c r="A9" s="4" t="s">
        <v>13</v>
      </c>
      <c r="B9" s="42">
        <f>SUM(Census!H9)</f>
        <v>1091</v>
      </c>
      <c r="C9" s="43">
        <f t="shared" si="0"/>
        <v>0.047666899685424674</v>
      </c>
      <c r="D9" s="28">
        <f t="shared" si="1"/>
        <v>119</v>
      </c>
      <c r="F9" s="46">
        <f t="shared" si="2"/>
        <v>0</v>
      </c>
      <c r="G9" s="46">
        <f t="shared" si="3"/>
        <v>0</v>
      </c>
    </row>
    <row r="10" spans="1:7" ht="12.75">
      <c r="A10" s="4" t="s">
        <v>14</v>
      </c>
      <c r="B10" s="42">
        <f>SUM(Census!H10)</f>
        <v>3407</v>
      </c>
      <c r="C10" s="43">
        <f t="shared" si="0"/>
        <v>0.14885529535127578</v>
      </c>
      <c r="D10" s="28">
        <f t="shared" si="1"/>
        <v>372</v>
      </c>
      <c r="F10" s="46">
        <f t="shared" si="2"/>
        <v>0</v>
      </c>
      <c r="G10" s="46">
        <f t="shared" si="3"/>
        <v>0</v>
      </c>
    </row>
    <row r="11" spans="1:7" ht="12.75">
      <c r="A11" s="4" t="s">
        <v>15</v>
      </c>
      <c r="B11" s="42">
        <f>SUM(Census!H11)</f>
        <v>210</v>
      </c>
      <c r="C11" s="43">
        <f t="shared" si="0"/>
        <v>0.00917511359664453</v>
      </c>
      <c r="D11" s="28">
        <f t="shared" si="1"/>
        <v>23</v>
      </c>
      <c r="F11" s="46">
        <f t="shared" si="2"/>
        <v>0</v>
      </c>
      <c r="G11" s="46">
        <f t="shared" si="3"/>
        <v>0</v>
      </c>
    </row>
    <row r="12" spans="1:7" ht="12.75">
      <c r="A12" s="4" t="s">
        <v>16</v>
      </c>
      <c r="B12" s="42">
        <f>SUM(Census!H12)</f>
        <v>1309</v>
      </c>
      <c r="C12" s="43">
        <f t="shared" si="0"/>
        <v>0.05719154141908424</v>
      </c>
      <c r="D12" s="28">
        <f t="shared" si="1"/>
        <v>143</v>
      </c>
      <c r="F12" s="46">
        <f t="shared" si="2"/>
        <v>0</v>
      </c>
      <c r="G12" s="46">
        <f t="shared" si="3"/>
        <v>0</v>
      </c>
    </row>
    <row r="13" spans="1:7" ht="12.75">
      <c r="A13" s="4" t="s">
        <v>17</v>
      </c>
      <c r="B13" s="42">
        <f>SUM(Census!H13)</f>
        <v>507</v>
      </c>
      <c r="C13" s="43">
        <f t="shared" si="0"/>
        <v>0.02215134568332751</v>
      </c>
      <c r="D13" s="28">
        <f t="shared" si="1"/>
        <v>55</v>
      </c>
      <c r="F13" s="46">
        <f t="shared" si="2"/>
        <v>0</v>
      </c>
      <c r="G13" s="46">
        <f t="shared" si="3"/>
        <v>0</v>
      </c>
    </row>
    <row r="14" spans="1:7" ht="12.75">
      <c r="A14" s="4" t="s">
        <v>18</v>
      </c>
      <c r="B14" s="42">
        <f>SUM(Census!H14)</f>
        <v>1433</v>
      </c>
      <c r="C14" s="43">
        <f t="shared" si="0"/>
        <v>0.0626092275428172</v>
      </c>
      <c r="D14" s="28">
        <f t="shared" si="1"/>
        <v>157</v>
      </c>
      <c r="F14" s="46">
        <f t="shared" si="2"/>
        <v>0</v>
      </c>
      <c r="G14" s="46">
        <f t="shared" si="3"/>
        <v>0</v>
      </c>
    </row>
    <row r="15" spans="1:7" ht="12.75">
      <c r="A15" s="4" t="s">
        <v>19</v>
      </c>
      <c r="B15" s="42">
        <f>SUM(Census!H15)</f>
        <v>955</v>
      </c>
      <c r="C15" s="43">
        <f t="shared" si="0"/>
        <v>0.04172492135616917</v>
      </c>
      <c r="D15" s="28">
        <f t="shared" si="1"/>
        <v>104</v>
      </c>
      <c r="F15" s="46">
        <f t="shared" si="2"/>
        <v>0</v>
      </c>
      <c r="G15" s="46">
        <f t="shared" si="3"/>
        <v>0</v>
      </c>
    </row>
    <row r="16" spans="1:7" ht="12.75">
      <c r="A16" s="4" t="s">
        <v>20</v>
      </c>
      <c r="B16" s="42">
        <f>SUM(Census!H16)</f>
        <v>421</v>
      </c>
      <c r="C16" s="43">
        <f t="shared" si="0"/>
        <v>0.018393918210415937</v>
      </c>
      <c r="D16" s="28">
        <f t="shared" si="1"/>
        <v>46</v>
      </c>
      <c r="F16" s="46">
        <f t="shared" si="2"/>
        <v>0</v>
      </c>
      <c r="G16" s="46">
        <f t="shared" si="3"/>
        <v>0</v>
      </c>
    </row>
    <row r="17" spans="1:7" ht="12.75">
      <c r="A17" s="4" t="s">
        <v>21</v>
      </c>
      <c r="B17" s="42">
        <f>SUM(Census!H17)</f>
        <v>282</v>
      </c>
      <c r="C17" s="43">
        <f t="shared" si="0"/>
        <v>0.012320866829779797</v>
      </c>
      <c r="D17" s="28">
        <f t="shared" si="1"/>
        <v>31</v>
      </c>
      <c r="F17" s="46">
        <f t="shared" si="2"/>
        <v>0</v>
      </c>
      <c r="G17" s="46">
        <f t="shared" si="3"/>
        <v>0</v>
      </c>
    </row>
    <row r="18" spans="1:7" ht="12.75">
      <c r="A18" s="4" t="s">
        <v>22</v>
      </c>
      <c r="B18" s="42">
        <f>SUM(Census!H18)</f>
        <v>1309</v>
      </c>
      <c r="C18" s="43">
        <f t="shared" si="0"/>
        <v>0.05719154141908424</v>
      </c>
      <c r="D18" s="28">
        <f t="shared" si="1"/>
        <v>143</v>
      </c>
      <c r="F18" s="46">
        <f t="shared" si="2"/>
        <v>0</v>
      </c>
      <c r="G18" s="46">
        <f t="shared" si="3"/>
        <v>0</v>
      </c>
    </row>
    <row r="19" spans="1:7" ht="12.75">
      <c r="A19" s="4" t="s">
        <v>23</v>
      </c>
      <c r="B19" s="42">
        <f>SUM(Census!H19)</f>
        <v>785</v>
      </c>
      <c r="C19" s="43">
        <f t="shared" si="0"/>
        <v>0.03429744844459979</v>
      </c>
      <c r="D19" s="28">
        <f t="shared" si="1"/>
        <v>86</v>
      </c>
      <c r="F19" s="46">
        <f t="shared" si="2"/>
        <v>0</v>
      </c>
      <c r="G19" s="46">
        <f t="shared" si="3"/>
        <v>0</v>
      </c>
    </row>
    <row r="20" spans="1:7" ht="12.75">
      <c r="A20" s="4" t="s">
        <v>24</v>
      </c>
      <c r="B20" s="42">
        <f>SUM(Census!H20)</f>
        <v>339</v>
      </c>
      <c r="C20" s="43">
        <f t="shared" si="0"/>
        <v>0.014811254806011883</v>
      </c>
      <c r="D20" s="28">
        <f t="shared" si="1"/>
        <v>37</v>
      </c>
      <c r="F20" s="46">
        <f t="shared" si="2"/>
        <v>0</v>
      </c>
      <c r="G20" s="46">
        <f t="shared" si="3"/>
        <v>0</v>
      </c>
    </row>
    <row r="21" spans="1:7" ht="12.75">
      <c r="A21" s="4" t="s">
        <v>25</v>
      </c>
      <c r="B21" s="42">
        <f>SUM(Census!H21)</f>
        <v>66</v>
      </c>
      <c r="C21" s="43">
        <f t="shared" si="0"/>
        <v>0.0028836071303739953</v>
      </c>
      <c r="D21" s="28">
        <f t="shared" si="1"/>
        <v>7</v>
      </c>
      <c r="F21" s="46">
        <f t="shared" si="2"/>
        <v>0</v>
      </c>
      <c r="G21" s="46">
        <f t="shared" si="3"/>
        <v>0</v>
      </c>
    </row>
    <row r="22" spans="1:7" ht="12.75">
      <c r="A22" s="4" t="s">
        <v>26</v>
      </c>
      <c r="B22" s="42">
        <f>SUM(Census!H22)</f>
        <v>604</v>
      </c>
      <c r="C22" s="43">
        <f t="shared" si="0"/>
        <v>0.026389374344634745</v>
      </c>
      <c r="D22" s="28">
        <f t="shared" si="1"/>
        <v>66</v>
      </c>
      <c r="F22" s="46">
        <f t="shared" si="2"/>
        <v>0</v>
      </c>
      <c r="G22" s="46">
        <f t="shared" si="3"/>
        <v>0</v>
      </c>
    </row>
    <row r="23" spans="1:7" ht="12.75">
      <c r="A23" s="4" t="s">
        <v>27</v>
      </c>
      <c r="B23" s="42">
        <f>SUM(Census!H23)</f>
        <v>85</v>
      </c>
      <c r="C23" s="43">
        <f t="shared" si="0"/>
        <v>0.003713736455784691</v>
      </c>
      <c r="D23" s="28">
        <f t="shared" si="1"/>
        <v>9</v>
      </c>
      <c r="F23" s="46">
        <f t="shared" si="2"/>
        <v>0</v>
      </c>
      <c r="G23" s="46">
        <f t="shared" si="3"/>
        <v>0</v>
      </c>
    </row>
    <row r="24" spans="1:7" ht="12.75">
      <c r="A24" s="4" t="s">
        <v>28</v>
      </c>
      <c r="B24" s="42">
        <f>SUM(Census!H24)</f>
        <v>150</v>
      </c>
      <c r="C24" s="43">
        <f t="shared" si="0"/>
        <v>0.006553652569031807</v>
      </c>
      <c r="D24" s="28">
        <f t="shared" si="1"/>
        <v>16</v>
      </c>
      <c r="F24" s="46">
        <f t="shared" si="2"/>
        <v>0</v>
      </c>
      <c r="G24" s="46">
        <f t="shared" si="3"/>
        <v>0</v>
      </c>
    </row>
    <row r="25" spans="1:7" ht="12.75">
      <c r="A25" s="4" t="s">
        <v>29</v>
      </c>
      <c r="B25" s="42">
        <f>SUM(Census!H25)</f>
        <v>124</v>
      </c>
      <c r="C25" s="43">
        <f t="shared" si="0"/>
        <v>0.00541768612373296</v>
      </c>
      <c r="D25" s="28">
        <f t="shared" si="1"/>
        <v>14</v>
      </c>
      <c r="F25" s="46">
        <f t="shared" si="2"/>
        <v>0</v>
      </c>
      <c r="G25" s="46">
        <f t="shared" si="3"/>
        <v>0</v>
      </c>
    </row>
    <row r="26" spans="1:7" ht="12.75">
      <c r="A26" s="4" t="s">
        <v>30</v>
      </c>
      <c r="B26" s="42">
        <f>SUM(Census!H26)</f>
        <v>41</v>
      </c>
      <c r="C26" s="43">
        <f t="shared" si="0"/>
        <v>0.0017913317022020272</v>
      </c>
      <c r="D26" s="28">
        <f t="shared" si="1"/>
        <v>4</v>
      </c>
      <c r="F26" s="46">
        <f t="shared" si="2"/>
        <v>0</v>
      </c>
      <c r="G26" s="46">
        <f t="shared" si="3"/>
        <v>0</v>
      </c>
    </row>
    <row r="27" spans="1:7" ht="12.75">
      <c r="A27" s="4" t="s">
        <v>31</v>
      </c>
      <c r="B27" s="42">
        <f>SUM(Census!H27)</f>
        <v>83</v>
      </c>
      <c r="C27" s="43">
        <f t="shared" si="0"/>
        <v>0.003626354421530933</v>
      </c>
      <c r="D27" s="28">
        <f t="shared" si="1"/>
        <v>9</v>
      </c>
      <c r="F27" s="46">
        <f t="shared" si="2"/>
        <v>0</v>
      </c>
      <c r="G27" s="46">
        <f t="shared" si="3"/>
        <v>0</v>
      </c>
    </row>
    <row r="28" spans="1:7" ht="12.75">
      <c r="A28" s="4" t="s">
        <v>32</v>
      </c>
      <c r="B28" s="42">
        <f>SUM(Census!H28)</f>
        <v>1477</v>
      </c>
      <c r="C28" s="43">
        <f t="shared" si="0"/>
        <v>0.06453163229639985</v>
      </c>
      <c r="D28" s="28">
        <f t="shared" si="1"/>
        <v>161</v>
      </c>
      <c r="F28" s="46">
        <v>0</v>
      </c>
      <c r="G28" s="46">
        <f t="shared" si="3"/>
        <v>0</v>
      </c>
    </row>
    <row r="29" spans="1:7" ht="12.75">
      <c r="A29" s="4" t="s">
        <v>33</v>
      </c>
      <c r="B29" s="95"/>
      <c r="C29" s="93"/>
      <c r="D29" s="95"/>
      <c r="F29" s="46">
        <v>0</v>
      </c>
      <c r="G29" s="42">
        <v>0</v>
      </c>
    </row>
    <row r="30" spans="1:7" ht="12.75">
      <c r="A30" s="4" t="s">
        <v>6</v>
      </c>
      <c r="B30" s="95"/>
      <c r="C30" s="93"/>
      <c r="D30" s="95"/>
      <c r="F30" s="46">
        <v>0</v>
      </c>
      <c r="G30" s="42">
        <v>0</v>
      </c>
    </row>
    <row r="31" spans="1:7" ht="12.75">
      <c r="A31" s="4" t="s">
        <v>45</v>
      </c>
      <c r="B31" s="93"/>
      <c r="C31" s="93"/>
      <c r="D31" s="95"/>
      <c r="F31" s="46">
        <v>0</v>
      </c>
      <c r="G31" s="42">
        <v>0</v>
      </c>
    </row>
    <row r="32" spans="1:7" ht="12.75">
      <c r="A32" s="4" t="s">
        <v>34</v>
      </c>
      <c r="B32" s="93"/>
      <c r="C32" s="93"/>
      <c r="D32" s="93"/>
      <c r="F32" s="93">
        <v>0</v>
      </c>
      <c r="G32" s="93">
        <v>0</v>
      </c>
    </row>
    <row r="33" spans="1:7" ht="12.75">
      <c r="A33" s="4" t="s">
        <v>3</v>
      </c>
      <c r="B33" s="93"/>
      <c r="C33" s="93"/>
      <c r="D33" s="93"/>
      <c r="F33" s="93">
        <v>0</v>
      </c>
      <c r="G33" s="93">
        <v>0</v>
      </c>
    </row>
    <row r="34" spans="1:7" ht="12.75">
      <c r="A34" s="4" t="s">
        <v>4</v>
      </c>
      <c r="B34" s="93"/>
      <c r="C34" s="93"/>
      <c r="D34" s="93"/>
      <c r="F34" s="93">
        <v>0</v>
      </c>
      <c r="G34" s="93">
        <v>0</v>
      </c>
    </row>
    <row r="35" spans="1:7" ht="12.75">
      <c r="A35" s="4" t="s">
        <v>7</v>
      </c>
      <c r="B35" s="95"/>
      <c r="C35" s="95"/>
      <c r="D35" s="93"/>
      <c r="F35" s="93">
        <v>0</v>
      </c>
      <c r="G35" s="93">
        <v>0</v>
      </c>
    </row>
    <row r="36" spans="1:7" ht="12.75">
      <c r="A36" s="4" t="s">
        <v>106</v>
      </c>
      <c r="B36" s="93"/>
      <c r="C36" s="95"/>
      <c r="D36" s="93"/>
      <c r="F36" s="93">
        <v>0</v>
      </c>
      <c r="G36" s="93">
        <v>0</v>
      </c>
    </row>
    <row r="37" spans="1:7" ht="12.75">
      <c r="A37" s="4" t="s">
        <v>93</v>
      </c>
      <c r="B37" s="92"/>
      <c r="C37" s="93"/>
      <c r="D37" s="92"/>
      <c r="F37" s="92">
        <v>0</v>
      </c>
      <c r="G37" s="92">
        <v>0</v>
      </c>
    </row>
    <row r="38" spans="1:7" ht="12.75">
      <c r="A38" s="99" t="s">
        <v>35</v>
      </c>
      <c r="B38" s="40">
        <f>SUM(B5:B37)</f>
        <v>22888</v>
      </c>
      <c r="C38" s="197">
        <f>SUM(C5:C37)</f>
        <v>1</v>
      </c>
      <c r="D38" s="40">
        <f>SUM(D5:D37)</f>
        <v>2500</v>
      </c>
      <c r="F38" s="50">
        <f>SUM(F5:F37)</f>
        <v>0</v>
      </c>
      <c r="G38" s="50">
        <f>SUM(G5:G37)</f>
        <v>0</v>
      </c>
    </row>
    <row r="39" spans="1:4" ht="12.75">
      <c r="A39" s="96" t="s">
        <v>139</v>
      </c>
      <c r="D39" s="53"/>
    </row>
    <row r="40" ht="12.75">
      <c r="D40" s="53"/>
    </row>
    <row r="43" spans="4:7" ht="12.75">
      <c r="D43" s="281">
        <v>2500</v>
      </c>
      <c r="F43" s="70">
        <v>0</v>
      </c>
      <c r="G43" s="70">
        <v>0</v>
      </c>
    </row>
  </sheetData>
  <mergeCells count="1">
    <mergeCell ref="B3:D3"/>
  </mergeCells>
  <printOptions/>
  <pageMargins left="0.75" right="0.75" top="0.54" bottom="0.59" header="0.5" footer="0.5"/>
  <pageSetup horizontalDpi="600" verticalDpi="6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2:AH48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12.00390625" style="0" customWidth="1"/>
    <col min="3" max="3" width="3.8515625" style="143" customWidth="1"/>
    <col min="4" max="4" width="11.421875" style="0" customWidth="1"/>
    <col min="5" max="5" width="12.421875" style="0" customWidth="1"/>
    <col min="6" max="6" width="12.140625" style="0" customWidth="1"/>
    <col min="7" max="7" width="3.8515625" style="0" customWidth="1"/>
    <col min="8" max="8" width="10.421875" style="0" customWidth="1"/>
    <col min="9" max="9" width="15.8515625" style="0" customWidth="1"/>
    <col min="10" max="10" width="13.57421875" style="0" customWidth="1"/>
    <col min="11" max="11" width="4.28125" style="0" customWidth="1"/>
    <col min="12" max="14" width="12.140625" style="0" customWidth="1"/>
    <col min="15" max="15" width="4.421875" style="0" customWidth="1"/>
    <col min="16" max="16" width="12.421875" style="0" customWidth="1"/>
    <col min="17" max="17" width="11.140625" style="0" customWidth="1"/>
    <col min="18" max="18" width="13.140625" style="0" customWidth="1"/>
    <col min="19" max="19" width="4.140625" style="0" customWidth="1"/>
    <col min="20" max="20" width="12.28125" style="0" customWidth="1"/>
    <col min="21" max="21" width="10.28125" style="0" customWidth="1"/>
    <col min="22" max="22" width="15.00390625" style="0" customWidth="1"/>
    <col min="23" max="23" width="4.7109375" style="0" customWidth="1"/>
    <col min="24" max="24" width="12.8515625" style="0" customWidth="1"/>
    <col min="25" max="25" width="11.7109375" style="0" customWidth="1"/>
    <col min="26" max="26" width="12.8515625" style="0" customWidth="1"/>
    <col min="27" max="27" width="4.28125" style="0" customWidth="1"/>
    <col min="28" max="28" width="12.28125" style="0" customWidth="1"/>
    <col min="29" max="29" width="13.00390625" style="0" customWidth="1"/>
  </cols>
  <sheetData>
    <row r="2" spans="1:10" ht="18">
      <c r="A2" s="22" t="s">
        <v>279</v>
      </c>
      <c r="B2" s="22"/>
      <c r="C2" s="194"/>
      <c r="H2" s="22"/>
      <c r="I2" s="345"/>
      <c r="J2" s="30"/>
    </row>
    <row r="3" spans="1:34" ht="25.5">
      <c r="A3" s="11"/>
      <c r="B3" s="17"/>
      <c r="D3" s="355" t="s">
        <v>278</v>
      </c>
      <c r="E3" s="356"/>
      <c r="F3" s="357"/>
      <c r="H3" s="355" t="s">
        <v>54</v>
      </c>
      <c r="I3" s="356"/>
      <c r="J3" s="357"/>
      <c r="L3" s="355" t="s">
        <v>55</v>
      </c>
      <c r="M3" s="356"/>
      <c r="N3" s="357"/>
      <c r="P3" s="355" t="s">
        <v>281</v>
      </c>
      <c r="Q3" s="356"/>
      <c r="R3" s="357"/>
      <c r="T3" s="355" t="s">
        <v>284</v>
      </c>
      <c r="U3" s="356"/>
      <c r="V3" s="357"/>
      <c r="X3" s="355" t="s">
        <v>288</v>
      </c>
      <c r="Y3" s="356"/>
      <c r="Z3" s="357"/>
      <c r="AB3" s="268" t="s">
        <v>287</v>
      </c>
      <c r="AC3" s="363" t="s">
        <v>210</v>
      </c>
      <c r="AD3" s="364"/>
      <c r="AE3" s="365"/>
      <c r="AF3" s="363" t="s">
        <v>113</v>
      </c>
      <c r="AG3" s="364"/>
      <c r="AH3" s="365"/>
    </row>
    <row r="4" spans="1:34" ht="12.75">
      <c r="A4" s="12"/>
      <c r="B4" s="98" t="s">
        <v>35</v>
      </c>
      <c r="D4" s="19" t="s">
        <v>36</v>
      </c>
      <c r="E4" s="19" t="s">
        <v>37</v>
      </c>
      <c r="F4" s="20" t="s">
        <v>38</v>
      </c>
      <c r="H4" s="19" t="s">
        <v>36</v>
      </c>
      <c r="I4" s="121" t="s">
        <v>280</v>
      </c>
      <c r="J4" s="225" t="s">
        <v>38</v>
      </c>
      <c r="L4" s="19" t="s">
        <v>36</v>
      </c>
      <c r="M4" s="19" t="s">
        <v>37</v>
      </c>
      <c r="N4" s="20" t="s">
        <v>38</v>
      </c>
      <c r="P4" s="19" t="s">
        <v>36</v>
      </c>
      <c r="Q4" s="19" t="s">
        <v>37</v>
      </c>
      <c r="R4" s="20" t="s">
        <v>38</v>
      </c>
      <c r="T4" s="19" t="s">
        <v>36</v>
      </c>
      <c r="U4" s="19" t="s">
        <v>37</v>
      </c>
      <c r="V4" s="20" t="s">
        <v>38</v>
      </c>
      <c r="X4" s="19" t="s">
        <v>36</v>
      </c>
      <c r="Y4" s="19" t="s">
        <v>37</v>
      </c>
      <c r="Z4" s="20" t="s">
        <v>38</v>
      </c>
      <c r="AB4" s="20" t="s">
        <v>38</v>
      </c>
      <c r="AC4" s="249" t="s">
        <v>36</v>
      </c>
      <c r="AD4" s="249" t="s">
        <v>37</v>
      </c>
      <c r="AE4" s="250" t="s">
        <v>38</v>
      </c>
      <c r="AF4" s="249" t="s">
        <v>36</v>
      </c>
      <c r="AG4" s="249" t="s">
        <v>37</v>
      </c>
      <c r="AH4" s="250" t="s">
        <v>38</v>
      </c>
    </row>
    <row r="5" spans="1:34" ht="12.75">
      <c r="A5" s="4" t="s">
        <v>0</v>
      </c>
      <c r="B5" s="326">
        <f>+F5+J5+N5+R5+V5+Z5+AB5</f>
        <v>17051</v>
      </c>
      <c r="C5" s="84"/>
      <c r="D5" s="28">
        <v>10519</v>
      </c>
      <c r="E5" s="43">
        <f>SUM(D5/$D$38)</f>
        <v>0.4165940594059406</v>
      </c>
      <c r="F5" s="31">
        <f>ROUND(E5*$F$43,0)-2</f>
        <v>3692</v>
      </c>
      <c r="H5" s="15">
        <v>71</v>
      </c>
      <c r="I5" s="129">
        <v>1.87</v>
      </c>
      <c r="J5" s="31">
        <f aca="true" t="shared" si="0" ref="J5:J37">ROUND(SUM(I5*H5),0)</f>
        <v>133</v>
      </c>
      <c r="L5" s="28">
        <v>324</v>
      </c>
      <c r="M5" s="54">
        <f aca="true" t="shared" si="1" ref="M5:M25">SUM(L5/$L$38)</f>
        <v>0.1361344537815126</v>
      </c>
      <c r="N5" s="32">
        <f>ROUND(M5*N43,0)-3</f>
        <v>69</v>
      </c>
      <c r="P5" s="28">
        <v>1189049</v>
      </c>
      <c r="Q5" s="54">
        <f aca="true" t="shared" si="2" ref="Q5:Q36">SUM(P5/$P$38)</f>
        <v>0.15124365111295604</v>
      </c>
      <c r="R5" s="31">
        <f>ROUND(Q5*$R$43,0)-1</f>
        <v>1259</v>
      </c>
      <c r="T5" s="46">
        <f>SUM(Census!H5)</f>
        <v>5219</v>
      </c>
      <c r="U5" s="192">
        <f aca="true" t="shared" si="3" ref="U5:U28">SUM(T5/$T$38)</f>
        <v>0.22802341838518</v>
      </c>
      <c r="V5" s="251">
        <f aca="true" t="shared" si="4" ref="V5:V28">ROUND(U5*$V$43,0)</f>
        <v>3379</v>
      </c>
      <c r="X5" s="28">
        <f>+'FTEs &amp; onbrd'!B5</f>
        <v>2875</v>
      </c>
      <c r="Y5" s="192">
        <f aca="true" t="shared" si="5" ref="Y5:Y37">SUM(X5/$X$38)</f>
        <v>0.16476588916270274</v>
      </c>
      <c r="Z5" s="251">
        <f>ROUND(Y5*$Z$43,0)-2</f>
        <v>8091</v>
      </c>
      <c r="AB5" s="252">
        <f>ROUND(SUM(AE5*0.5)+SUM(AH5*0.5),0)-6</f>
        <v>428</v>
      </c>
      <c r="AC5" s="253">
        <v>4718949</v>
      </c>
      <c r="AD5" s="254">
        <f aca="true" t="shared" si="6" ref="AD5:AD28">SUM(AC5/$AC$38)</f>
        <v>0.17005577666328797</v>
      </c>
      <c r="AE5" s="255">
        <f>ROUND(AD5*$AE$43,0)+1</f>
        <v>371</v>
      </c>
      <c r="AF5" s="256">
        <v>5219</v>
      </c>
      <c r="AG5" s="254">
        <f aca="true" t="shared" si="7" ref="AG5:AG28">SUM(AF5/$AF$38)</f>
        <v>0.22802341838518</v>
      </c>
      <c r="AH5" s="255">
        <f>ROUND(AG5*$AH$43,)</f>
        <v>496</v>
      </c>
    </row>
    <row r="6" spans="1:34" ht="12.75">
      <c r="A6" s="4" t="s">
        <v>10</v>
      </c>
      <c r="B6" s="327">
        <f aca="true" t="shared" si="8" ref="B6:B37">+F6+J6+N6+R6+V6+Z6+AB6</f>
        <v>4462</v>
      </c>
      <c r="C6" s="84"/>
      <c r="D6" s="28">
        <v>1504</v>
      </c>
      <c r="E6" s="43">
        <f>SUM(D6/$D$38)</f>
        <v>0.05956435643564356</v>
      </c>
      <c r="F6" s="28">
        <f>ROUND(E6*$F$43,0)</f>
        <v>528</v>
      </c>
      <c r="H6" s="15">
        <v>23</v>
      </c>
      <c r="I6" s="130">
        <f aca="true" t="shared" si="9" ref="I6:I37">+I5</f>
        <v>1.87</v>
      </c>
      <c r="J6" s="28">
        <f t="shared" si="0"/>
        <v>43</v>
      </c>
      <c r="L6" s="28">
        <v>294</v>
      </c>
      <c r="M6" s="54">
        <f t="shared" si="1"/>
        <v>0.12352941176470589</v>
      </c>
      <c r="N6" s="29">
        <f aca="true" t="shared" si="10" ref="N6:N36">ROUND(M6*$N$43,0)</f>
        <v>65</v>
      </c>
      <c r="P6" s="28">
        <v>490266</v>
      </c>
      <c r="Q6" s="54">
        <f t="shared" si="2"/>
        <v>0.06236044087043049</v>
      </c>
      <c r="R6" s="29">
        <f aca="true" t="shared" si="11" ref="R6:R36">ROUND(Q6*$R$43,0)</f>
        <v>519</v>
      </c>
      <c r="T6" s="46">
        <f>SUM(Census!H6)</f>
        <v>1287</v>
      </c>
      <c r="U6" s="192">
        <f t="shared" si="3"/>
        <v>0.0562303390422929</v>
      </c>
      <c r="V6" s="156">
        <f t="shared" si="4"/>
        <v>833</v>
      </c>
      <c r="X6" s="28">
        <f>+'FTEs &amp; onbrd'!B6</f>
        <v>817</v>
      </c>
      <c r="Y6" s="192">
        <f t="shared" si="5"/>
        <v>0.046822167459453265</v>
      </c>
      <c r="Z6" s="46">
        <f aca="true" t="shared" si="12" ref="Z6:Z37">ROUND(Y6*$Z$43,0)</f>
        <v>2300</v>
      </c>
      <c r="AB6" s="156">
        <f aca="true" t="shared" si="13" ref="AB6:AB28">ROUND(SUM(AE6*0.5)+SUM(AH6*0.5),0)</f>
        <v>174</v>
      </c>
      <c r="AC6" s="255">
        <v>2886949</v>
      </c>
      <c r="AD6" s="254">
        <f t="shared" si="6"/>
        <v>0.10403637640125006</v>
      </c>
      <c r="AE6" s="255">
        <f aca="true" t="shared" si="14" ref="AE6:AE28">ROUND(AD6*$AE$43,0)</f>
        <v>226</v>
      </c>
      <c r="AF6" s="257">
        <v>1287</v>
      </c>
      <c r="AG6" s="254">
        <f t="shared" si="7"/>
        <v>0.0562303390422929</v>
      </c>
      <c r="AH6" s="255">
        <f aca="true" t="shared" si="15" ref="AH6:AH28">ROUND(AG6*$AH$43,0)</f>
        <v>122</v>
      </c>
    </row>
    <row r="7" spans="1:34" ht="12.75">
      <c r="A7" s="4" t="s">
        <v>11</v>
      </c>
      <c r="B7" s="327">
        <f t="shared" si="8"/>
        <v>1585</v>
      </c>
      <c r="C7" s="84"/>
      <c r="D7" s="28">
        <v>627</v>
      </c>
      <c r="E7" s="43">
        <f aca="true" t="shared" si="16" ref="E7:E37">SUM(D7/$D$38)</f>
        <v>0.024831683168316833</v>
      </c>
      <c r="F7" s="28">
        <f aca="true" t="shared" si="17" ref="F7:F35">ROUND(E7*$F$43,0)</f>
        <v>220</v>
      </c>
      <c r="H7" s="15">
        <v>14</v>
      </c>
      <c r="I7" s="130">
        <f t="shared" si="9"/>
        <v>1.87</v>
      </c>
      <c r="J7" s="28">
        <f t="shared" si="0"/>
        <v>26</v>
      </c>
      <c r="L7" s="28">
        <v>79</v>
      </c>
      <c r="M7" s="54">
        <f t="shared" si="1"/>
        <v>0.03319327731092437</v>
      </c>
      <c r="N7" s="29">
        <f t="shared" si="10"/>
        <v>17</v>
      </c>
      <c r="P7" s="202">
        <v>195525</v>
      </c>
      <c r="Q7" s="54">
        <f t="shared" si="2"/>
        <v>0.02487022392168929</v>
      </c>
      <c r="R7" s="29">
        <f t="shared" si="11"/>
        <v>207</v>
      </c>
      <c r="T7" s="46">
        <f>SUM(Census!H7)</f>
        <v>545</v>
      </c>
      <c r="U7" s="192">
        <f t="shared" si="3"/>
        <v>0.0238116043341489</v>
      </c>
      <c r="V7" s="156">
        <f t="shared" si="4"/>
        <v>353</v>
      </c>
      <c r="X7" s="28">
        <f>+'FTEs &amp; onbrd'!B7</f>
        <v>256</v>
      </c>
      <c r="Y7" s="192">
        <f t="shared" si="5"/>
        <v>0.014671327869791966</v>
      </c>
      <c r="Z7" s="46">
        <f t="shared" si="12"/>
        <v>721</v>
      </c>
      <c r="AB7" s="156">
        <f t="shared" si="13"/>
        <v>41</v>
      </c>
      <c r="AC7" s="255">
        <v>384591</v>
      </c>
      <c r="AD7" s="254">
        <f t="shared" si="6"/>
        <v>0.013859425309048812</v>
      </c>
      <c r="AE7" s="255">
        <f t="shared" si="14"/>
        <v>30</v>
      </c>
      <c r="AF7" s="257">
        <v>545</v>
      </c>
      <c r="AG7" s="254">
        <f t="shared" si="7"/>
        <v>0.0238116043341489</v>
      </c>
      <c r="AH7" s="255">
        <f t="shared" si="15"/>
        <v>52</v>
      </c>
    </row>
    <row r="8" spans="1:34" ht="12.75">
      <c r="A8" s="4" t="s">
        <v>12</v>
      </c>
      <c r="B8" s="327">
        <f t="shared" si="8"/>
        <v>3730</v>
      </c>
      <c r="C8" s="84"/>
      <c r="D8" s="28">
        <v>1174</v>
      </c>
      <c r="E8" s="43">
        <f t="shared" si="16"/>
        <v>0.046495049504950495</v>
      </c>
      <c r="F8" s="28">
        <f t="shared" si="17"/>
        <v>412</v>
      </c>
      <c r="H8" s="15">
        <v>25</v>
      </c>
      <c r="I8" s="130">
        <f t="shared" si="9"/>
        <v>1.87</v>
      </c>
      <c r="J8" s="28">
        <f t="shared" si="0"/>
        <v>47</v>
      </c>
      <c r="L8" s="28">
        <v>369</v>
      </c>
      <c r="M8" s="54">
        <f t="shared" si="1"/>
        <v>0.1550420168067227</v>
      </c>
      <c r="N8" s="29">
        <f t="shared" si="10"/>
        <v>82</v>
      </c>
      <c r="P8" s="202">
        <v>441418</v>
      </c>
      <c r="Q8" s="54">
        <f t="shared" si="2"/>
        <v>0.056147114195444284</v>
      </c>
      <c r="R8" s="29">
        <f t="shared" si="11"/>
        <v>468</v>
      </c>
      <c r="T8" s="46">
        <f>SUM(Census!H8)</f>
        <v>1159</v>
      </c>
      <c r="U8" s="192">
        <f t="shared" si="3"/>
        <v>0.05063788885005243</v>
      </c>
      <c r="V8" s="156">
        <f t="shared" si="4"/>
        <v>750</v>
      </c>
      <c r="X8" s="28">
        <f>+'FTEs &amp; onbrd'!B8</f>
        <v>655</v>
      </c>
      <c r="Y8" s="192">
        <f t="shared" si="5"/>
        <v>0.037537967791850535</v>
      </c>
      <c r="Z8" s="46">
        <f t="shared" si="12"/>
        <v>1844</v>
      </c>
      <c r="AB8" s="156">
        <f t="shared" si="13"/>
        <v>127</v>
      </c>
      <c r="AC8" s="255">
        <v>1835581</v>
      </c>
      <c r="AD8" s="254">
        <f t="shared" si="6"/>
        <v>0.06614844800894751</v>
      </c>
      <c r="AE8" s="255">
        <f t="shared" si="14"/>
        <v>144</v>
      </c>
      <c r="AF8" s="257">
        <v>1159</v>
      </c>
      <c r="AG8" s="254">
        <f t="shared" si="7"/>
        <v>0.05063788885005243</v>
      </c>
      <c r="AH8" s="255">
        <f t="shared" si="15"/>
        <v>110</v>
      </c>
    </row>
    <row r="9" spans="1:34" ht="12.75">
      <c r="A9" s="4" t="s">
        <v>13</v>
      </c>
      <c r="B9" s="327">
        <f t="shared" si="8"/>
        <v>3261</v>
      </c>
      <c r="C9" s="84"/>
      <c r="D9" s="28">
        <v>1122</v>
      </c>
      <c r="E9" s="43">
        <f t="shared" si="16"/>
        <v>0.044435643564356433</v>
      </c>
      <c r="F9" s="28">
        <f t="shared" si="17"/>
        <v>394</v>
      </c>
      <c r="H9" s="15">
        <v>53</v>
      </c>
      <c r="I9" s="130">
        <f t="shared" si="9"/>
        <v>1.87</v>
      </c>
      <c r="J9" s="28">
        <f t="shared" si="0"/>
        <v>99</v>
      </c>
      <c r="L9" s="28">
        <v>147</v>
      </c>
      <c r="M9" s="54">
        <f t="shared" si="1"/>
        <v>0.061764705882352944</v>
      </c>
      <c r="N9" s="29">
        <f t="shared" si="10"/>
        <v>33</v>
      </c>
      <c r="P9" s="28">
        <v>355535</v>
      </c>
      <c r="Q9" s="54">
        <f t="shared" si="2"/>
        <v>0.04522304084898505</v>
      </c>
      <c r="R9" s="29">
        <f t="shared" si="11"/>
        <v>377</v>
      </c>
      <c r="T9" s="46">
        <f>SUM(Census!H9)</f>
        <v>1091</v>
      </c>
      <c r="U9" s="192">
        <f t="shared" si="3"/>
        <v>0.047666899685424674</v>
      </c>
      <c r="V9" s="156">
        <f t="shared" si="4"/>
        <v>706</v>
      </c>
      <c r="X9" s="28">
        <f>+'FTEs &amp; onbrd'!B9</f>
        <v>547</v>
      </c>
      <c r="Y9" s="192">
        <f t="shared" si="5"/>
        <v>0.03134850134678205</v>
      </c>
      <c r="Z9" s="46">
        <f t="shared" si="12"/>
        <v>1540</v>
      </c>
      <c r="AB9" s="156">
        <f t="shared" si="13"/>
        <v>112</v>
      </c>
      <c r="AC9" s="255">
        <v>1516815</v>
      </c>
      <c r="AD9" s="254">
        <f t="shared" si="6"/>
        <v>0.05466114443693398</v>
      </c>
      <c r="AE9" s="255">
        <f t="shared" si="14"/>
        <v>119</v>
      </c>
      <c r="AF9" s="257">
        <v>1091</v>
      </c>
      <c r="AG9" s="254">
        <f t="shared" si="7"/>
        <v>0.047666899685424674</v>
      </c>
      <c r="AH9" s="255">
        <f t="shared" si="15"/>
        <v>104</v>
      </c>
    </row>
    <row r="10" spans="1:34" ht="12.75">
      <c r="A10" s="4" t="s">
        <v>14</v>
      </c>
      <c r="B10" s="327">
        <f t="shared" si="8"/>
        <v>9583</v>
      </c>
      <c r="C10" s="84"/>
      <c r="D10" s="28">
        <v>4056</v>
      </c>
      <c r="E10" s="43">
        <f t="shared" si="16"/>
        <v>0.16063366336633664</v>
      </c>
      <c r="F10" s="28">
        <f t="shared" si="17"/>
        <v>1424</v>
      </c>
      <c r="H10" s="15">
        <v>44</v>
      </c>
      <c r="I10" s="130">
        <f t="shared" si="9"/>
        <v>1.87</v>
      </c>
      <c r="J10" s="28">
        <f t="shared" si="0"/>
        <v>82</v>
      </c>
      <c r="L10" s="28">
        <v>183</v>
      </c>
      <c r="M10" s="54">
        <f t="shared" si="1"/>
        <v>0.07689075630252101</v>
      </c>
      <c r="N10" s="29">
        <f t="shared" si="10"/>
        <v>41</v>
      </c>
      <c r="P10" s="28">
        <v>826975</v>
      </c>
      <c r="Q10" s="54">
        <f t="shared" si="2"/>
        <v>0.10518886806106124</v>
      </c>
      <c r="R10" s="29">
        <f t="shared" si="11"/>
        <v>876</v>
      </c>
      <c r="T10" s="46">
        <f>SUM(Census!H10)</f>
        <v>3407</v>
      </c>
      <c r="U10" s="192">
        <f t="shared" si="3"/>
        <v>0.14885529535127578</v>
      </c>
      <c r="V10" s="156">
        <f t="shared" si="4"/>
        <v>2206</v>
      </c>
      <c r="X10" s="28">
        <f>+'FTEs &amp; onbrd'!B10</f>
        <v>1639</v>
      </c>
      <c r="Y10" s="192">
        <f t="shared" si="5"/>
        <v>0.0939308842913634</v>
      </c>
      <c r="Z10" s="46">
        <f t="shared" si="12"/>
        <v>4614</v>
      </c>
      <c r="AB10" s="156">
        <f t="shared" si="13"/>
        <v>340</v>
      </c>
      <c r="AC10" s="255">
        <v>4535889</v>
      </c>
      <c r="AD10" s="254">
        <f t="shared" si="6"/>
        <v>0.16345888178775922</v>
      </c>
      <c r="AE10" s="255">
        <f t="shared" si="14"/>
        <v>355</v>
      </c>
      <c r="AF10" s="257">
        <v>3407</v>
      </c>
      <c r="AG10" s="254">
        <f t="shared" si="7"/>
        <v>0.14885529535127578</v>
      </c>
      <c r="AH10" s="255">
        <f t="shared" si="15"/>
        <v>324</v>
      </c>
    </row>
    <row r="11" spans="1:34" ht="12.75">
      <c r="A11" s="4" t="s">
        <v>15</v>
      </c>
      <c r="B11" s="327">
        <f t="shared" si="8"/>
        <v>784</v>
      </c>
      <c r="C11" s="84"/>
      <c r="D11" s="28">
        <v>76</v>
      </c>
      <c r="E11" s="43">
        <f t="shared" si="16"/>
        <v>0.00300990099009901</v>
      </c>
      <c r="F11" s="28">
        <f t="shared" si="17"/>
        <v>27</v>
      </c>
      <c r="H11" s="93">
        <v>0</v>
      </c>
      <c r="I11" s="130">
        <f t="shared" si="9"/>
        <v>1.87</v>
      </c>
      <c r="J11" s="28">
        <f t="shared" si="0"/>
        <v>0</v>
      </c>
      <c r="L11" s="28">
        <v>220</v>
      </c>
      <c r="M11" s="54">
        <f t="shared" si="1"/>
        <v>0.09243697478991597</v>
      </c>
      <c r="N11" s="29">
        <f t="shared" si="10"/>
        <v>49</v>
      </c>
      <c r="P11" s="28">
        <v>116883</v>
      </c>
      <c r="Q11" s="54">
        <f t="shared" si="2"/>
        <v>0.014867185181633087</v>
      </c>
      <c r="R11" s="29">
        <f t="shared" si="11"/>
        <v>124</v>
      </c>
      <c r="T11" s="46">
        <f>SUM(Census!H11)</f>
        <v>210</v>
      </c>
      <c r="U11" s="192">
        <f t="shared" si="3"/>
        <v>0.00917511359664453</v>
      </c>
      <c r="V11" s="156">
        <f t="shared" si="4"/>
        <v>136</v>
      </c>
      <c r="X11" s="28">
        <f>+'FTEs &amp; onbrd'!B11</f>
        <v>129</v>
      </c>
      <c r="Y11" s="192">
        <f t="shared" si="5"/>
        <v>0.007392973809387357</v>
      </c>
      <c r="Z11" s="46">
        <f t="shared" si="12"/>
        <v>363</v>
      </c>
      <c r="AB11" s="156">
        <f t="shared" si="13"/>
        <v>85</v>
      </c>
      <c r="AC11" s="255">
        <v>1915939</v>
      </c>
      <c r="AD11" s="254">
        <f t="shared" si="6"/>
        <v>0.06904429242284316</v>
      </c>
      <c r="AE11" s="255">
        <f t="shared" si="14"/>
        <v>150</v>
      </c>
      <c r="AF11" s="257">
        <v>210</v>
      </c>
      <c r="AG11" s="254">
        <f t="shared" si="7"/>
        <v>0.00917511359664453</v>
      </c>
      <c r="AH11" s="255">
        <f t="shared" si="15"/>
        <v>20</v>
      </c>
    </row>
    <row r="12" spans="1:34" ht="12.75">
      <c r="A12" s="4" t="s">
        <v>16</v>
      </c>
      <c r="B12" s="327">
        <f t="shared" si="8"/>
        <v>3391</v>
      </c>
      <c r="C12" s="84"/>
      <c r="D12" s="28">
        <v>1184</v>
      </c>
      <c r="E12" s="43">
        <f t="shared" si="16"/>
        <v>0.04689108910891089</v>
      </c>
      <c r="F12" s="28">
        <f t="shared" si="17"/>
        <v>416</v>
      </c>
      <c r="H12" s="15">
        <v>30</v>
      </c>
      <c r="I12" s="130">
        <f t="shared" si="9"/>
        <v>1.87</v>
      </c>
      <c r="J12" s="28">
        <f t="shared" si="0"/>
        <v>56</v>
      </c>
      <c r="L12" s="64">
        <v>111</v>
      </c>
      <c r="M12" s="54">
        <f t="shared" si="1"/>
        <v>0.046638655462184875</v>
      </c>
      <c r="N12" s="29">
        <f t="shared" si="10"/>
        <v>25</v>
      </c>
      <c r="P12" s="28">
        <v>346787</v>
      </c>
      <c r="Q12" s="54">
        <f t="shared" si="2"/>
        <v>0.04411032012853018</v>
      </c>
      <c r="R12" s="29">
        <f t="shared" si="11"/>
        <v>367</v>
      </c>
      <c r="T12" s="46">
        <f>SUM(Census!H12)</f>
        <v>1309</v>
      </c>
      <c r="U12" s="192">
        <f t="shared" si="3"/>
        <v>0.05719154141908424</v>
      </c>
      <c r="V12" s="156">
        <f t="shared" si="4"/>
        <v>848</v>
      </c>
      <c r="X12" s="28">
        <f>+'FTEs &amp; onbrd'!B12</f>
        <v>557</v>
      </c>
      <c r="Y12" s="192">
        <f t="shared" si="5"/>
        <v>0.0319216000916958</v>
      </c>
      <c r="Z12" s="46">
        <f t="shared" si="12"/>
        <v>1568</v>
      </c>
      <c r="AB12" s="156">
        <f t="shared" si="13"/>
        <v>111</v>
      </c>
      <c r="AC12" s="255">
        <v>1248264</v>
      </c>
      <c r="AD12" s="254">
        <f t="shared" si="6"/>
        <v>0.04498342830168805</v>
      </c>
      <c r="AE12" s="255">
        <f t="shared" si="14"/>
        <v>98</v>
      </c>
      <c r="AF12" s="257">
        <v>1309</v>
      </c>
      <c r="AG12" s="254">
        <f t="shared" si="7"/>
        <v>0.05719154141908424</v>
      </c>
      <c r="AH12" s="255">
        <f t="shared" si="15"/>
        <v>124</v>
      </c>
    </row>
    <row r="13" spans="1:34" ht="12.75">
      <c r="A13" s="4" t="s">
        <v>17</v>
      </c>
      <c r="B13" s="327">
        <f t="shared" si="8"/>
        <v>1302</v>
      </c>
      <c r="C13" s="84"/>
      <c r="D13" s="28">
        <v>276</v>
      </c>
      <c r="E13" s="43">
        <f t="shared" si="16"/>
        <v>0.01093069306930693</v>
      </c>
      <c r="F13" s="28">
        <f t="shared" si="17"/>
        <v>97</v>
      </c>
      <c r="H13" s="15">
        <v>10</v>
      </c>
      <c r="I13" s="130">
        <f t="shared" si="9"/>
        <v>1.87</v>
      </c>
      <c r="J13" s="28">
        <f t="shared" si="0"/>
        <v>19</v>
      </c>
      <c r="L13" s="28">
        <v>57</v>
      </c>
      <c r="M13" s="54">
        <f t="shared" si="1"/>
        <v>0.023949579831932775</v>
      </c>
      <c r="N13" s="29">
        <f t="shared" si="10"/>
        <v>13</v>
      </c>
      <c r="P13" s="28">
        <v>179464</v>
      </c>
      <c r="Q13" s="54">
        <f t="shared" si="2"/>
        <v>0.022827310399601314</v>
      </c>
      <c r="R13" s="29">
        <f t="shared" si="11"/>
        <v>190</v>
      </c>
      <c r="T13" s="46">
        <f>SUM(Census!H13)</f>
        <v>507</v>
      </c>
      <c r="U13" s="192">
        <f t="shared" si="3"/>
        <v>0.02215134568332751</v>
      </c>
      <c r="V13" s="156">
        <f t="shared" si="4"/>
        <v>328</v>
      </c>
      <c r="X13" s="28">
        <f>+'FTEs &amp; onbrd'!B13</f>
        <v>215</v>
      </c>
      <c r="Y13" s="192">
        <f t="shared" si="5"/>
        <v>0.012321623015645596</v>
      </c>
      <c r="Z13" s="46">
        <f t="shared" si="12"/>
        <v>605</v>
      </c>
      <c r="AB13" s="156">
        <f t="shared" si="13"/>
        <v>50</v>
      </c>
      <c r="AC13" s="255">
        <v>659035</v>
      </c>
      <c r="AD13" s="254">
        <f t="shared" si="6"/>
        <v>0.023749506250923667</v>
      </c>
      <c r="AE13" s="255">
        <f t="shared" si="14"/>
        <v>52</v>
      </c>
      <c r="AF13" s="257">
        <v>507</v>
      </c>
      <c r="AG13" s="254">
        <f t="shared" si="7"/>
        <v>0.02215134568332751</v>
      </c>
      <c r="AH13" s="255">
        <f t="shared" si="15"/>
        <v>48</v>
      </c>
    </row>
    <row r="14" spans="1:34" ht="12.75">
      <c r="A14" s="4" t="s">
        <v>18</v>
      </c>
      <c r="B14" s="327">
        <f t="shared" si="8"/>
        <v>3483</v>
      </c>
      <c r="C14" s="84"/>
      <c r="D14" s="28">
        <v>412</v>
      </c>
      <c r="E14" s="43">
        <f t="shared" si="16"/>
        <v>0.016316831683168317</v>
      </c>
      <c r="F14" s="28">
        <f t="shared" si="17"/>
        <v>145</v>
      </c>
      <c r="H14" s="15">
        <v>18</v>
      </c>
      <c r="I14" s="130">
        <f t="shared" si="9"/>
        <v>1.87</v>
      </c>
      <c r="J14" s="28">
        <f t="shared" si="0"/>
        <v>34</v>
      </c>
      <c r="L14" s="28">
        <v>66</v>
      </c>
      <c r="M14" s="54">
        <f t="shared" si="1"/>
        <v>0.02773109243697479</v>
      </c>
      <c r="N14" s="29">
        <f t="shared" si="10"/>
        <v>15</v>
      </c>
      <c r="P14" s="28">
        <v>341700</v>
      </c>
      <c r="Q14" s="54">
        <f t="shared" si="2"/>
        <v>0.04346326819609375</v>
      </c>
      <c r="R14" s="29">
        <f t="shared" si="11"/>
        <v>362</v>
      </c>
      <c r="T14" s="46">
        <f>SUM(Census!H14)</f>
        <v>1433</v>
      </c>
      <c r="U14" s="192">
        <f t="shared" si="3"/>
        <v>0.0626092275428172</v>
      </c>
      <c r="V14" s="156">
        <f t="shared" si="4"/>
        <v>928</v>
      </c>
      <c r="X14" s="28">
        <f>+'FTEs &amp; onbrd'!B14</f>
        <v>677</v>
      </c>
      <c r="Y14" s="192">
        <f t="shared" si="5"/>
        <v>0.03879878503066078</v>
      </c>
      <c r="Z14" s="46">
        <f t="shared" si="12"/>
        <v>1906</v>
      </c>
      <c r="AB14" s="156">
        <f t="shared" si="13"/>
        <v>93</v>
      </c>
      <c r="AC14" s="255">
        <v>628978</v>
      </c>
      <c r="AD14" s="254">
        <f t="shared" si="6"/>
        <v>0.022666348437781706</v>
      </c>
      <c r="AE14" s="255">
        <f t="shared" si="14"/>
        <v>49</v>
      </c>
      <c r="AF14" s="257">
        <v>1433</v>
      </c>
      <c r="AG14" s="254">
        <f t="shared" si="7"/>
        <v>0.0626092275428172</v>
      </c>
      <c r="AH14" s="255">
        <f t="shared" si="15"/>
        <v>136</v>
      </c>
    </row>
    <row r="15" spans="1:34" ht="12.75">
      <c r="A15" s="4" t="s">
        <v>19</v>
      </c>
      <c r="B15" s="327">
        <f t="shared" si="8"/>
        <v>2391</v>
      </c>
      <c r="C15" s="84"/>
      <c r="D15" s="28">
        <v>779</v>
      </c>
      <c r="E15" s="43">
        <f t="shared" si="16"/>
        <v>0.03085148514851485</v>
      </c>
      <c r="F15" s="28">
        <f t="shared" si="17"/>
        <v>274</v>
      </c>
      <c r="H15" s="15">
        <v>18</v>
      </c>
      <c r="I15" s="130">
        <f t="shared" si="9"/>
        <v>1.87</v>
      </c>
      <c r="J15" s="28">
        <f t="shared" si="0"/>
        <v>34</v>
      </c>
      <c r="L15" s="28">
        <v>61</v>
      </c>
      <c r="M15" s="54">
        <f t="shared" si="1"/>
        <v>0.025630252100840335</v>
      </c>
      <c r="N15" s="29">
        <f t="shared" si="10"/>
        <v>14</v>
      </c>
      <c r="P15" s="28">
        <v>262826</v>
      </c>
      <c r="Q15" s="54">
        <f t="shared" si="2"/>
        <v>0.03343071971585173</v>
      </c>
      <c r="R15" s="29">
        <f t="shared" si="11"/>
        <v>278</v>
      </c>
      <c r="T15" s="46">
        <f>SUM(Census!H15)</f>
        <v>955</v>
      </c>
      <c r="U15" s="192">
        <f t="shared" si="3"/>
        <v>0.04172492135616917</v>
      </c>
      <c r="V15" s="156">
        <f t="shared" si="4"/>
        <v>618</v>
      </c>
      <c r="X15" s="28">
        <f>+'FTEs &amp; onbrd'!B15</f>
        <v>386</v>
      </c>
      <c r="Y15" s="192">
        <f t="shared" si="5"/>
        <v>0.0221216115536707</v>
      </c>
      <c r="Z15" s="46">
        <f t="shared" si="12"/>
        <v>1087</v>
      </c>
      <c r="AB15" s="156">
        <f t="shared" si="13"/>
        <v>86</v>
      </c>
      <c r="AC15" s="255">
        <v>1033365</v>
      </c>
      <c r="AD15" s="254">
        <f t="shared" si="6"/>
        <v>0.037239158052282104</v>
      </c>
      <c r="AE15" s="255">
        <f t="shared" si="14"/>
        <v>81</v>
      </c>
      <c r="AF15" s="257">
        <v>955</v>
      </c>
      <c r="AG15" s="254">
        <f t="shared" si="7"/>
        <v>0.04172492135616917</v>
      </c>
      <c r="AH15" s="255">
        <f t="shared" si="15"/>
        <v>91</v>
      </c>
    </row>
    <row r="16" spans="1:34" ht="12.75">
      <c r="A16" s="4" t="s">
        <v>20</v>
      </c>
      <c r="B16" s="327">
        <f t="shared" si="8"/>
        <v>1202</v>
      </c>
      <c r="C16" s="84"/>
      <c r="D16" s="28">
        <v>149</v>
      </c>
      <c r="E16" s="43">
        <f t="shared" si="16"/>
        <v>0.005900990099009901</v>
      </c>
      <c r="F16" s="28">
        <f t="shared" si="17"/>
        <v>52</v>
      </c>
      <c r="H16" s="15">
        <v>12</v>
      </c>
      <c r="I16" s="130">
        <f t="shared" si="9"/>
        <v>1.87</v>
      </c>
      <c r="J16" s="28">
        <f t="shared" si="0"/>
        <v>22</v>
      </c>
      <c r="L16" s="28">
        <v>157</v>
      </c>
      <c r="M16" s="54">
        <f t="shared" si="1"/>
        <v>0.06596638655462185</v>
      </c>
      <c r="N16" s="29">
        <f t="shared" si="10"/>
        <v>35</v>
      </c>
      <c r="P16" s="28">
        <v>159456</v>
      </c>
      <c r="Q16" s="54">
        <f t="shared" si="2"/>
        <v>0.020282349702886525</v>
      </c>
      <c r="R16" s="29">
        <f t="shared" si="11"/>
        <v>169</v>
      </c>
      <c r="T16" s="46">
        <f>SUM(Census!H16)</f>
        <v>421</v>
      </c>
      <c r="U16" s="192">
        <f t="shared" si="3"/>
        <v>0.018393918210415937</v>
      </c>
      <c r="V16" s="156">
        <f t="shared" si="4"/>
        <v>273</v>
      </c>
      <c r="X16" s="28">
        <f>+'FTEs &amp; onbrd'!B16</f>
        <v>217</v>
      </c>
      <c r="Y16" s="192">
        <f t="shared" si="5"/>
        <v>0.012436242764628345</v>
      </c>
      <c r="Z16" s="46">
        <f t="shared" si="12"/>
        <v>611</v>
      </c>
      <c r="AB16" s="156">
        <f t="shared" si="13"/>
        <v>40</v>
      </c>
      <c r="AC16" s="255">
        <v>501396</v>
      </c>
      <c r="AD16" s="254">
        <f t="shared" si="6"/>
        <v>0.01806870262761177</v>
      </c>
      <c r="AE16" s="255">
        <f t="shared" si="14"/>
        <v>39</v>
      </c>
      <c r="AF16" s="257">
        <v>421</v>
      </c>
      <c r="AG16" s="254">
        <f t="shared" si="7"/>
        <v>0.018393918210415937</v>
      </c>
      <c r="AH16" s="255">
        <f t="shared" si="15"/>
        <v>40</v>
      </c>
    </row>
    <row r="17" spans="1:34" ht="12.75">
      <c r="A17" s="4" t="s">
        <v>21</v>
      </c>
      <c r="B17" s="327">
        <f t="shared" si="8"/>
        <v>797</v>
      </c>
      <c r="C17" s="84"/>
      <c r="D17" s="28">
        <v>99</v>
      </c>
      <c r="E17" s="43">
        <f t="shared" si="16"/>
        <v>0.003920792079207921</v>
      </c>
      <c r="F17" s="28">
        <f t="shared" si="17"/>
        <v>35</v>
      </c>
      <c r="H17" s="15">
        <v>14</v>
      </c>
      <c r="I17" s="130">
        <f t="shared" si="9"/>
        <v>1.87</v>
      </c>
      <c r="J17" s="28">
        <f t="shared" si="0"/>
        <v>26</v>
      </c>
      <c r="L17" s="28">
        <v>42</v>
      </c>
      <c r="M17" s="54">
        <f t="shared" si="1"/>
        <v>0.01764705882352941</v>
      </c>
      <c r="N17" s="29">
        <f t="shared" si="10"/>
        <v>9</v>
      </c>
      <c r="P17" s="28">
        <v>119462</v>
      </c>
      <c r="Q17" s="54">
        <f t="shared" si="2"/>
        <v>0.015195226646888356</v>
      </c>
      <c r="R17" s="29">
        <f t="shared" si="11"/>
        <v>127</v>
      </c>
      <c r="T17" s="46">
        <f>SUM(Census!H17)</f>
        <v>282</v>
      </c>
      <c r="U17" s="192">
        <f t="shared" si="3"/>
        <v>0.012320866829779797</v>
      </c>
      <c r="V17" s="156">
        <f t="shared" si="4"/>
        <v>183</v>
      </c>
      <c r="X17" s="28">
        <f>+'FTEs &amp; onbrd'!B17</f>
        <v>138</v>
      </c>
      <c r="Y17" s="192">
        <f t="shared" si="5"/>
        <v>0.00790876267980973</v>
      </c>
      <c r="Z17" s="46">
        <f t="shared" si="12"/>
        <v>388</v>
      </c>
      <c r="AB17" s="156">
        <f t="shared" si="13"/>
        <v>29</v>
      </c>
      <c r="AC17" s="255">
        <v>388507</v>
      </c>
      <c r="AD17" s="254">
        <f t="shared" si="6"/>
        <v>0.014000545380787972</v>
      </c>
      <c r="AE17" s="255">
        <f t="shared" si="14"/>
        <v>30</v>
      </c>
      <c r="AF17" s="257">
        <v>282</v>
      </c>
      <c r="AG17" s="254">
        <f t="shared" si="7"/>
        <v>0.012320866829779797</v>
      </c>
      <c r="AH17" s="255">
        <f t="shared" si="15"/>
        <v>27</v>
      </c>
    </row>
    <row r="18" spans="1:34" ht="12.75">
      <c r="A18" s="4" t="s">
        <v>22</v>
      </c>
      <c r="B18" s="327">
        <f t="shared" si="8"/>
        <v>3483</v>
      </c>
      <c r="C18" s="84"/>
      <c r="D18" s="28">
        <v>751</v>
      </c>
      <c r="E18" s="43">
        <f t="shared" si="16"/>
        <v>0.02974257425742574</v>
      </c>
      <c r="F18" s="28">
        <f t="shared" si="17"/>
        <v>264</v>
      </c>
      <c r="H18" s="15">
        <v>34</v>
      </c>
      <c r="I18" s="130">
        <f t="shared" si="9"/>
        <v>1.87</v>
      </c>
      <c r="J18" s="28">
        <f t="shared" si="0"/>
        <v>64</v>
      </c>
      <c r="L18" s="28">
        <v>135</v>
      </c>
      <c r="M18" s="54">
        <f t="shared" si="1"/>
        <v>0.05672268907563025</v>
      </c>
      <c r="N18" s="29">
        <f t="shared" si="10"/>
        <v>30</v>
      </c>
      <c r="P18" s="28">
        <v>309096</v>
      </c>
      <c r="Q18" s="54">
        <f t="shared" si="2"/>
        <v>0.03931613212273864</v>
      </c>
      <c r="R18" s="29">
        <f t="shared" si="11"/>
        <v>327</v>
      </c>
      <c r="T18" s="46">
        <f>SUM(Census!H18)</f>
        <v>1309</v>
      </c>
      <c r="U18" s="192">
        <f t="shared" si="3"/>
        <v>0.05719154141908424</v>
      </c>
      <c r="V18" s="156">
        <f t="shared" si="4"/>
        <v>848</v>
      </c>
      <c r="X18" s="28">
        <f>+'FTEs &amp; onbrd'!B18</f>
        <v>651</v>
      </c>
      <c r="Y18" s="192">
        <f t="shared" si="5"/>
        <v>0.037308728293885034</v>
      </c>
      <c r="Z18" s="46">
        <f t="shared" si="12"/>
        <v>1833</v>
      </c>
      <c r="AB18" s="156">
        <f t="shared" si="13"/>
        <v>117</v>
      </c>
      <c r="AC18" s="255">
        <v>1386920</v>
      </c>
      <c r="AD18" s="254">
        <f t="shared" si="6"/>
        <v>0.049980145530254164</v>
      </c>
      <c r="AE18" s="255">
        <f t="shared" si="14"/>
        <v>109</v>
      </c>
      <c r="AF18" s="257">
        <v>1309</v>
      </c>
      <c r="AG18" s="254">
        <f t="shared" si="7"/>
        <v>0.05719154141908424</v>
      </c>
      <c r="AH18" s="255">
        <f t="shared" si="15"/>
        <v>124</v>
      </c>
    </row>
    <row r="19" spans="1:34" ht="12.75">
      <c r="A19" s="4" t="s">
        <v>23</v>
      </c>
      <c r="B19" s="327">
        <f t="shared" si="8"/>
        <v>1936</v>
      </c>
      <c r="C19" s="84"/>
      <c r="D19" s="28">
        <v>262</v>
      </c>
      <c r="E19" s="43">
        <f t="shared" si="16"/>
        <v>0.010376237623762377</v>
      </c>
      <c r="F19" s="28">
        <f t="shared" si="17"/>
        <v>92</v>
      </c>
      <c r="H19" s="15">
        <v>9</v>
      </c>
      <c r="I19" s="130">
        <f t="shared" si="9"/>
        <v>1.87</v>
      </c>
      <c r="J19" s="28">
        <f t="shared" si="0"/>
        <v>17</v>
      </c>
      <c r="L19" s="28">
        <v>33</v>
      </c>
      <c r="M19" s="54">
        <f t="shared" si="1"/>
        <v>0.013865546218487394</v>
      </c>
      <c r="N19" s="29">
        <f t="shared" si="10"/>
        <v>7</v>
      </c>
      <c r="P19" s="28">
        <v>181034</v>
      </c>
      <c r="Q19" s="54">
        <f t="shared" si="2"/>
        <v>0.023027009934479474</v>
      </c>
      <c r="R19" s="29">
        <f t="shared" si="11"/>
        <v>192</v>
      </c>
      <c r="T19" s="46">
        <f>SUM(Census!H19)</f>
        <v>785</v>
      </c>
      <c r="U19" s="192">
        <f t="shared" si="3"/>
        <v>0.03429744844459979</v>
      </c>
      <c r="V19" s="156">
        <f t="shared" si="4"/>
        <v>508</v>
      </c>
      <c r="X19" s="28">
        <f>+'FTEs &amp; onbrd'!B19</f>
        <v>371</v>
      </c>
      <c r="Y19" s="192">
        <f t="shared" si="5"/>
        <v>0.021261963436300074</v>
      </c>
      <c r="Z19" s="46">
        <f t="shared" si="12"/>
        <v>1044</v>
      </c>
      <c r="AB19" s="156">
        <f t="shared" si="13"/>
        <v>76</v>
      </c>
      <c r="AC19" s="255">
        <v>987195</v>
      </c>
      <c r="AD19" s="254">
        <f t="shared" si="6"/>
        <v>0.035575339433232815</v>
      </c>
      <c r="AE19" s="255">
        <f t="shared" si="14"/>
        <v>77</v>
      </c>
      <c r="AF19" s="257">
        <v>785</v>
      </c>
      <c r="AG19" s="254">
        <f t="shared" si="7"/>
        <v>0.03429744844459979</v>
      </c>
      <c r="AH19" s="255">
        <f t="shared" si="15"/>
        <v>75</v>
      </c>
    </row>
    <row r="20" spans="1:34" ht="12.75">
      <c r="A20" s="4" t="s">
        <v>24</v>
      </c>
      <c r="B20" s="327">
        <f t="shared" si="8"/>
        <v>1075</v>
      </c>
      <c r="C20" s="84"/>
      <c r="D20" s="28">
        <v>31</v>
      </c>
      <c r="E20" s="43">
        <f t="shared" si="16"/>
        <v>0.0012277227722772277</v>
      </c>
      <c r="F20" s="28">
        <f t="shared" si="17"/>
        <v>11</v>
      </c>
      <c r="H20" s="15">
        <v>6</v>
      </c>
      <c r="I20" s="130">
        <f t="shared" si="9"/>
        <v>1.87</v>
      </c>
      <c r="J20" s="28">
        <f t="shared" si="0"/>
        <v>11</v>
      </c>
      <c r="L20" s="28">
        <v>19</v>
      </c>
      <c r="M20" s="54">
        <f t="shared" si="1"/>
        <v>0.007983193277310924</v>
      </c>
      <c r="N20" s="29">
        <f t="shared" si="10"/>
        <v>4</v>
      </c>
      <c r="P20" s="28">
        <v>141343</v>
      </c>
      <c r="Q20" s="54">
        <f t="shared" si="2"/>
        <v>0.017978427616741233</v>
      </c>
      <c r="R20" s="29">
        <f t="shared" si="11"/>
        <v>150</v>
      </c>
      <c r="T20" s="46">
        <f>SUM(Census!H20)</f>
        <v>339</v>
      </c>
      <c r="U20" s="192">
        <f t="shared" si="3"/>
        <v>0.014811254806011883</v>
      </c>
      <c r="V20" s="156">
        <f t="shared" si="4"/>
        <v>219</v>
      </c>
      <c r="X20" s="28">
        <f>+'FTEs &amp; onbrd'!B20</f>
        <v>230</v>
      </c>
      <c r="Y20" s="192">
        <f t="shared" si="5"/>
        <v>0.01318127113301622</v>
      </c>
      <c r="Z20" s="46">
        <f t="shared" si="12"/>
        <v>647</v>
      </c>
      <c r="AB20" s="156">
        <f t="shared" si="13"/>
        <v>33</v>
      </c>
      <c r="AC20" s="255">
        <v>430760</v>
      </c>
      <c r="AD20" s="254">
        <f t="shared" si="6"/>
        <v>0.015523207891307561</v>
      </c>
      <c r="AE20" s="255">
        <f t="shared" si="14"/>
        <v>34</v>
      </c>
      <c r="AF20" s="257">
        <v>339</v>
      </c>
      <c r="AG20" s="254">
        <f t="shared" si="7"/>
        <v>0.014811254806011883</v>
      </c>
      <c r="AH20" s="255">
        <f t="shared" si="15"/>
        <v>32</v>
      </c>
    </row>
    <row r="21" spans="1:34" ht="12.75">
      <c r="A21" s="4" t="s">
        <v>25</v>
      </c>
      <c r="B21" s="327">
        <f t="shared" si="8"/>
        <v>230</v>
      </c>
      <c r="C21" s="84"/>
      <c r="D21" s="28">
        <v>0</v>
      </c>
      <c r="E21" s="43">
        <f t="shared" si="16"/>
        <v>0</v>
      </c>
      <c r="F21" s="28">
        <f t="shared" si="17"/>
        <v>0</v>
      </c>
      <c r="H21" s="15">
        <v>3</v>
      </c>
      <c r="I21" s="130">
        <f t="shared" si="9"/>
        <v>1.87</v>
      </c>
      <c r="J21" s="28">
        <f t="shared" si="0"/>
        <v>6</v>
      </c>
      <c r="L21" s="28">
        <v>34</v>
      </c>
      <c r="M21" s="54">
        <f t="shared" si="1"/>
        <v>0.014285714285714285</v>
      </c>
      <c r="N21" s="29">
        <f t="shared" si="10"/>
        <v>8</v>
      </c>
      <c r="P21" s="28">
        <v>34530</v>
      </c>
      <c r="Q21" s="54">
        <f t="shared" si="2"/>
        <v>0.004392117795759781</v>
      </c>
      <c r="R21" s="29">
        <f t="shared" si="11"/>
        <v>37</v>
      </c>
      <c r="T21" s="46">
        <f>SUM(Census!H21)</f>
        <v>66</v>
      </c>
      <c r="U21" s="192">
        <f t="shared" si="3"/>
        <v>0.0028836071303739953</v>
      </c>
      <c r="V21" s="156">
        <f t="shared" si="4"/>
        <v>43</v>
      </c>
      <c r="X21" s="28">
        <f>+'FTEs &amp; onbrd'!B21</f>
        <v>45</v>
      </c>
      <c r="Y21" s="192">
        <f t="shared" si="5"/>
        <v>0.002578944352111869</v>
      </c>
      <c r="Z21" s="46">
        <f t="shared" si="12"/>
        <v>127</v>
      </c>
      <c r="AB21" s="156">
        <f t="shared" si="13"/>
        <v>9</v>
      </c>
      <c r="AC21" s="255">
        <v>135992</v>
      </c>
      <c r="AD21" s="254">
        <f t="shared" si="6"/>
        <v>0.00490071521857809</v>
      </c>
      <c r="AE21" s="255">
        <f t="shared" si="14"/>
        <v>11</v>
      </c>
      <c r="AF21" s="257">
        <v>66</v>
      </c>
      <c r="AG21" s="254">
        <f t="shared" si="7"/>
        <v>0.0028836071303739953</v>
      </c>
      <c r="AH21" s="255">
        <f t="shared" si="15"/>
        <v>6</v>
      </c>
    </row>
    <row r="22" spans="1:34" ht="12.75">
      <c r="A22" s="4" t="s">
        <v>26</v>
      </c>
      <c r="B22" s="327">
        <f t="shared" si="8"/>
        <v>1758</v>
      </c>
      <c r="C22" s="84"/>
      <c r="D22" s="28">
        <v>370</v>
      </c>
      <c r="E22" s="43">
        <f t="shared" si="16"/>
        <v>0.014653465346534653</v>
      </c>
      <c r="F22" s="28">
        <f t="shared" si="17"/>
        <v>130</v>
      </c>
      <c r="H22" s="15">
        <v>46</v>
      </c>
      <c r="I22" s="130">
        <f t="shared" si="9"/>
        <v>1.87</v>
      </c>
      <c r="J22" s="28">
        <f t="shared" si="0"/>
        <v>86</v>
      </c>
      <c r="L22" s="28">
        <v>27</v>
      </c>
      <c r="M22" s="54">
        <f t="shared" si="1"/>
        <v>0.01134453781512605</v>
      </c>
      <c r="N22" s="29">
        <f t="shared" si="10"/>
        <v>6</v>
      </c>
      <c r="P22" s="28">
        <v>225768</v>
      </c>
      <c r="Q22" s="54">
        <f t="shared" si="2"/>
        <v>0.02871704750979132</v>
      </c>
      <c r="R22" s="29">
        <f t="shared" si="11"/>
        <v>239</v>
      </c>
      <c r="T22" s="46">
        <f>SUM(Census!H22)</f>
        <v>604</v>
      </c>
      <c r="U22" s="192">
        <f t="shared" si="3"/>
        <v>0.026389374344634745</v>
      </c>
      <c r="V22" s="156">
        <f t="shared" si="4"/>
        <v>391</v>
      </c>
      <c r="X22" s="28">
        <f>+'FTEs &amp; onbrd'!B22</f>
        <v>305</v>
      </c>
      <c r="Y22" s="192">
        <f t="shared" si="5"/>
        <v>0.017479511719869334</v>
      </c>
      <c r="Z22" s="46">
        <f t="shared" si="12"/>
        <v>859</v>
      </c>
      <c r="AB22" s="156">
        <f t="shared" si="13"/>
        <v>47</v>
      </c>
      <c r="AC22" s="255">
        <v>478036</v>
      </c>
      <c r="AD22" s="254">
        <f t="shared" si="6"/>
        <v>0.017226883200689717</v>
      </c>
      <c r="AE22" s="255">
        <f t="shared" si="14"/>
        <v>37</v>
      </c>
      <c r="AF22" s="257">
        <v>604</v>
      </c>
      <c r="AG22" s="254">
        <f t="shared" si="7"/>
        <v>0.026389374344634745</v>
      </c>
      <c r="AH22" s="255">
        <f t="shared" si="15"/>
        <v>57</v>
      </c>
    </row>
    <row r="23" spans="1:34" ht="12.75">
      <c r="A23" s="4" t="s">
        <v>27</v>
      </c>
      <c r="B23" s="327">
        <f t="shared" si="8"/>
        <v>274</v>
      </c>
      <c r="C23" s="84"/>
      <c r="D23" s="28">
        <v>23</v>
      </c>
      <c r="E23" s="43">
        <f t="shared" si="16"/>
        <v>0.0009108910891089109</v>
      </c>
      <c r="F23" s="28">
        <f t="shared" si="17"/>
        <v>8</v>
      </c>
      <c r="H23" s="28">
        <v>0</v>
      </c>
      <c r="I23" s="130">
        <f t="shared" si="9"/>
        <v>1.87</v>
      </c>
      <c r="J23" s="28">
        <f t="shared" si="0"/>
        <v>0</v>
      </c>
      <c r="L23" s="28">
        <v>5</v>
      </c>
      <c r="M23" s="54">
        <f t="shared" si="1"/>
        <v>0.0021008403361344537</v>
      </c>
      <c r="N23" s="29">
        <f t="shared" si="10"/>
        <v>1</v>
      </c>
      <c r="P23" s="28">
        <v>47405</v>
      </c>
      <c r="Q23" s="54">
        <f t="shared" si="2"/>
        <v>0.006029781178916664</v>
      </c>
      <c r="R23" s="29">
        <f t="shared" si="11"/>
        <v>50</v>
      </c>
      <c r="T23" s="46">
        <f>SUM(Census!H23)</f>
        <v>85</v>
      </c>
      <c r="U23" s="192">
        <f t="shared" si="3"/>
        <v>0.003713736455784691</v>
      </c>
      <c r="V23" s="156">
        <f t="shared" si="4"/>
        <v>55</v>
      </c>
      <c r="X23" s="28">
        <f>+'FTEs &amp; onbrd'!B23</f>
        <v>51</v>
      </c>
      <c r="Y23" s="192">
        <f t="shared" si="5"/>
        <v>0.002922803599060118</v>
      </c>
      <c r="Z23" s="46">
        <f t="shared" si="12"/>
        <v>144</v>
      </c>
      <c r="AB23" s="156">
        <f t="shared" si="13"/>
        <v>16</v>
      </c>
      <c r="AC23" s="255">
        <v>296526</v>
      </c>
      <c r="AD23" s="254">
        <f t="shared" si="6"/>
        <v>0.010685845350491843</v>
      </c>
      <c r="AE23" s="255">
        <f t="shared" si="14"/>
        <v>23</v>
      </c>
      <c r="AF23" s="257">
        <v>85</v>
      </c>
      <c r="AG23" s="254">
        <f t="shared" si="7"/>
        <v>0.003713736455784691</v>
      </c>
      <c r="AH23" s="255">
        <f t="shared" si="15"/>
        <v>8</v>
      </c>
    </row>
    <row r="24" spans="1:34" ht="12.75">
      <c r="A24" s="4" t="s">
        <v>28</v>
      </c>
      <c r="B24" s="327">
        <f t="shared" si="8"/>
        <v>520</v>
      </c>
      <c r="C24" s="84"/>
      <c r="D24" s="28">
        <v>8</v>
      </c>
      <c r="E24" s="43">
        <f t="shared" si="16"/>
        <v>0.00031683168316831684</v>
      </c>
      <c r="F24" s="28">
        <f t="shared" si="17"/>
        <v>3</v>
      </c>
      <c r="H24" s="28">
        <v>0</v>
      </c>
      <c r="I24" s="130">
        <f t="shared" si="9"/>
        <v>1.87</v>
      </c>
      <c r="J24" s="28">
        <f t="shared" si="0"/>
        <v>0</v>
      </c>
      <c r="L24" s="28">
        <v>7</v>
      </c>
      <c r="M24" s="54">
        <f t="shared" si="1"/>
        <v>0.0029411764705882353</v>
      </c>
      <c r="N24" s="29">
        <f t="shared" si="10"/>
        <v>2</v>
      </c>
      <c r="P24" s="28">
        <v>57273</v>
      </c>
      <c r="Q24" s="54">
        <f t="shared" si="2"/>
        <v>0.007284962714061684</v>
      </c>
      <c r="R24" s="29">
        <f t="shared" si="11"/>
        <v>61</v>
      </c>
      <c r="T24" s="46">
        <f>SUM(Census!H24)</f>
        <v>150</v>
      </c>
      <c r="U24" s="192">
        <f t="shared" si="3"/>
        <v>0.006553652569031807</v>
      </c>
      <c r="V24" s="156">
        <f t="shared" si="4"/>
        <v>97</v>
      </c>
      <c r="X24" s="28">
        <f>+'FTEs &amp; onbrd'!B24</f>
        <v>109</v>
      </c>
      <c r="Y24" s="192">
        <f t="shared" si="5"/>
        <v>0.00624677631955986</v>
      </c>
      <c r="Z24" s="46">
        <f t="shared" si="12"/>
        <v>307</v>
      </c>
      <c r="AB24" s="156">
        <f t="shared" si="13"/>
        <v>50</v>
      </c>
      <c r="AC24" s="255">
        <v>1097723</v>
      </c>
      <c r="AD24" s="254">
        <f t="shared" si="6"/>
        <v>0.03955841381760101</v>
      </c>
      <c r="AE24" s="255">
        <f t="shared" si="14"/>
        <v>86</v>
      </c>
      <c r="AF24" s="257">
        <v>150</v>
      </c>
      <c r="AG24" s="254">
        <f t="shared" si="7"/>
        <v>0.006553652569031807</v>
      </c>
      <c r="AH24" s="255">
        <f t="shared" si="15"/>
        <v>14</v>
      </c>
    </row>
    <row r="25" spans="1:34" ht="12.75">
      <c r="A25" s="4" t="s">
        <v>29</v>
      </c>
      <c r="B25" s="327">
        <f t="shared" si="8"/>
        <v>359</v>
      </c>
      <c r="C25" s="84"/>
      <c r="D25" s="28">
        <v>0</v>
      </c>
      <c r="E25" s="43">
        <f t="shared" si="16"/>
        <v>0</v>
      </c>
      <c r="F25" s="28">
        <f t="shared" si="17"/>
        <v>0</v>
      </c>
      <c r="H25" s="28">
        <v>0</v>
      </c>
      <c r="I25" s="130">
        <f t="shared" si="9"/>
        <v>1.87</v>
      </c>
      <c r="J25" s="28">
        <f t="shared" si="0"/>
        <v>0</v>
      </c>
      <c r="L25" s="28">
        <v>10</v>
      </c>
      <c r="M25" s="54">
        <f t="shared" si="1"/>
        <v>0.004201680672268907</v>
      </c>
      <c r="N25" s="29">
        <f t="shared" si="10"/>
        <v>2</v>
      </c>
      <c r="P25" s="28">
        <v>46174</v>
      </c>
      <c r="Q25" s="54">
        <f t="shared" si="2"/>
        <v>0.005873201479913471</v>
      </c>
      <c r="R25" s="29">
        <f t="shared" si="11"/>
        <v>49</v>
      </c>
      <c r="T25" s="46">
        <f>SUM(Census!H25)</f>
        <v>124</v>
      </c>
      <c r="U25" s="192">
        <f t="shared" si="3"/>
        <v>0.00541768612373296</v>
      </c>
      <c r="V25" s="156">
        <f t="shared" si="4"/>
        <v>80</v>
      </c>
      <c r="X25" s="28">
        <f>+'FTEs &amp; onbrd'!B25</f>
        <v>77</v>
      </c>
      <c r="Y25" s="192">
        <f t="shared" si="5"/>
        <v>0.0044128603358358645</v>
      </c>
      <c r="Z25" s="46">
        <f t="shared" si="12"/>
        <v>217</v>
      </c>
      <c r="AB25" s="156">
        <f t="shared" si="13"/>
        <v>11</v>
      </c>
      <c r="AC25" s="255">
        <v>120108</v>
      </c>
      <c r="AD25" s="254">
        <f t="shared" si="6"/>
        <v>0.004328306837703521</v>
      </c>
      <c r="AE25" s="255">
        <f t="shared" si="14"/>
        <v>9</v>
      </c>
      <c r="AF25" s="257">
        <v>124</v>
      </c>
      <c r="AG25" s="254">
        <f t="shared" si="7"/>
        <v>0.00541768612373296</v>
      </c>
      <c r="AH25" s="255">
        <f t="shared" si="15"/>
        <v>12</v>
      </c>
    </row>
    <row r="26" spans="1:34" ht="12.75">
      <c r="A26" s="4" t="s">
        <v>30</v>
      </c>
      <c r="B26" s="327">
        <f t="shared" si="8"/>
        <v>145</v>
      </c>
      <c r="C26" s="84"/>
      <c r="D26" s="28">
        <v>0</v>
      </c>
      <c r="E26" s="43">
        <f t="shared" si="16"/>
        <v>0</v>
      </c>
      <c r="F26" s="28">
        <f t="shared" si="17"/>
        <v>0</v>
      </c>
      <c r="H26" s="28">
        <v>0</v>
      </c>
      <c r="I26" s="130">
        <f t="shared" si="9"/>
        <v>1.87</v>
      </c>
      <c r="J26" s="28">
        <f t="shared" si="0"/>
        <v>0</v>
      </c>
      <c r="L26" s="28">
        <v>0</v>
      </c>
      <c r="M26" s="29">
        <v>0</v>
      </c>
      <c r="N26" s="29">
        <f t="shared" si="10"/>
        <v>0</v>
      </c>
      <c r="P26" s="28">
        <v>19866</v>
      </c>
      <c r="Q26" s="54">
        <f t="shared" si="2"/>
        <v>0.0025268987005665744</v>
      </c>
      <c r="R26" s="29">
        <f t="shared" si="11"/>
        <v>21</v>
      </c>
      <c r="T26" s="46">
        <f>SUM(Census!H26)</f>
        <v>41</v>
      </c>
      <c r="U26" s="192">
        <f t="shared" si="3"/>
        <v>0.0017913317022020272</v>
      </c>
      <c r="V26" s="156">
        <f t="shared" si="4"/>
        <v>27</v>
      </c>
      <c r="X26" s="28">
        <f>+'FTEs &amp; onbrd'!B26</f>
        <v>31</v>
      </c>
      <c r="Y26" s="192">
        <f t="shared" si="5"/>
        <v>0.0017766061092326208</v>
      </c>
      <c r="Z26" s="46">
        <f t="shared" si="12"/>
        <v>87</v>
      </c>
      <c r="AB26" s="156">
        <f t="shared" si="13"/>
        <v>10</v>
      </c>
      <c r="AC26" s="255">
        <v>191917</v>
      </c>
      <c r="AD26" s="254">
        <f t="shared" si="6"/>
        <v>0.006916072729306512</v>
      </c>
      <c r="AE26" s="255">
        <f t="shared" si="14"/>
        <v>15</v>
      </c>
      <c r="AF26" s="257">
        <v>41</v>
      </c>
      <c r="AG26" s="254">
        <f t="shared" si="7"/>
        <v>0.0017913317022020272</v>
      </c>
      <c r="AH26" s="255">
        <f t="shared" si="15"/>
        <v>4</v>
      </c>
    </row>
    <row r="27" spans="1:34" ht="12.75">
      <c r="A27" s="4" t="s">
        <v>31</v>
      </c>
      <c r="B27" s="327">
        <f t="shared" si="8"/>
        <v>254</v>
      </c>
      <c r="C27" s="84"/>
      <c r="D27" s="28">
        <v>0</v>
      </c>
      <c r="E27" s="43">
        <f t="shared" si="16"/>
        <v>0</v>
      </c>
      <c r="F27" s="28">
        <f t="shared" si="17"/>
        <v>0</v>
      </c>
      <c r="H27" s="28">
        <v>0</v>
      </c>
      <c r="I27" s="130">
        <f t="shared" si="9"/>
        <v>1.87</v>
      </c>
      <c r="J27" s="28">
        <f t="shared" si="0"/>
        <v>0</v>
      </c>
      <c r="L27" s="28">
        <v>0</v>
      </c>
      <c r="M27" s="29">
        <v>0</v>
      </c>
      <c r="N27" s="29">
        <f t="shared" si="10"/>
        <v>0</v>
      </c>
      <c r="P27" s="28">
        <v>35884</v>
      </c>
      <c r="Q27" s="54">
        <f t="shared" si="2"/>
        <v>0.004564342744947697</v>
      </c>
      <c r="R27" s="29">
        <f t="shared" si="11"/>
        <v>38</v>
      </c>
      <c r="T27" s="46">
        <f>SUM(Census!H27)</f>
        <v>83</v>
      </c>
      <c r="U27" s="192">
        <f t="shared" si="3"/>
        <v>0.003626354421530933</v>
      </c>
      <c r="V27" s="156">
        <f t="shared" si="4"/>
        <v>54</v>
      </c>
      <c r="X27" s="28">
        <f>+'FTEs &amp; onbrd'!B27</f>
        <v>55</v>
      </c>
      <c r="Y27" s="192">
        <f t="shared" si="5"/>
        <v>0.0031520430970256173</v>
      </c>
      <c r="Z27" s="46">
        <f t="shared" si="12"/>
        <v>155</v>
      </c>
      <c r="AB27" s="156">
        <f t="shared" si="13"/>
        <v>7</v>
      </c>
      <c r="AC27" s="255">
        <v>65716</v>
      </c>
      <c r="AD27" s="254">
        <f t="shared" si="6"/>
        <v>0.002368193726866858</v>
      </c>
      <c r="AE27" s="255">
        <f t="shared" si="14"/>
        <v>5</v>
      </c>
      <c r="AF27" s="257">
        <v>83</v>
      </c>
      <c r="AG27" s="254">
        <f t="shared" si="7"/>
        <v>0.003626354421530933</v>
      </c>
      <c r="AH27" s="255">
        <f t="shared" si="15"/>
        <v>8</v>
      </c>
    </row>
    <row r="28" spans="1:34" ht="12.75">
      <c r="A28" s="4" t="s">
        <v>32</v>
      </c>
      <c r="B28" s="327">
        <f t="shared" si="8"/>
        <v>3102</v>
      </c>
      <c r="C28" s="84"/>
      <c r="D28" s="28">
        <v>6</v>
      </c>
      <c r="E28" s="43">
        <f t="shared" si="16"/>
        <v>0.00023762376237623762</v>
      </c>
      <c r="F28" s="28">
        <f t="shared" si="17"/>
        <v>2</v>
      </c>
      <c r="H28" s="28">
        <v>4</v>
      </c>
      <c r="I28" s="130">
        <f t="shared" si="9"/>
        <v>1.87</v>
      </c>
      <c r="J28" s="28">
        <f t="shared" si="0"/>
        <v>7</v>
      </c>
      <c r="L28" s="28">
        <v>0</v>
      </c>
      <c r="M28" s="29">
        <v>0</v>
      </c>
      <c r="N28" s="29">
        <f t="shared" si="10"/>
        <v>0</v>
      </c>
      <c r="P28" s="28">
        <v>156281</v>
      </c>
      <c r="Q28" s="54">
        <f t="shared" si="2"/>
        <v>0.019878498732671137</v>
      </c>
      <c r="R28" s="29">
        <f t="shared" si="11"/>
        <v>166</v>
      </c>
      <c r="T28" s="46">
        <f>SUM(Census!H28)</f>
        <v>1477</v>
      </c>
      <c r="U28" s="192">
        <f t="shared" si="3"/>
        <v>0.06453163229639985</v>
      </c>
      <c r="V28" s="156">
        <f t="shared" si="4"/>
        <v>956</v>
      </c>
      <c r="X28" s="28">
        <f>+'FTEs &amp; onbrd'!B28</f>
        <v>671</v>
      </c>
      <c r="Y28" s="192">
        <f t="shared" si="5"/>
        <v>0.03845492578371253</v>
      </c>
      <c r="Z28" s="46">
        <f t="shared" si="12"/>
        <v>1889</v>
      </c>
      <c r="AB28" s="156">
        <f t="shared" si="13"/>
        <v>82</v>
      </c>
      <c r="AC28" s="255">
        <v>304268</v>
      </c>
      <c r="AD28" s="254">
        <f t="shared" si="6"/>
        <v>0.010964842182821918</v>
      </c>
      <c r="AE28" s="255">
        <f t="shared" si="14"/>
        <v>24</v>
      </c>
      <c r="AF28" s="257">
        <v>1477</v>
      </c>
      <c r="AG28" s="254">
        <f t="shared" si="7"/>
        <v>0.06453163229639985</v>
      </c>
      <c r="AH28" s="255">
        <f t="shared" si="15"/>
        <v>140</v>
      </c>
    </row>
    <row r="29" spans="1:34" ht="12.75">
      <c r="A29" s="4" t="s">
        <v>33</v>
      </c>
      <c r="B29" s="327">
        <f t="shared" si="8"/>
        <v>497</v>
      </c>
      <c r="C29" s="84"/>
      <c r="D29" s="28">
        <v>1415</v>
      </c>
      <c r="E29" s="43">
        <f t="shared" si="16"/>
        <v>0.05603960396039604</v>
      </c>
      <c r="F29" s="28">
        <f t="shared" si="17"/>
        <v>497</v>
      </c>
      <c r="H29" s="28">
        <v>0</v>
      </c>
      <c r="I29" s="130">
        <f t="shared" si="9"/>
        <v>1.87</v>
      </c>
      <c r="J29" s="28">
        <f t="shared" si="0"/>
        <v>0</v>
      </c>
      <c r="L29" s="28">
        <v>0</v>
      </c>
      <c r="M29" s="29">
        <v>0</v>
      </c>
      <c r="N29" s="29">
        <f t="shared" si="10"/>
        <v>0</v>
      </c>
      <c r="P29" s="203">
        <v>0</v>
      </c>
      <c r="Q29" s="54">
        <f t="shared" si="2"/>
        <v>0</v>
      </c>
      <c r="R29" s="29">
        <f t="shared" si="11"/>
        <v>0</v>
      </c>
      <c r="T29" s="217"/>
      <c r="U29" s="217"/>
      <c r="V29" s="317"/>
      <c r="X29" s="28">
        <f>+'FTEs &amp; onbrd'!B29</f>
        <v>0</v>
      </c>
      <c r="Y29" s="192">
        <f t="shared" si="5"/>
        <v>0</v>
      </c>
      <c r="Z29" s="46">
        <f t="shared" si="12"/>
        <v>0</v>
      </c>
      <c r="AB29" s="258"/>
      <c r="AC29" s="255"/>
      <c r="AD29" s="254"/>
      <c r="AE29" s="255"/>
      <c r="AF29" s="257"/>
      <c r="AG29" s="254"/>
      <c r="AH29" s="255"/>
    </row>
    <row r="30" spans="1:34" ht="12.75">
      <c r="A30" s="4" t="s">
        <v>6</v>
      </c>
      <c r="B30" s="327">
        <f t="shared" si="8"/>
        <v>2068</v>
      </c>
      <c r="C30" s="84"/>
      <c r="D30" s="28">
        <v>0</v>
      </c>
      <c r="E30" s="43">
        <f t="shared" si="16"/>
        <v>0</v>
      </c>
      <c r="F30" s="28">
        <f t="shared" si="17"/>
        <v>0</v>
      </c>
      <c r="H30" s="28">
        <v>27</v>
      </c>
      <c r="I30" s="130">
        <f t="shared" si="9"/>
        <v>1.87</v>
      </c>
      <c r="J30" s="28">
        <f t="shared" si="0"/>
        <v>50</v>
      </c>
      <c r="L30" s="28">
        <v>0</v>
      </c>
      <c r="M30" s="28">
        <f>SUM(L30/$L$38)</f>
        <v>0</v>
      </c>
      <c r="N30" s="29">
        <f t="shared" si="10"/>
        <v>0</v>
      </c>
      <c r="P30" s="28">
        <v>219553</v>
      </c>
      <c r="Q30" s="54">
        <f t="shared" si="2"/>
        <v>0.027926517185416947</v>
      </c>
      <c r="R30" s="29">
        <f t="shared" si="11"/>
        <v>233</v>
      </c>
      <c r="T30" s="217"/>
      <c r="U30" s="217"/>
      <c r="V30" s="317"/>
      <c r="X30" s="28">
        <f>+'FTEs &amp; onbrd'!B30</f>
        <v>634</v>
      </c>
      <c r="Y30" s="192">
        <f t="shared" si="5"/>
        <v>0.03633446042753166</v>
      </c>
      <c r="Z30" s="46">
        <f t="shared" si="12"/>
        <v>1785</v>
      </c>
      <c r="AB30" s="46"/>
      <c r="AC30" s="255"/>
      <c r="AD30" s="254"/>
      <c r="AE30" s="255"/>
      <c r="AF30" s="257"/>
      <c r="AG30" s="254"/>
      <c r="AH30" s="255"/>
    </row>
    <row r="31" spans="1:34" ht="12.75">
      <c r="A31" s="4" t="s">
        <v>45</v>
      </c>
      <c r="B31" s="327">
        <f t="shared" si="8"/>
        <v>3385</v>
      </c>
      <c r="C31" s="84"/>
      <c r="D31" s="28">
        <v>0</v>
      </c>
      <c r="E31" s="43">
        <f t="shared" si="16"/>
        <v>0</v>
      </c>
      <c r="F31" s="28">
        <f t="shared" si="17"/>
        <v>0</v>
      </c>
      <c r="H31" s="28">
        <v>0</v>
      </c>
      <c r="I31" s="130">
        <f t="shared" si="9"/>
        <v>1.87</v>
      </c>
      <c r="J31" s="28">
        <f t="shared" si="0"/>
        <v>0</v>
      </c>
      <c r="L31" s="28">
        <v>0</v>
      </c>
      <c r="M31" s="28">
        <f>SUM(L31/$L$38)</f>
        <v>0</v>
      </c>
      <c r="N31" s="29">
        <f t="shared" si="10"/>
        <v>0</v>
      </c>
      <c r="P31" s="28">
        <v>314802</v>
      </c>
      <c r="Q31" s="54">
        <f t="shared" si="2"/>
        <v>0.04004191909472258</v>
      </c>
      <c r="R31" s="29">
        <f t="shared" si="11"/>
        <v>334</v>
      </c>
      <c r="T31" s="217"/>
      <c r="U31" s="217"/>
      <c r="V31" s="317"/>
      <c r="X31" s="28">
        <f>+'FTEs &amp; onbrd'!B31</f>
        <v>1084</v>
      </c>
      <c r="Y31" s="192">
        <f t="shared" si="5"/>
        <v>0.062123903948650354</v>
      </c>
      <c r="Z31" s="46">
        <f t="shared" si="12"/>
        <v>3051</v>
      </c>
      <c r="AB31" s="46"/>
      <c r="AC31" s="255"/>
      <c r="AD31" s="254"/>
      <c r="AE31" s="255"/>
      <c r="AF31" s="257"/>
      <c r="AG31" s="254"/>
      <c r="AH31" s="255"/>
    </row>
    <row r="32" spans="1:34" ht="12.75">
      <c r="A32" s="4" t="s">
        <v>34</v>
      </c>
      <c r="B32" s="327">
        <f t="shared" si="8"/>
        <v>5811</v>
      </c>
      <c r="C32" s="84"/>
      <c r="D32" s="28">
        <v>281</v>
      </c>
      <c r="E32" s="43">
        <f t="shared" si="16"/>
        <v>0.011128712871287128</v>
      </c>
      <c r="F32" s="28">
        <f t="shared" si="17"/>
        <v>99</v>
      </c>
      <c r="H32" s="28">
        <v>3</v>
      </c>
      <c r="I32" s="130">
        <f t="shared" si="9"/>
        <v>1.87</v>
      </c>
      <c r="J32" s="28">
        <f t="shared" si="0"/>
        <v>6</v>
      </c>
      <c r="L32" s="28">
        <v>0</v>
      </c>
      <c r="M32" s="28">
        <f>SUM(L32/$L$38)</f>
        <v>0</v>
      </c>
      <c r="N32" s="29">
        <f t="shared" si="10"/>
        <v>0</v>
      </c>
      <c r="P32" s="28">
        <v>382341</v>
      </c>
      <c r="Q32" s="54">
        <f t="shared" si="2"/>
        <v>0.04863268781200667</v>
      </c>
      <c r="R32" s="29">
        <f t="shared" si="11"/>
        <v>405</v>
      </c>
      <c r="T32" s="217"/>
      <c r="U32" s="217"/>
      <c r="V32" s="217"/>
      <c r="X32" s="28">
        <f>+'FTEs &amp; onbrd'!B32</f>
        <v>1883</v>
      </c>
      <c r="Y32" s="192">
        <f t="shared" si="5"/>
        <v>0.10791449366725887</v>
      </c>
      <c r="Z32" s="46">
        <f t="shared" si="12"/>
        <v>5301</v>
      </c>
      <c r="AB32" s="46"/>
      <c r="AC32" s="255"/>
      <c r="AD32" s="254"/>
      <c r="AE32" s="255"/>
      <c r="AF32" s="257"/>
      <c r="AG32" s="254"/>
      <c r="AH32" s="255"/>
    </row>
    <row r="33" spans="1:34" ht="12.75">
      <c r="A33" s="4" t="s">
        <v>3</v>
      </c>
      <c r="B33" s="327">
        <f t="shared" si="8"/>
        <v>944</v>
      </c>
      <c r="C33" s="84"/>
      <c r="D33" s="28">
        <v>0</v>
      </c>
      <c r="E33" s="43">
        <f t="shared" si="16"/>
        <v>0</v>
      </c>
      <c r="F33" s="28">
        <f t="shared" si="17"/>
        <v>0</v>
      </c>
      <c r="H33" s="28">
        <v>0</v>
      </c>
      <c r="I33" s="130">
        <f t="shared" si="9"/>
        <v>1.87</v>
      </c>
      <c r="J33" s="28">
        <f t="shared" si="0"/>
        <v>0</v>
      </c>
      <c r="L33" s="28">
        <v>0</v>
      </c>
      <c r="M33" s="28">
        <f>SUM(L33/$L$38)</f>
        <v>0</v>
      </c>
      <c r="N33" s="29">
        <f t="shared" si="10"/>
        <v>0</v>
      </c>
      <c r="P33" s="202">
        <v>91318</v>
      </c>
      <c r="Q33" s="54">
        <f t="shared" si="2"/>
        <v>0.01161538988917439</v>
      </c>
      <c r="R33" s="29">
        <f t="shared" si="11"/>
        <v>97</v>
      </c>
      <c r="T33" s="217"/>
      <c r="U33" s="217"/>
      <c r="V33" s="217"/>
      <c r="X33" s="28">
        <f>+'FTEs &amp; onbrd'!B33</f>
        <v>301</v>
      </c>
      <c r="Y33" s="192">
        <f t="shared" si="5"/>
        <v>0.017250272221903833</v>
      </c>
      <c r="Z33" s="46">
        <f t="shared" si="12"/>
        <v>847</v>
      </c>
      <c r="AB33" s="46"/>
      <c r="AC33" s="255"/>
      <c r="AD33" s="254"/>
      <c r="AE33" s="255"/>
      <c r="AF33" s="257"/>
      <c r="AG33" s="254"/>
      <c r="AH33" s="255"/>
    </row>
    <row r="34" spans="1:34" ht="12.75">
      <c r="A34" s="4" t="s">
        <v>4</v>
      </c>
      <c r="B34" s="327">
        <f t="shared" si="8"/>
        <v>1135</v>
      </c>
      <c r="C34" s="84"/>
      <c r="D34" s="28">
        <v>7</v>
      </c>
      <c r="E34" s="43">
        <f t="shared" si="16"/>
        <v>0.0002772277227722772</v>
      </c>
      <c r="F34" s="28">
        <f t="shared" si="17"/>
        <v>2</v>
      </c>
      <c r="H34" s="28">
        <v>0</v>
      </c>
      <c r="I34" s="130">
        <f t="shared" si="9"/>
        <v>1.87</v>
      </c>
      <c r="J34" s="28">
        <f t="shared" si="0"/>
        <v>0</v>
      </c>
      <c r="L34" s="28">
        <v>0</v>
      </c>
      <c r="M34" s="28">
        <f>SUM(L34/$L$38)</f>
        <v>0</v>
      </c>
      <c r="N34" s="29">
        <f t="shared" si="10"/>
        <v>0</v>
      </c>
      <c r="P34" s="28">
        <v>139877</v>
      </c>
      <c r="Q34" s="54">
        <f t="shared" si="2"/>
        <v>0.0177919565860843</v>
      </c>
      <c r="R34" s="29">
        <f t="shared" si="11"/>
        <v>148</v>
      </c>
      <c r="T34" s="217"/>
      <c r="U34" s="217"/>
      <c r="V34" s="217"/>
      <c r="X34" s="28">
        <f>+'FTEs &amp; onbrd'!B34</f>
        <v>350</v>
      </c>
      <c r="Y34" s="192">
        <f t="shared" si="5"/>
        <v>0.0200584560719812</v>
      </c>
      <c r="Z34" s="46">
        <f t="shared" si="12"/>
        <v>985</v>
      </c>
      <c r="AB34" s="46"/>
      <c r="AC34" s="255"/>
      <c r="AD34" s="254"/>
      <c r="AE34" s="255"/>
      <c r="AF34" s="257"/>
      <c r="AG34" s="254"/>
      <c r="AH34" s="255"/>
    </row>
    <row r="35" spans="1:34" ht="12.75">
      <c r="A35" s="4" t="s">
        <v>7</v>
      </c>
      <c r="B35" s="327">
        <f t="shared" si="8"/>
        <v>2136</v>
      </c>
      <c r="C35" s="84"/>
      <c r="D35" s="28">
        <v>119</v>
      </c>
      <c r="E35" s="43">
        <f t="shared" si="16"/>
        <v>0.004712871287128713</v>
      </c>
      <c r="F35" s="28">
        <f t="shared" si="17"/>
        <v>42</v>
      </c>
      <c r="H35" s="28">
        <v>0</v>
      </c>
      <c r="I35" s="130">
        <f t="shared" si="9"/>
        <v>1.87</v>
      </c>
      <c r="J35" s="28">
        <f t="shared" si="0"/>
        <v>0</v>
      </c>
      <c r="L35" s="28">
        <v>0</v>
      </c>
      <c r="M35" s="29">
        <v>0</v>
      </c>
      <c r="N35" s="29">
        <f t="shared" si="10"/>
        <v>0</v>
      </c>
      <c r="P35" s="28">
        <v>294789</v>
      </c>
      <c r="Q35" s="54">
        <f t="shared" si="2"/>
        <v>0.03749632241222792</v>
      </c>
      <c r="R35" s="29">
        <f t="shared" si="11"/>
        <v>312</v>
      </c>
      <c r="T35" s="217"/>
      <c r="U35" s="317"/>
      <c r="V35" s="217"/>
      <c r="X35" s="28">
        <f>+'FTEs &amp; onbrd'!B35</f>
        <v>633</v>
      </c>
      <c r="Y35" s="192">
        <f t="shared" si="5"/>
        <v>0.03627715055304029</v>
      </c>
      <c r="Z35" s="46">
        <f t="shared" si="12"/>
        <v>1782</v>
      </c>
      <c r="AB35" s="46"/>
      <c r="AC35" s="257"/>
      <c r="AD35" s="259"/>
      <c r="AE35" s="255"/>
      <c r="AF35" s="257"/>
      <c r="AG35" s="259"/>
      <c r="AH35" s="255"/>
    </row>
    <row r="36" spans="1:34" ht="12.75">
      <c r="A36" s="4" t="s">
        <v>106</v>
      </c>
      <c r="B36" s="328">
        <f t="shared" si="8"/>
        <v>1594</v>
      </c>
      <c r="C36" s="84"/>
      <c r="D36" s="28">
        <v>0</v>
      </c>
      <c r="E36" s="43">
        <f t="shared" si="16"/>
        <v>0</v>
      </c>
      <c r="F36" s="46">
        <v>0</v>
      </c>
      <c r="H36" s="28">
        <v>0</v>
      </c>
      <c r="I36" s="130">
        <f t="shared" si="9"/>
        <v>1.87</v>
      </c>
      <c r="J36" s="28">
        <f t="shared" si="0"/>
        <v>0</v>
      </c>
      <c r="L36" s="28">
        <v>0</v>
      </c>
      <c r="M36" s="29"/>
      <c r="N36" s="29">
        <f t="shared" si="10"/>
        <v>0</v>
      </c>
      <c r="P36" s="28">
        <v>139131</v>
      </c>
      <c r="Q36" s="54">
        <f t="shared" si="2"/>
        <v>0.017697067507728183</v>
      </c>
      <c r="R36" s="29">
        <f t="shared" si="11"/>
        <v>147</v>
      </c>
      <c r="T36" s="217"/>
      <c r="U36" s="317"/>
      <c r="V36" s="217"/>
      <c r="X36" s="28">
        <f>+'FTEs &amp; onbrd'!B36</f>
        <v>514</v>
      </c>
      <c r="Y36" s="192">
        <f t="shared" si="5"/>
        <v>0.02945727548856668</v>
      </c>
      <c r="Z36" s="46">
        <f t="shared" si="12"/>
        <v>1447</v>
      </c>
      <c r="AB36" s="46"/>
      <c r="AC36" s="255"/>
      <c r="AD36" s="259"/>
      <c r="AE36" s="255"/>
      <c r="AF36" s="257"/>
      <c r="AG36" s="259"/>
      <c r="AH36" s="255"/>
    </row>
    <row r="37" spans="1:34" ht="12.75">
      <c r="A37" s="4" t="s">
        <v>93</v>
      </c>
      <c r="B37" s="328">
        <f t="shared" si="8"/>
        <v>974</v>
      </c>
      <c r="C37" s="84"/>
      <c r="D37" s="33">
        <v>0</v>
      </c>
      <c r="E37" s="43">
        <f t="shared" si="16"/>
        <v>0</v>
      </c>
      <c r="F37" s="33">
        <v>0</v>
      </c>
      <c r="H37" s="33">
        <v>0</v>
      </c>
      <c r="I37" s="130">
        <f t="shared" si="9"/>
        <v>1.87</v>
      </c>
      <c r="J37" s="33">
        <f t="shared" si="0"/>
        <v>0</v>
      </c>
      <c r="L37" s="33">
        <v>0</v>
      </c>
      <c r="M37" s="28"/>
      <c r="N37" s="33">
        <v>0</v>
      </c>
      <c r="P37" s="16"/>
      <c r="Q37" s="15"/>
      <c r="R37" s="16"/>
      <c r="T37" s="216"/>
      <c r="U37" s="217"/>
      <c r="V37" s="216"/>
      <c r="X37" s="28">
        <f>+'FTEs &amp; onbrd'!B37</f>
        <v>346</v>
      </c>
      <c r="Y37" s="192">
        <f t="shared" si="5"/>
        <v>0.019829216574015703</v>
      </c>
      <c r="Z37" s="46">
        <f t="shared" si="12"/>
        <v>974</v>
      </c>
      <c r="AB37" s="40"/>
      <c r="AC37" s="260"/>
      <c r="AD37" s="261"/>
      <c r="AE37" s="260"/>
      <c r="AF37" s="262"/>
      <c r="AG37" s="261"/>
      <c r="AH37" s="260"/>
    </row>
    <row r="38" spans="1:34" ht="12.75">
      <c r="A38" s="99" t="s">
        <v>35</v>
      </c>
      <c r="B38" s="329">
        <f>SUM(B5:B37)</f>
        <v>84702</v>
      </c>
      <c r="C38" s="287"/>
      <c r="D38" s="33">
        <f>SUM(D5:D37)</f>
        <v>25250</v>
      </c>
      <c r="E38" s="199">
        <f>SUM(E5:E37)</f>
        <v>1.0000000000000002</v>
      </c>
      <c r="F38" s="50">
        <f>SUM(F5:F37)</f>
        <v>8866</v>
      </c>
      <c r="H38" s="16">
        <f>SUM(H5:H37)</f>
        <v>464</v>
      </c>
      <c r="I38" s="132"/>
      <c r="J38" s="33">
        <f>SUM(J5:J37)</f>
        <v>868</v>
      </c>
      <c r="L38" s="33">
        <f>SUM(L5:L37)</f>
        <v>2380</v>
      </c>
      <c r="M38" s="199">
        <f>SUM(M5:M35)</f>
        <v>0.9999999999999998</v>
      </c>
      <c r="N38" s="33">
        <f>SUM(N5:N37)</f>
        <v>527</v>
      </c>
      <c r="P38" s="342">
        <f>SUM(P5:P37)</f>
        <v>7861811</v>
      </c>
      <c r="Q38" s="199">
        <f>SUM(Q5:Q36)</f>
        <v>0.9999999999999999</v>
      </c>
      <c r="R38" s="47">
        <f>SUM(R5:R37)</f>
        <v>8329</v>
      </c>
      <c r="T38" s="40">
        <f>SUM(T5:T37)</f>
        <v>22888</v>
      </c>
      <c r="U38" s="197">
        <f>SUM(U5:U37)</f>
        <v>1</v>
      </c>
      <c r="V38" s="40">
        <f>SUM(V5:V37)</f>
        <v>14819</v>
      </c>
      <c r="X38" s="243">
        <f>SUM(X5:X37)</f>
        <v>17449</v>
      </c>
      <c r="Y38" s="197">
        <f>SUM(Y5:Y37)</f>
        <v>0.9999999999999999</v>
      </c>
      <c r="Z38" s="266">
        <f>SUM(Z5:Z37)</f>
        <v>49119</v>
      </c>
      <c r="AB38" s="45">
        <f aca="true" t="shared" si="18" ref="AB38:AH38">SUM(AB5:AB37)</f>
        <v>2174</v>
      </c>
      <c r="AC38" s="262">
        <f t="shared" si="18"/>
        <v>27749419</v>
      </c>
      <c r="AD38" s="275">
        <f t="shared" si="18"/>
        <v>0.9999999999999998</v>
      </c>
      <c r="AE38" s="260">
        <f t="shared" si="18"/>
        <v>2174</v>
      </c>
      <c r="AF38" s="262">
        <f t="shared" si="18"/>
        <v>22888</v>
      </c>
      <c r="AG38" s="275">
        <f t="shared" si="18"/>
        <v>1</v>
      </c>
      <c r="AH38" s="260">
        <f t="shared" si="18"/>
        <v>2174</v>
      </c>
    </row>
    <row r="39" spans="4:34" ht="12.75">
      <c r="D39" s="96" t="s">
        <v>68</v>
      </c>
      <c r="E39" s="170"/>
      <c r="F39" s="172"/>
      <c r="H39" s="96" t="s">
        <v>283</v>
      </c>
      <c r="J39" s="30"/>
      <c r="L39" s="96" t="s">
        <v>66</v>
      </c>
      <c r="P39" s="96" t="s">
        <v>282</v>
      </c>
      <c r="T39" s="96" t="s">
        <v>139</v>
      </c>
      <c r="V39" s="53"/>
      <c r="X39" s="96" t="s">
        <v>225</v>
      </c>
      <c r="AC39" s="248" t="s">
        <v>211</v>
      </c>
      <c r="AD39" s="248"/>
      <c r="AE39" s="263"/>
      <c r="AF39" s="248" t="s">
        <v>212</v>
      </c>
      <c r="AG39" s="248"/>
      <c r="AH39" s="263"/>
    </row>
    <row r="40" spans="3:34" ht="12.75">
      <c r="C40" s="96" t="s">
        <v>69</v>
      </c>
      <c r="D40" s="96"/>
      <c r="E40" s="170"/>
      <c r="F40" s="170"/>
      <c r="Q40" s="201"/>
      <c r="V40" s="53"/>
      <c r="AC40" s="248"/>
      <c r="AD40" s="248"/>
      <c r="AE40" s="263"/>
      <c r="AF40" s="248"/>
      <c r="AG40" s="248"/>
      <c r="AH40" s="263"/>
    </row>
    <row r="41" spans="1:34" ht="12.75">
      <c r="A41" s="143"/>
      <c r="B41" s="143"/>
      <c r="F41" s="53"/>
      <c r="Z41" s="30"/>
      <c r="AC41" s="248"/>
      <c r="AD41" s="248"/>
      <c r="AE41" s="263"/>
      <c r="AF41" s="248"/>
      <c r="AG41" s="248"/>
      <c r="AH41" s="263"/>
    </row>
    <row r="42" spans="6:34" ht="12.75">
      <c r="F42" s="53"/>
      <c r="X42" s="191"/>
      <c r="AC42" s="248"/>
      <c r="AD42" s="248"/>
      <c r="AE42" s="263"/>
      <c r="AF42" s="248"/>
      <c r="AG42" s="248"/>
      <c r="AH42" s="263"/>
    </row>
    <row r="43" spans="6:34" ht="12.75">
      <c r="F43" s="124">
        <v>8866</v>
      </c>
      <c r="N43" s="70">
        <v>527</v>
      </c>
      <c r="R43" s="124">
        <f>11276-2947</f>
        <v>8329</v>
      </c>
      <c r="S43" s="201"/>
      <c r="V43" s="243">
        <v>14819</v>
      </c>
      <c r="Z43" s="124">
        <f>51293-AB43</f>
        <v>49119</v>
      </c>
      <c r="AB43" s="124">
        <v>2174</v>
      </c>
      <c r="AC43" s="248"/>
      <c r="AD43" s="248"/>
      <c r="AE43" s="264">
        <v>2174</v>
      </c>
      <c r="AF43" s="248"/>
      <c r="AG43" s="248"/>
      <c r="AH43" s="264">
        <v>2174</v>
      </c>
    </row>
    <row r="44" spans="12:34" ht="12.75">
      <c r="L44" s="269" t="s">
        <v>311</v>
      </c>
      <c r="X44" s="269" t="s">
        <v>285</v>
      </c>
      <c r="Y44" s="170"/>
      <c r="Z44" s="170"/>
      <c r="AA44" s="170"/>
      <c r="AB44" s="269" t="s">
        <v>286</v>
      </c>
      <c r="AC44" s="143"/>
      <c r="AD44" s="143"/>
      <c r="AE44" s="247"/>
      <c r="AF44" s="143"/>
      <c r="AG44" s="143"/>
      <c r="AH44" s="247"/>
    </row>
    <row r="45" spans="12:34" ht="12.75">
      <c r="L45" s="269" t="s">
        <v>309</v>
      </c>
      <c r="X45" s="269" t="s">
        <v>213</v>
      </c>
      <c r="Y45" s="170"/>
      <c r="Z45" s="170"/>
      <c r="AA45" s="170"/>
      <c r="AE45" s="244"/>
      <c r="AH45" s="244"/>
    </row>
    <row r="46" spans="12:34" ht="12.75">
      <c r="L46" s="143" t="s">
        <v>310</v>
      </c>
      <c r="X46" s="269" t="s">
        <v>308</v>
      </c>
      <c r="Y46" s="170"/>
      <c r="Z46" s="170"/>
      <c r="AA46" s="170"/>
      <c r="AB46" s="170"/>
      <c r="AE46" s="244"/>
      <c r="AH46" s="244"/>
    </row>
    <row r="47" spans="12:34" ht="12.75">
      <c r="L47" t="s">
        <v>86</v>
      </c>
      <c r="AE47" s="244"/>
      <c r="AH47" s="244"/>
    </row>
    <row r="48" spans="31:34" ht="12.75">
      <c r="AE48" s="244"/>
      <c r="AH48" s="244"/>
    </row>
  </sheetData>
  <mergeCells count="8">
    <mergeCell ref="T3:V3"/>
    <mergeCell ref="AF3:AH3"/>
    <mergeCell ref="X3:Z3"/>
    <mergeCell ref="AC3:AE3"/>
    <mergeCell ref="D3:F3"/>
    <mergeCell ref="H3:J3"/>
    <mergeCell ref="L3:N3"/>
    <mergeCell ref="P3:R3"/>
  </mergeCells>
  <printOptions/>
  <pageMargins left="0.75" right="0.75" top="0.54" bottom="0.59" header="0.5" footer="0.5"/>
  <pageSetup fitToWidth="2" horizontalDpi="600" verticalDpi="600" orientation="landscape" scale="64" r:id="rId1"/>
  <colBreaks count="1" manualBreakCount="1">
    <brk id="18" min="1" max="4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</sheetPr>
  <dimension ref="A2:G44"/>
  <sheetViews>
    <sheetView zoomScale="90" zoomScaleNormal="90" workbookViewId="0" topLeftCell="A10">
      <selection activeCell="B42" sqref="B42"/>
    </sheetView>
  </sheetViews>
  <sheetFormatPr defaultColWidth="9.140625" defaultRowHeight="12.75"/>
  <cols>
    <col min="1" max="1" width="9.7109375" style="0" customWidth="1"/>
    <col min="2" max="4" width="14.7109375" style="0" customWidth="1"/>
    <col min="5" max="5" width="1.7109375" style="0" customWidth="1"/>
    <col min="7" max="7" width="17.57421875" style="0" customWidth="1"/>
  </cols>
  <sheetData>
    <row r="2" ht="18">
      <c r="A2" s="22" t="s">
        <v>53</v>
      </c>
    </row>
    <row r="3" spans="1:4" ht="12.75">
      <c r="A3" s="11"/>
      <c r="B3" s="355" t="s">
        <v>35</v>
      </c>
      <c r="C3" s="356"/>
      <c r="D3" s="357"/>
    </row>
    <row r="4" spans="1:4" ht="12.75">
      <c r="A4" s="12"/>
      <c r="B4" s="145" t="s">
        <v>36</v>
      </c>
      <c r="C4" s="19" t="s">
        <v>37</v>
      </c>
      <c r="D4" s="20" t="s">
        <v>38</v>
      </c>
    </row>
    <row r="5" spans="1:4" ht="12.75">
      <c r="A5" s="4" t="s">
        <v>0</v>
      </c>
      <c r="B5" s="166">
        <v>5896</v>
      </c>
      <c r="C5" s="43">
        <f>SUM(B5/$B$38)</f>
        <v>0.17072535109309397</v>
      </c>
      <c r="D5" s="85">
        <f>ROUND(C5*$D$43,0)-3</f>
        <v>1876</v>
      </c>
    </row>
    <row r="6" spans="1:4" ht="12.75">
      <c r="A6" s="4" t="s">
        <v>10</v>
      </c>
      <c r="B6" s="167">
        <v>1612</v>
      </c>
      <c r="C6" s="43">
        <f aca="true" t="shared" si="0" ref="C6:C37">SUM(B6/$B$38)</f>
        <v>0.04667728391486897</v>
      </c>
      <c r="D6" s="85">
        <f>ROUND(C6*$D$43,0)</f>
        <v>514</v>
      </c>
    </row>
    <row r="7" spans="1:4" ht="12.75">
      <c r="A7" s="4" t="s">
        <v>11</v>
      </c>
      <c r="B7" s="167">
        <v>543</v>
      </c>
      <c r="C7" s="43">
        <f t="shared" si="0"/>
        <v>0.0157231793832344</v>
      </c>
      <c r="D7" s="85">
        <f aca="true" t="shared" si="1" ref="D7:D37">ROUND(C7*$D$43,0)</f>
        <v>173</v>
      </c>
    </row>
    <row r="8" spans="1:4" ht="12.75">
      <c r="A8" s="4" t="s">
        <v>12</v>
      </c>
      <c r="B8" s="167">
        <v>1306</v>
      </c>
      <c r="C8" s="43">
        <f t="shared" si="0"/>
        <v>0.037816707687852905</v>
      </c>
      <c r="D8" s="85">
        <f t="shared" si="1"/>
        <v>416</v>
      </c>
    </row>
    <row r="9" spans="1:4" ht="12.75">
      <c r="A9" s="4" t="s">
        <v>13</v>
      </c>
      <c r="B9" s="167">
        <v>1288</v>
      </c>
      <c r="C9" s="43">
        <f t="shared" si="0"/>
        <v>0.03729549732155784</v>
      </c>
      <c r="D9" s="85">
        <f t="shared" si="1"/>
        <v>411</v>
      </c>
    </row>
    <row r="10" spans="1:4" ht="12.75">
      <c r="A10" s="4" t="s">
        <v>14</v>
      </c>
      <c r="B10" s="167">
        <v>3423</v>
      </c>
      <c r="C10" s="43">
        <f t="shared" si="0"/>
        <v>0.09911683799044448</v>
      </c>
      <c r="D10" s="85">
        <f t="shared" si="1"/>
        <v>1091</v>
      </c>
    </row>
    <row r="11" spans="1:4" ht="12.75">
      <c r="A11" s="4" t="s">
        <v>15</v>
      </c>
      <c r="B11" s="167">
        <v>199</v>
      </c>
      <c r="C11" s="43">
        <f t="shared" si="0"/>
        <v>0.00576227016070653</v>
      </c>
      <c r="D11" s="85">
        <f t="shared" si="1"/>
        <v>63</v>
      </c>
    </row>
    <row r="12" spans="1:4" ht="12.75">
      <c r="A12" s="4" t="s">
        <v>16</v>
      </c>
      <c r="B12" s="167">
        <v>1364</v>
      </c>
      <c r="C12" s="43">
        <f t="shared" si="0"/>
        <v>0.03949616331258144</v>
      </c>
      <c r="D12" s="85">
        <f t="shared" si="1"/>
        <v>435</v>
      </c>
    </row>
    <row r="13" spans="1:4" ht="12.75">
      <c r="A13" s="4" t="s">
        <v>17</v>
      </c>
      <c r="B13" s="167">
        <v>655</v>
      </c>
      <c r="C13" s="43">
        <f t="shared" si="0"/>
        <v>0.018966266106848127</v>
      </c>
      <c r="D13" s="85">
        <f t="shared" si="1"/>
        <v>209</v>
      </c>
    </row>
    <row r="14" spans="1:4" ht="12.75">
      <c r="A14" s="4" t="s">
        <v>18</v>
      </c>
      <c r="B14" s="167">
        <v>34</v>
      </c>
      <c r="C14" s="43">
        <f t="shared" si="0"/>
        <v>0.0009845084696684524</v>
      </c>
      <c r="D14" s="85">
        <f t="shared" si="1"/>
        <v>11</v>
      </c>
    </row>
    <row r="15" spans="1:4" ht="12.75">
      <c r="A15" s="4" t="s">
        <v>19</v>
      </c>
      <c r="B15" s="167">
        <v>363</v>
      </c>
      <c r="C15" s="43">
        <f t="shared" si="0"/>
        <v>0.01051107572028377</v>
      </c>
      <c r="D15" s="85">
        <f t="shared" si="1"/>
        <v>116</v>
      </c>
    </row>
    <row r="16" spans="1:4" ht="12.75">
      <c r="A16" s="4" t="s">
        <v>20</v>
      </c>
      <c r="B16" s="167">
        <v>551</v>
      </c>
      <c r="C16" s="43">
        <f t="shared" si="0"/>
        <v>0.015954828434921093</v>
      </c>
      <c r="D16" s="85">
        <f t="shared" si="1"/>
        <v>176</v>
      </c>
    </row>
    <row r="17" spans="1:4" ht="12.75">
      <c r="A17" s="4" t="s">
        <v>21</v>
      </c>
      <c r="B17" s="167">
        <v>357</v>
      </c>
      <c r="C17" s="43">
        <f t="shared" si="0"/>
        <v>0.010337338931518749</v>
      </c>
      <c r="D17" s="85">
        <f t="shared" si="1"/>
        <v>114</v>
      </c>
    </row>
    <row r="18" spans="1:4" ht="12.75">
      <c r="A18" s="4" t="s">
        <v>22</v>
      </c>
      <c r="B18" s="167">
        <v>1506</v>
      </c>
      <c r="C18" s="43">
        <f t="shared" si="0"/>
        <v>0.04360793398002027</v>
      </c>
      <c r="D18" s="85">
        <f t="shared" si="1"/>
        <v>480</v>
      </c>
    </row>
    <row r="19" spans="1:4" ht="12.75">
      <c r="A19" s="4" t="s">
        <v>23</v>
      </c>
      <c r="B19" s="167">
        <v>383</v>
      </c>
      <c r="C19" s="43">
        <f t="shared" si="0"/>
        <v>0.011090198349500507</v>
      </c>
      <c r="D19" s="85">
        <f t="shared" si="1"/>
        <v>122</v>
      </c>
    </row>
    <row r="20" spans="1:4" ht="12.75">
      <c r="A20" s="4" t="s">
        <v>24</v>
      </c>
      <c r="B20" s="167">
        <v>445</v>
      </c>
      <c r="C20" s="43">
        <f t="shared" si="0"/>
        <v>0.01288547850007239</v>
      </c>
      <c r="D20" s="85">
        <f t="shared" si="1"/>
        <v>142</v>
      </c>
    </row>
    <row r="21" spans="1:4" ht="12.75">
      <c r="A21" s="4" t="s">
        <v>25</v>
      </c>
      <c r="B21" s="167">
        <v>78</v>
      </c>
      <c r="C21" s="43">
        <f t="shared" si="0"/>
        <v>0.002258578253945273</v>
      </c>
      <c r="D21" s="85">
        <f t="shared" si="1"/>
        <v>25</v>
      </c>
    </row>
    <row r="22" spans="1:4" ht="12.75">
      <c r="A22" s="4" t="s">
        <v>26</v>
      </c>
      <c r="B22" s="167">
        <v>642</v>
      </c>
      <c r="C22" s="43">
        <f t="shared" si="0"/>
        <v>0.018589836397857246</v>
      </c>
      <c r="D22" s="85">
        <f t="shared" si="1"/>
        <v>205</v>
      </c>
    </row>
    <row r="23" spans="1:4" ht="12.75">
      <c r="A23" s="4" t="s">
        <v>27</v>
      </c>
      <c r="B23" s="167">
        <v>152</v>
      </c>
      <c r="C23" s="43">
        <f t="shared" si="0"/>
        <v>0.004401331982047198</v>
      </c>
      <c r="D23" s="85">
        <f t="shared" si="1"/>
        <v>48</v>
      </c>
    </row>
    <row r="24" spans="1:4" ht="12.75">
      <c r="A24" s="4" t="s">
        <v>28</v>
      </c>
      <c r="B24" s="167">
        <v>140</v>
      </c>
      <c r="C24" s="43">
        <f t="shared" si="0"/>
        <v>0.004053858404517156</v>
      </c>
      <c r="D24" s="85">
        <f t="shared" si="1"/>
        <v>45</v>
      </c>
    </row>
    <row r="25" spans="1:4" ht="12.75">
      <c r="A25" s="4" t="s">
        <v>29</v>
      </c>
      <c r="B25" s="167">
        <v>172</v>
      </c>
      <c r="C25" s="43">
        <f t="shared" si="0"/>
        <v>0.004980454611263935</v>
      </c>
      <c r="D25" s="85">
        <f t="shared" si="1"/>
        <v>55</v>
      </c>
    </row>
    <row r="26" spans="1:4" ht="12.75">
      <c r="A26" s="4" t="s">
        <v>30</v>
      </c>
      <c r="B26" s="167">
        <v>49</v>
      </c>
      <c r="C26" s="43">
        <f t="shared" si="0"/>
        <v>0.0014188504415810048</v>
      </c>
      <c r="D26" s="85">
        <f t="shared" si="1"/>
        <v>16</v>
      </c>
    </row>
    <row r="27" spans="1:4" ht="12.75">
      <c r="A27" s="4" t="s">
        <v>31</v>
      </c>
      <c r="B27" s="167">
        <v>85</v>
      </c>
      <c r="C27" s="43">
        <f t="shared" si="0"/>
        <v>0.0024612711741711308</v>
      </c>
      <c r="D27" s="85">
        <f t="shared" si="1"/>
        <v>27</v>
      </c>
    </row>
    <row r="28" spans="1:4" ht="12.75">
      <c r="A28" s="4" t="s">
        <v>32</v>
      </c>
      <c r="B28" s="167">
        <v>1358</v>
      </c>
      <c r="C28" s="43">
        <f t="shared" si="0"/>
        <v>0.03932242652381642</v>
      </c>
      <c r="D28" s="85">
        <f t="shared" si="1"/>
        <v>433</v>
      </c>
    </row>
    <row r="29" spans="1:4" ht="12.75">
      <c r="A29" s="4" t="s">
        <v>33</v>
      </c>
      <c r="B29" s="167">
        <v>0</v>
      </c>
      <c r="C29" s="43">
        <f t="shared" si="0"/>
        <v>0</v>
      </c>
      <c r="D29" s="85">
        <f t="shared" si="1"/>
        <v>0</v>
      </c>
    </row>
    <row r="30" spans="1:4" ht="12.75">
      <c r="A30" s="4" t="s">
        <v>6</v>
      </c>
      <c r="B30" s="167">
        <v>1653</v>
      </c>
      <c r="C30" s="43">
        <f t="shared" si="0"/>
        <v>0.04786448530476328</v>
      </c>
      <c r="D30" s="85">
        <f t="shared" si="1"/>
        <v>527</v>
      </c>
    </row>
    <row r="31" spans="1:4" ht="12.75">
      <c r="A31" s="4" t="s">
        <v>45</v>
      </c>
      <c r="B31" s="167">
        <v>1107</v>
      </c>
      <c r="C31" s="43">
        <f t="shared" si="0"/>
        <v>0.03205443752714637</v>
      </c>
      <c r="D31" s="85">
        <f t="shared" si="1"/>
        <v>353</v>
      </c>
    </row>
    <row r="32" spans="1:4" ht="12.75">
      <c r="A32" s="4" t="s">
        <v>34</v>
      </c>
      <c r="B32" s="167">
        <v>3620</v>
      </c>
      <c r="C32" s="43">
        <f t="shared" si="0"/>
        <v>0.10482119588822933</v>
      </c>
      <c r="D32" s="85">
        <f t="shared" si="1"/>
        <v>1154</v>
      </c>
    </row>
    <row r="33" spans="1:4" ht="12.75">
      <c r="A33" s="4" t="s">
        <v>3</v>
      </c>
      <c r="B33" s="167">
        <v>464</v>
      </c>
      <c r="C33" s="43">
        <f t="shared" si="0"/>
        <v>0.01343564499782829</v>
      </c>
      <c r="D33" s="85">
        <f t="shared" si="1"/>
        <v>148</v>
      </c>
    </row>
    <row r="34" spans="1:4" ht="12.75">
      <c r="A34" s="4" t="s">
        <v>4</v>
      </c>
      <c r="B34" s="167">
        <v>1797</v>
      </c>
      <c r="C34" s="43">
        <f t="shared" si="0"/>
        <v>0.05203416823512379</v>
      </c>
      <c r="D34" s="85">
        <f t="shared" si="1"/>
        <v>573</v>
      </c>
    </row>
    <row r="35" spans="1:4" ht="12.75">
      <c r="A35" s="4" t="s">
        <v>7</v>
      </c>
      <c r="B35" s="167">
        <v>1700</v>
      </c>
      <c r="C35" s="43">
        <f t="shared" si="0"/>
        <v>0.04922542348342261</v>
      </c>
      <c r="D35" s="85">
        <f t="shared" si="1"/>
        <v>542</v>
      </c>
    </row>
    <row r="36" spans="1:4" ht="12.75">
      <c r="A36" s="4" t="s">
        <v>106</v>
      </c>
      <c r="B36" s="167">
        <v>1372</v>
      </c>
      <c r="C36" s="43">
        <f t="shared" si="0"/>
        <v>0.03972781236426813</v>
      </c>
      <c r="D36" s="85">
        <f t="shared" si="1"/>
        <v>437</v>
      </c>
    </row>
    <row r="37" spans="1:4" ht="12.75">
      <c r="A37" s="4" t="s">
        <v>93</v>
      </c>
      <c r="B37" s="168">
        <v>221</v>
      </c>
      <c r="C37" s="43">
        <f t="shared" si="0"/>
        <v>0.00639930505284494</v>
      </c>
      <c r="D37" s="165">
        <f t="shared" si="1"/>
        <v>70</v>
      </c>
    </row>
    <row r="38" spans="1:4" ht="12.75">
      <c r="A38" s="99" t="s">
        <v>35</v>
      </c>
      <c r="B38" s="33">
        <f>SUM(B5:B37)</f>
        <v>34535</v>
      </c>
      <c r="C38" s="197">
        <f>SUM(C5:C37)</f>
        <v>1</v>
      </c>
      <c r="D38" s="50">
        <f>SUM(D5:D37)</f>
        <v>11007</v>
      </c>
    </row>
    <row r="39" ht="12.75">
      <c r="A39" s="96" t="s">
        <v>197</v>
      </c>
    </row>
    <row r="40" spans="1:4" ht="12.75">
      <c r="A40" s="143"/>
      <c r="D40" s="53"/>
    </row>
    <row r="41" ht="12.75">
      <c r="A41" s="143"/>
    </row>
    <row r="43" spans="4:7" ht="15.75">
      <c r="D43" s="124">
        <v>11007</v>
      </c>
      <c r="G43" s="279"/>
    </row>
    <row r="44" spans="4:7" ht="15.75">
      <c r="D44" s="82"/>
      <c r="G44" s="280"/>
    </row>
  </sheetData>
  <mergeCells count="1">
    <mergeCell ref="B3:D3"/>
  </mergeCells>
  <printOptions/>
  <pageMargins left="0.75" right="0.75" top="0.54" bottom="0.59" header="0.5" footer="0.5"/>
  <pageSetup horizontalDpi="600" verticalDpi="600" orientation="landscape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2:F43"/>
  <sheetViews>
    <sheetView zoomScale="90" zoomScaleNormal="90" workbookViewId="0" topLeftCell="A10">
      <selection activeCell="B38" sqref="B38"/>
    </sheetView>
  </sheetViews>
  <sheetFormatPr defaultColWidth="9.140625" defaultRowHeight="12.75"/>
  <cols>
    <col min="1" max="1" width="9.7109375" style="0" customWidth="1"/>
    <col min="2" max="4" width="14.7109375" style="0" customWidth="1"/>
    <col min="5" max="5" width="1.57421875" style="0" customWidth="1"/>
  </cols>
  <sheetData>
    <row r="2" ht="18">
      <c r="A2" s="22" t="s">
        <v>70</v>
      </c>
    </row>
    <row r="3" spans="1:4" ht="12.75">
      <c r="A3" s="11"/>
      <c r="B3" s="355" t="s">
        <v>35</v>
      </c>
      <c r="C3" s="356"/>
      <c r="D3" s="357"/>
    </row>
    <row r="4" spans="1:4" ht="12.75">
      <c r="A4" s="12"/>
      <c r="B4" s="19" t="s">
        <v>36</v>
      </c>
      <c r="C4" s="19" t="s">
        <v>37</v>
      </c>
      <c r="D4" s="20" t="s">
        <v>38</v>
      </c>
    </row>
    <row r="5" spans="1:4" ht="12.75">
      <c r="A5" s="4" t="s">
        <v>0</v>
      </c>
      <c r="B5" s="31">
        <f>SUM(PB!B6)</f>
        <v>4718949</v>
      </c>
      <c r="C5" s="43">
        <f>SUM(B5/$B$38)</f>
        <v>0.16839315827511442</v>
      </c>
      <c r="D5" s="31">
        <f>ROUND(C5*$D$43,0)</f>
        <v>4845</v>
      </c>
    </row>
    <row r="6" spans="1:4" ht="12.75">
      <c r="A6" s="4" t="s">
        <v>10</v>
      </c>
      <c r="B6" s="28">
        <f>SUM(PB!B7)</f>
        <v>2886949</v>
      </c>
      <c r="C6" s="43">
        <f>SUM(B6/$B$38)</f>
        <v>0.10301922311285486</v>
      </c>
      <c r="D6" s="28">
        <f>ROUND(C6*$D$43,0)</f>
        <v>2964</v>
      </c>
    </row>
    <row r="7" spans="1:4" ht="12.75">
      <c r="A7" s="4" t="s">
        <v>11</v>
      </c>
      <c r="B7" s="28">
        <f>SUM(PB!B8)</f>
        <v>384591</v>
      </c>
      <c r="C7" s="43">
        <f aca="true" t="shared" si="0" ref="C7:C30">SUM(B7/$B$38)</f>
        <v>0.013723923088421708</v>
      </c>
      <c r="D7" s="28">
        <f aca="true" t="shared" si="1" ref="D7:D30">ROUND(C7*$D$43,0)</f>
        <v>395</v>
      </c>
    </row>
    <row r="8" spans="1:4" ht="12.75">
      <c r="A8" s="4" t="s">
        <v>12</v>
      </c>
      <c r="B8" s="28">
        <f>SUM(PB!B9)</f>
        <v>1835581</v>
      </c>
      <c r="C8" s="43">
        <f t="shared" si="0"/>
        <v>0.06550172122220282</v>
      </c>
      <c r="D8" s="28">
        <f t="shared" si="1"/>
        <v>1884</v>
      </c>
    </row>
    <row r="9" spans="1:4" ht="12.75">
      <c r="A9" s="4" t="s">
        <v>13</v>
      </c>
      <c r="B9" s="28">
        <f>SUM(PB!B10)</f>
        <v>1516815</v>
      </c>
      <c r="C9" s="43">
        <f t="shared" si="0"/>
        <v>0.05412672787289451</v>
      </c>
      <c r="D9" s="28">
        <f t="shared" si="1"/>
        <v>1557</v>
      </c>
    </row>
    <row r="10" spans="1:4" ht="12.75">
      <c r="A10" s="4" t="s">
        <v>14</v>
      </c>
      <c r="B10" s="28">
        <f>SUM(PB!B11)</f>
        <v>4535889</v>
      </c>
      <c r="C10" s="43">
        <f t="shared" si="0"/>
        <v>0.16186076058362794</v>
      </c>
      <c r="D10" s="28">
        <f t="shared" si="1"/>
        <v>4657</v>
      </c>
    </row>
    <row r="11" spans="1:4" ht="12.75">
      <c r="A11" s="4" t="s">
        <v>15</v>
      </c>
      <c r="B11" s="28">
        <f>SUM(PB!B12)</f>
        <v>1915939</v>
      </c>
      <c r="C11" s="43">
        <f t="shared" si="0"/>
        <v>0.06836925325373605</v>
      </c>
      <c r="D11" s="28">
        <f t="shared" si="1"/>
        <v>1967</v>
      </c>
    </row>
    <row r="12" spans="1:4" ht="12.75">
      <c r="A12" s="4" t="s">
        <v>16</v>
      </c>
      <c r="B12" s="28">
        <f>SUM(PB!B13)</f>
        <v>1248264</v>
      </c>
      <c r="C12" s="43">
        <f t="shared" si="0"/>
        <v>0.044543629804248246</v>
      </c>
      <c r="D12" s="28">
        <f t="shared" si="1"/>
        <v>1282</v>
      </c>
    </row>
    <row r="13" spans="1:4" ht="12.75">
      <c r="A13" s="4" t="s">
        <v>17</v>
      </c>
      <c r="B13" s="28">
        <f>SUM(PB!B14)</f>
        <v>659035</v>
      </c>
      <c r="C13" s="43">
        <f t="shared" si="0"/>
        <v>0.02351730969413741</v>
      </c>
      <c r="D13" s="28">
        <f t="shared" si="1"/>
        <v>677</v>
      </c>
    </row>
    <row r="14" spans="1:4" ht="12.75">
      <c r="A14" s="4" t="s">
        <v>18</v>
      </c>
      <c r="B14" s="28">
        <f>SUM(PB!B15)</f>
        <v>628978</v>
      </c>
      <c r="C14" s="43">
        <f t="shared" si="0"/>
        <v>0.02244474180703477</v>
      </c>
      <c r="D14" s="28">
        <f t="shared" si="1"/>
        <v>646</v>
      </c>
    </row>
    <row r="15" spans="1:4" ht="12.75">
      <c r="A15" s="4" t="s">
        <v>19</v>
      </c>
      <c r="B15" s="28">
        <f>SUM(PB!B16)</f>
        <v>1033365</v>
      </c>
      <c r="C15" s="43">
        <f t="shared" si="0"/>
        <v>0.0368750745136181</v>
      </c>
      <c r="D15" s="28">
        <f t="shared" si="1"/>
        <v>1061</v>
      </c>
    </row>
    <row r="16" spans="1:4" ht="12.75">
      <c r="A16" s="4" t="s">
        <v>20</v>
      </c>
      <c r="B16" s="28">
        <f>SUM(PB!B17)</f>
        <v>501396</v>
      </c>
      <c r="C16" s="43">
        <f t="shared" si="0"/>
        <v>0.01789204672195213</v>
      </c>
      <c r="D16" s="28">
        <f t="shared" si="1"/>
        <v>515</v>
      </c>
    </row>
    <row r="17" spans="1:4" ht="12.75">
      <c r="A17" s="4" t="s">
        <v>21</v>
      </c>
      <c r="B17" s="28">
        <f>SUM(PB!B18)</f>
        <v>388507</v>
      </c>
      <c r="C17" s="43">
        <f t="shared" si="0"/>
        <v>0.013863663443277281</v>
      </c>
      <c r="D17" s="28">
        <f t="shared" si="1"/>
        <v>399</v>
      </c>
    </row>
    <row r="18" spans="1:4" ht="12.75">
      <c r="A18" s="4" t="s">
        <v>22</v>
      </c>
      <c r="B18" s="28">
        <f>SUM(PB!B19)</f>
        <v>1386920</v>
      </c>
      <c r="C18" s="43">
        <f t="shared" si="0"/>
        <v>0.04949149462622328</v>
      </c>
      <c r="D18" s="28">
        <f t="shared" si="1"/>
        <v>1424</v>
      </c>
    </row>
    <row r="19" spans="1:4" ht="12.75">
      <c r="A19" s="4" t="s">
        <v>23</v>
      </c>
      <c r="B19" s="28">
        <f>SUM(PB!B20)</f>
        <v>987195</v>
      </c>
      <c r="C19" s="43">
        <f t="shared" si="0"/>
        <v>0.03522752288346443</v>
      </c>
      <c r="D19" s="28">
        <f t="shared" si="1"/>
        <v>1013</v>
      </c>
    </row>
    <row r="20" spans="1:4" ht="12.75">
      <c r="A20" s="4" t="s">
        <v>24</v>
      </c>
      <c r="B20" s="28">
        <f>SUM(PB!B21)</f>
        <v>430760</v>
      </c>
      <c r="C20" s="43">
        <f t="shared" si="0"/>
        <v>0.015371439034112954</v>
      </c>
      <c r="D20" s="28">
        <f t="shared" si="1"/>
        <v>442</v>
      </c>
    </row>
    <row r="21" spans="1:4" ht="12.75">
      <c r="A21" s="4" t="s">
        <v>25</v>
      </c>
      <c r="B21" s="28">
        <f>SUM(PB!B22)</f>
        <v>135992</v>
      </c>
      <c r="C21" s="43">
        <f t="shared" si="0"/>
        <v>0.004852801414075329</v>
      </c>
      <c r="D21" s="28">
        <f t="shared" si="1"/>
        <v>140</v>
      </c>
    </row>
    <row r="22" spans="1:4" ht="12.75">
      <c r="A22" s="4" t="s">
        <v>26</v>
      </c>
      <c r="B22" s="28">
        <f>SUM(PB!B23)</f>
        <v>478036</v>
      </c>
      <c r="C22" s="43">
        <f t="shared" si="0"/>
        <v>0.01705845767970847</v>
      </c>
      <c r="D22" s="28">
        <f t="shared" si="1"/>
        <v>491</v>
      </c>
    </row>
    <row r="23" spans="1:4" ht="12.75">
      <c r="A23" s="4" t="s">
        <v>27</v>
      </c>
      <c r="B23" s="28">
        <f>SUM(PB!B24)</f>
        <v>296526</v>
      </c>
      <c r="C23" s="43">
        <f t="shared" si="0"/>
        <v>0.010581370904980448</v>
      </c>
      <c r="D23" s="28">
        <f t="shared" si="1"/>
        <v>304</v>
      </c>
    </row>
    <row r="24" spans="1:4" ht="12.75">
      <c r="A24" s="4" t="s">
        <v>28</v>
      </c>
      <c r="B24" s="28">
        <f>SUM(PB!B25)</f>
        <v>1097723</v>
      </c>
      <c r="C24" s="43">
        <f t="shared" si="0"/>
        <v>0.03917165514635429</v>
      </c>
      <c r="D24" s="28">
        <f t="shared" si="1"/>
        <v>1127</v>
      </c>
    </row>
    <row r="25" spans="1:4" ht="12.75">
      <c r="A25" s="4" t="s">
        <v>29</v>
      </c>
      <c r="B25" s="28">
        <f>SUM(PB!B26)</f>
        <v>120108</v>
      </c>
      <c r="C25" s="43">
        <f t="shared" si="0"/>
        <v>0.004285989412919581</v>
      </c>
      <c r="D25" s="28">
        <f t="shared" si="1"/>
        <v>123</v>
      </c>
    </row>
    <row r="26" spans="1:4" ht="12.75">
      <c r="A26" s="4" t="s">
        <v>30</v>
      </c>
      <c r="B26" s="28">
        <f>SUM(PB!B27)</f>
        <v>191917</v>
      </c>
      <c r="C26" s="43">
        <f t="shared" si="0"/>
        <v>0.006848454975183062</v>
      </c>
      <c r="D26" s="28">
        <f t="shared" si="1"/>
        <v>197</v>
      </c>
    </row>
    <row r="27" spans="1:4" ht="12.75">
      <c r="A27" s="4" t="s">
        <v>31</v>
      </c>
      <c r="B27" s="28">
        <f>SUM(PB!B28)</f>
        <v>65716</v>
      </c>
      <c r="C27" s="43">
        <f t="shared" si="0"/>
        <v>0.0023450401327090886</v>
      </c>
      <c r="D27" s="28">
        <f t="shared" si="1"/>
        <v>67</v>
      </c>
    </row>
    <row r="28" spans="1:4" ht="12.75">
      <c r="A28" s="4" t="s">
        <v>32</v>
      </c>
      <c r="B28" s="28">
        <f>SUM(PB!B29)</f>
        <v>304268</v>
      </c>
      <c r="C28" s="43">
        <f t="shared" si="0"/>
        <v>0.01085764001307336</v>
      </c>
      <c r="D28" s="28">
        <f t="shared" si="1"/>
        <v>312</v>
      </c>
    </row>
    <row r="29" spans="1:4" ht="12.75">
      <c r="A29" s="4" t="s">
        <v>33</v>
      </c>
      <c r="B29" s="28">
        <f>SUM(PB!B30)</f>
        <v>0</v>
      </c>
      <c r="C29" s="43">
        <f t="shared" si="0"/>
        <v>0</v>
      </c>
      <c r="D29" s="28">
        <f t="shared" si="1"/>
        <v>0</v>
      </c>
    </row>
    <row r="30" spans="1:4" ht="12.75">
      <c r="A30" s="4" t="s">
        <v>6</v>
      </c>
      <c r="B30" s="28">
        <f>SUM(PB!B31)</f>
        <v>273982</v>
      </c>
      <c r="C30" s="43">
        <f t="shared" si="0"/>
        <v>0.009776900384075438</v>
      </c>
      <c r="D30" s="28">
        <f t="shared" si="1"/>
        <v>281</v>
      </c>
    </row>
    <row r="31" spans="1:4" ht="12.75">
      <c r="A31" s="4" t="s">
        <v>45</v>
      </c>
      <c r="B31" s="46"/>
      <c r="C31" s="46"/>
      <c r="D31" s="46"/>
    </row>
    <row r="32" spans="1:4" ht="12.75">
      <c r="A32" s="4" t="s">
        <v>34</v>
      </c>
      <c r="B32" s="46"/>
      <c r="C32" s="46"/>
      <c r="D32" s="46"/>
    </row>
    <row r="33" spans="1:4" ht="12.75">
      <c r="A33" s="4" t="s">
        <v>3</v>
      </c>
      <c r="B33" s="46"/>
      <c r="C33" s="46"/>
      <c r="D33" s="46"/>
    </row>
    <row r="34" spans="1:4" ht="12.75">
      <c r="A34" s="4" t="s">
        <v>4</v>
      </c>
      <c r="B34" s="46"/>
      <c r="C34" s="46"/>
      <c r="D34" s="46"/>
    </row>
    <row r="35" spans="1:4" ht="12.75">
      <c r="A35" s="4" t="s">
        <v>7</v>
      </c>
      <c r="B35" s="46"/>
      <c r="C35" s="46"/>
      <c r="D35" s="46"/>
    </row>
    <row r="36" spans="1:4" ht="12.75">
      <c r="A36" s="4" t="s">
        <v>106</v>
      </c>
      <c r="B36" s="46"/>
      <c r="C36" s="46"/>
      <c r="D36" s="46"/>
    </row>
    <row r="37" spans="1:4" ht="12.75">
      <c r="A37" s="4" t="s">
        <v>93</v>
      </c>
      <c r="B37" s="46"/>
      <c r="C37" s="46"/>
      <c r="D37" s="46"/>
    </row>
    <row r="38" spans="1:6" ht="12.75">
      <c r="A38" s="99" t="s">
        <v>35</v>
      </c>
      <c r="B38" s="282">
        <f>SUM(B5:B34)</f>
        <v>28023401</v>
      </c>
      <c r="C38" s="197">
        <f>SUM(C5:C30)</f>
        <v>0.9999999999999999</v>
      </c>
      <c r="D38" s="35">
        <f>SUM(D5:D37)</f>
        <v>28770</v>
      </c>
      <c r="F38" s="53"/>
    </row>
    <row r="39" ht="12.75">
      <c r="A39" s="96" t="s">
        <v>172</v>
      </c>
    </row>
    <row r="40" ht="12.75">
      <c r="A40" s="96"/>
    </row>
    <row r="41" spans="1:2" ht="12.75">
      <c r="A41" s="143"/>
      <c r="B41" s="53"/>
    </row>
    <row r="42" ht="12.75">
      <c r="A42" s="143"/>
    </row>
    <row r="43" ht="12.75">
      <c r="D43" s="124">
        <v>28770</v>
      </c>
    </row>
  </sheetData>
  <mergeCells count="1">
    <mergeCell ref="B3:D3"/>
  </mergeCells>
  <printOptions/>
  <pageMargins left="0.75" right="0.75" top="0.54" bottom="0.59" header="0.5" footer="0.5"/>
  <pageSetup horizontalDpi="600" verticalDpi="600" orientation="landscape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</sheetPr>
  <dimension ref="A2:AD52"/>
  <sheetViews>
    <sheetView zoomScale="90" zoomScaleNormal="90" workbookViewId="0" topLeftCell="A1">
      <pane xSplit="3" ySplit="4" topLeftCell="D14" activePane="bottomRight" state="frozen"/>
      <selection pane="topLeft" activeCell="B42" sqref="B42"/>
      <selection pane="topRight" activeCell="B42" sqref="B42"/>
      <selection pane="bottomLeft" activeCell="B42" sqref="B42"/>
      <selection pane="bottomRight" activeCell="L38" sqref="L38"/>
    </sheetView>
  </sheetViews>
  <sheetFormatPr defaultColWidth="9.140625" defaultRowHeight="12.75"/>
  <cols>
    <col min="2" max="2" width="11.57421875" style="30" customWidth="1"/>
    <col min="3" max="3" width="2.7109375" style="0" customWidth="1"/>
    <col min="4" max="4" width="13.7109375" style="0" customWidth="1"/>
    <col min="5" max="6" width="11.28125" style="0" customWidth="1"/>
    <col min="7" max="7" width="2.57421875" style="0" customWidth="1"/>
    <col min="8" max="10" width="11.140625" style="0" customWidth="1"/>
    <col min="11" max="11" width="3.00390625" style="0" customWidth="1"/>
    <col min="12" max="12" width="12.8515625" style="0" customWidth="1"/>
    <col min="13" max="14" width="11.57421875" style="0" customWidth="1"/>
    <col min="15" max="15" width="2.57421875" style="0" customWidth="1"/>
    <col min="16" max="16" width="12.421875" style="0" customWidth="1"/>
    <col min="17" max="18" width="10.7109375" style="0" customWidth="1"/>
    <col min="19" max="19" width="2.421875" style="0" customWidth="1"/>
    <col min="20" max="20" width="11.28125" style="0" customWidth="1"/>
    <col min="21" max="21" width="10.7109375" style="0" customWidth="1"/>
    <col min="22" max="22" width="11.28125" style="0" customWidth="1"/>
    <col min="23" max="23" width="2.421875" style="0" customWidth="1"/>
    <col min="27" max="27" width="2.28125" style="0" customWidth="1"/>
    <col min="28" max="28" width="13.140625" style="0" customWidth="1"/>
    <col min="29" max="30" width="10.8515625" style="0" customWidth="1"/>
  </cols>
  <sheetData>
    <row r="2" spans="1:13" ht="18">
      <c r="A2" s="22" t="s">
        <v>200</v>
      </c>
      <c r="C2" s="143"/>
      <c r="M2" s="144"/>
    </row>
    <row r="3" spans="1:30" ht="12.75">
      <c r="A3" s="11"/>
      <c r="B3" s="41"/>
      <c r="C3" s="229"/>
      <c r="D3" s="355" t="s">
        <v>267</v>
      </c>
      <c r="E3" s="356"/>
      <c r="F3" s="357"/>
      <c r="H3" s="355" t="s">
        <v>50</v>
      </c>
      <c r="I3" s="356"/>
      <c r="J3" s="357"/>
      <c r="L3" s="366" t="s">
        <v>268</v>
      </c>
      <c r="M3" s="367"/>
      <c r="N3" s="348"/>
      <c r="P3" s="366" t="s">
        <v>266</v>
      </c>
      <c r="Q3" s="367"/>
      <c r="R3" s="348"/>
      <c r="T3" s="366" t="s">
        <v>276</v>
      </c>
      <c r="U3" s="367"/>
      <c r="V3" s="348"/>
      <c r="X3" s="366" t="s">
        <v>171</v>
      </c>
      <c r="Y3" s="367"/>
      <c r="Z3" s="348"/>
      <c r="AA3" s="144"/>
      <c r="AB3" s="366" t="s">
        <v>274</v>
      </c>
      <c r="AC3" s="367"/>
      <c r="AD3" s="348"/>
    </row>
    <row r="4" spans="1:30" ht="12.75">
      <c r="A4" s="12"/>
      <c r="B4" s="315" t="s">
        <v>35</v>
      </c>
      <c r="C4" s="241"/>
      <c r="D4" s="19" t="s">
        <v>94</v>
      </c>
      <c r="E4" s="19" t="s">
        <v>37</v>
      </c>
      <c r="F4" s="20" t="s">
        <v>38</v>
      </c>
      <c r="H4" s="19" t="s">
        <v>36</v>
      </c>
      <c r="I4" s="19" t="s">
        <v>37</v>
      </c>
      <c r="J4" s="20" t="s">
        <v>38</v>
      </c>
      <c r="L4" s="145" t="s">
        <v>36</v>
      </c>
      <c r="M4" s="145" t="s">
        <v>37</v>
      </c>
      <c r="N4" s="147" t="s">
        <v>38</v>
      </c>
      <c r="P4" s="145" t="s">
        <v>36</v>
      </c>
      <c r="Q4" s="145" t="s">
        <v>37</v>
      </c>
      <c r="R4" s="147" t="s">
        <v>38</v>
      </c>
      <c r="T4" s="145" t="s">
        <v>36</v>
      </c>
      <c r="U4" s="145" t="s">
        <v>37</v>
      </c>
      <c r="V4" s="146" t="s">
        <v>38</v>
      </c>
      <c r="X4" s="145" t="s">
        <v>36</v>
      </c>
      <c r="Y4" s="145" t="s">
        <v>37</v>
      </c>
      <c r="Z4" s="146" t="s">
        <v>38</v>
      </c>
      <c r="AA4" s="144"/>
      <c r="AB4" s="145" t="s">
        <v>36</v>
      </c>
      <c r="AC4" s="145" t="s">
        <v>37</v>
      </c>
      <c r="AD4" s="146" t="s">
        <v>38</v>
      </c>
    </row>
    <row r="5" spans="1:30" ht="12.75">
      <c r="A5" s="4" t="s">
        <v>0</v>
      </c>
      <c r="B5" s="296">
        <f>+F5+J5+N5+R5++V5+Z5+AD5</f>
        <v>8783</v>
      </c>
      <c r="C5" s="164"/>
      <c r="D5" s="31">
        <f>SUM(PB!F6)</f>
        <v>3308177</v>
      </c>
      <c r="E5" s="54">
        <f>SUM(D5/$D$38)</f>
        <v>0.14120186577952704</v>
      </c>
      <c r="F5" s="31">
        <f>ROUND(E5*$F$43,0)+2</f>
        <v>3949</v>
      </c>
      <c r="H5" s="28">
        <f>SUM('FTEs &amp; onbrd'!F5)</f>
        <v>2919</v>
      </c>
      <c r="I5" s="54">
        <f aca="true" t="shared" si="0" ref="I5:I30">SUM(H5/$H$38)</f>
        <v>0.2293008641005499</v>
      </c>
      <c r="J5" s="32">
        <f>ROUND(I5*$J$43,0)-1</f>
        <v>1058</v>
      </c>
      <c r="L5" s="290">
        <f>+PB!$B6</f>
        <v>4718949</v>
      </c>
      <c r="M5" s="150">
        <f>+L5/$L$38</f>
        <v>0.16839315827511442</v>
      </c>
      <c r="N5" s="151">
        <f>ROUND(M5*$N$43,0)+1</f>
        <v>2615</v>
      </c>
      <c r="P5" s="290">
        <f>+PB!$B6</f>
        <v>4718949</v>
      </c>
      <c r="Q5" s="150">
        <f>+P5/$P$38</f>
        <v>0.16839315827511442</v>
      </c>
      <c r="R5" s="151">
        <f>ROUND(Q5*$R$43,0)+2</f>
        <v>372</v>
      </c>
      <c r="T5" s="154">
        <f>+'School Tax'!B11</f>
        <v>696729</v>
      </c>
      <c r="U5" s="150">
        <f>+'School Tax'!D11</f>
        <v>0.27479143027186537</v>
      </c>
      <c r="V5" s="151">
        <f>ROUND(U5*$V$43,0)+2</f>
        <v>306</v>
      </c>
      <c r="X5" s="152">
        <f>+'CIT (SSF)'!R5</f>
        <v>5219</v>
      </c>
      <c r="Y5" s="150">
        <f aca="true" t="shared" si="1" ref="Y5:Y37">SUM(X5/$X$38)</f>
        <v>0.16962979816036663</v>
      </c>
      <c r="Z5" s="151">
        <f>ROUND(Y5*$Z$43,0)-3</f>
        <v>314</v>
      </c>
      <c r="AA5" s="144"/>
      <c r="AB5" s="151">
        <f>+PB!B6</f>
        <v>4718949</v>
      </c>
      <c r="AC5" s="150">
        <f>+AB5/$AB$38</f>
        <v>0.16839315827511442</v>
      </c>
      <c r="AD5" s="151">
        <f>ROUND(AC5*$AD$43,0)</f>
        <v>169</v>
      </c>
    </row>
    <row r="6" spans="1:30" ht="12.75">
      <c r="A6" s="4" t="s">
        <v>10</v>
      </c>
      <c r="B6" s="296">
        <f aca="true" t="shared" si="2" ref="B6:B37">+F6+J6+N6+R6++V6+Z6+AD6</f>
        <v>5521</v>
      </c>
      <c r="C6" s="154"/>
      <c r="D6" s="28">
        <f>SUM(PB!F7)</f>
        <v>2617219</v>
      </c>
      <c r="E6" s="54">
        <f aca="true" t="shared" si="3" ref="E6:E30">SUM(D6/$D$38)</f>
        <v>0.11170992542225763</v>
      </c>
      <c r="F6" s="29">
        <f>ROUND(E6*$F$43,0)</f>
        <v>3123</v>
      </c>
      <c r="H6" s="28">
        <f>SUM('FTEs &amp; onbrd'!F6)</f>
        <v>870</v>
      </c>
      <c r="I6" s="54">
        <f t="shared" si="0"/>
        <v>0.06834249803613511</v>
      </c>
      <c r="J6" s="28">
        <f aca="true" t="shared" si="4" ref="J6:J30">ROUND(I6*$J$43,0)</f>
        <v>316</v>
      </c>
      <c r="L6" s="154">
        <f>+PB!$B7</f>
        <v>2886949</v>
      </c>
      <c r="M6" s="150">
        <f aca="true" t="shared" si="5" ref="M6:M30">+L6/$L$38</f>
        <v>0.10301922311285486</v>
      </c>
      <c r="N6" s="154">
        <f aca="true" t="shared" si="6" ref="N6:N30">ROUND(M6*$N$43,0)</f>
        <v>1599</v>
      </c>
      <c r="P6" s="154">
        <f>+PB!$B7</f>
        <v>2886949</v>
      </c>
      <c r="Q6" s="150">
        <f aca="true" t="shared" si="7" ref="Q6:Q30">+P6/$P$38</f>
        <v>0.10301922311285486</v>
      </c>
      <c r="R6" s="154">
        <f aca="true" t="shared" si="8" ref="R6:R30">ROUND(Q6*$R$43,0)</f>
        <v>227</v>
      </c>
      <c r="T6" s="154">
        <f>+'School Tax'!B12</f>
        <v>168515</v>
      </c>
      <c r="U6" s="150">
        <f>+'School Tax'!D12</f>
        <v>0.06646268186377112</v>
      </c>
      <c r="V6" s="154">
        <f aca="true" t="shared" si="9" ref="V6:V28">ROUND(U6*$V$43,0)</f>
        <v>74</v>
      </c>
      <c r="X6" s="154">
        <f>+'CIT (SSF)'!R6</f>
        <v>1287</v>
      </c>
      <c r="Y6" s="150">
        <f t="shared" si="1"/>
        <v>0.041830532713621735</v>
      </c>
      <c r="Z6" s="154">
        <f aca="true" t="shared" si="10" ref="Z6:Z37">ROUND(Y6*$Z$43,0)</f>
        <v>78</v>
      </c>
      <c r="AA6" s="144"/>
      <c r="AB6" s="154">
        <f>+PB!B7</f>
        <v>2886949</v>
      </c>
      <c r="AC6" s="150">
        <f aca="true" t="shared" si="11" ref="AC6:AC30">+AB6/$AB$38</f>
        <v>0.10301922311285486</v>
      </c>
      <c r="AD6" s="154">
        <f aca="true" t="shared" si="12" ref="AD6:AD30">ROUND(AC6*$AD$43,0)</f>
        <v>104</v>
      </c>
    </row>
    <row r="7" spans="1:30" ht="12.75">
      <c r="A7" s="4" t="s">
        <v>11</v>
      </c>
      <c r="B7" s="296">
        <f t="shared" si="2"/>
        <v>769</v>
      </c>
      <c r="C7" s="154"/>
      <c r="D7" s="28">
        <f>SUM(PB!F8)</f>
        <v>305491</v>
      </c>
      <c r="E7" s="54">
        <f t="shared" si="3"/>
        <v>0.013039175104250315</v>
      </c>
      <c r="F7" s="29">
        <f aca="true" t="shared" si="13" ref="F7:F30">ROUND(E7*$F$43,0)</f>
        <v>365</v>
      </c>
      <c r="H7" s="28">
        <f>SUM('FTEs &amp; onbrd'!F7)</f>
        <v>244</v>
      </c>
      <c r="I7" s="54">
        <f t="shared" si="0"/>
        <v>0.019167321288295364</v>
      </c>
      <c r="J7" s="28">
        <f t="shared" si="4"/>
        <v>89</v>
      </c>
      <c r="L7" s="154">
        <f>+PB!$B8</f>
        <v>384591</v>
      </c>
      <c r="M7" s="150">
        <f t="shared" si="5"/>
        <v>0.013723923088421708</v>
      </c>
      <c r="N7" s="154">
        <f t="shared" si="6"/>
        <v>213</v>
      </c>
      <c r="P7" s="154">
        <f>+PB!$B8</f>
        <v>384591</v>
      </c>
      <c r="Q7" s="150">
        <f t="shared" si="7"/>
        <v>0.013723923088421708</v>
      </c>
      <c r="R7" s="154">
        <f t="shared" si="8"/>
        <v>30</v>
      </c>
      <c r="T7" s="154">
        <f>+'School Tax'!B13</f>
        <v>56900</v>
      </c>
      <c r="U7" s="150">
        <f>+'School Tax'!D13</f>
        <v>0.02244148353587857</v>
      </c>
      <c r="V7" s="154">
        <f t="shared" si="9"/>
        <v>25</v>
      </c>
      <c r="X7" s="154">
        <f>+'CIT (SSF)'!R7</f>
        <v>545</v>
      </c>
      <c r="Y7" s="150">
        <f t="shared" si="1"/>
        <v>0.01771378424935808</v>
      </c>
      <c r="Z7" s="154">
        <f t="shared" si="10"/>
        <v>33</v>
      </c>
      <c r="AA7" s="144"/>
      <c r="AB7" s="154">
        <f>+PB!B8</f>
        <v>384591</v>
      </c>
      <c r="AC7" s="150">
        <f t="shared" si="11"/>
        <v>0.013723923088421708</v>
      </c>
      <c r="AD7" s="154">
        <f t="shared" si="12"/>
        <v>14</v>
      </c>
    </row>
    <row r="8" spans="1:30" ht="12.75">
      <c r="A8" s="4" t="s">
        <v>12</v>
      </c>
      <c r="B8" s="296">
        <f t="shared" si="2"/>
        <v>3537</v>
      </c>
      <c r="C8" s="154"/>
      <c r="D8" s="28">
        <f>SUM(PB!F9)</f>
        <v>1610861</v>
      </c>
      <c r="E8" s="54">
        <f t="shared" si="3"/>
        <v>0.06875586726812825</v>
      </c>
      <c r="F8" s="29">
        <f t="shared" si="13"/>
        <v>1922</v>
      </c>
      <c r="H8" s="28">
        <f>SUM('FTEs &amp; onbrd'!F8)</f>
        <v>681</v>
      </c>
      <c r="I8" s="54">
        <f t="shared" si="0"/>
        <v>0.05349567949725059</v>
      </c>
      <c r="J8" s="28">
        <f t="shared" si="4"/>
        <v>247</v>
      </c>
      <c r="L8" s="154">
        <f>+PB!$B9</f>
        <v>1835581</v>
      </c>
      <c r="M8" s="150">
        <f t="shared" si="5"/>
        <v>0.06550172122220282</v>
      </c>
      <c r="N8" s="154">
        <f t="shared" si="6"/>
        <v>1017</v>
      </c>
      <c r="P8" s="154">
        <f>+PB!$B9</f>
        <v>1835581</v>
      </c>
      <c r="Q8" s="150">
        <f t="shared" si="7"/>
        <v>0.06550172122220282</v>
      </c>
      <c r="R8" s="154">
        <f t="shared" si="8"/>
        <v>144</v>
      </c>
      <c r="T8" s="154">
        <f>+'School Tax'!B14</f>
        <v>163106</v>
      </c>
      <c r="U8" s="150">
        <f>+'School Tax'!D14</f>
        <v>0.06432936052026379</v>
      </c>
      <c r="V8" s="154">
        <f t="shared" si="9"/>
        <v>71</v>
      </c>
      <c r="X8" s="154">
        <f>+'CIT (SSF)'!R8</f>
        <v>1159</v>
      </c>
      <c r="Y8" s="150">
        <f t="shared" si="1"/>
        <v>0.03767023109175415</v>
      </c>
      <c r="Z8" s="154">
        <f t="shared" si="10"/>
        <v>70</v>
      </c>
      <c r="AA8" s="144"/>
      <c r="AB8" s="154">
        <f>+PB!B9</f>
        <v>1835581</v>
      </c>
      <c r="AC8" s="150">
        <f t="shared" si="11"/>
        <v>0.06550172122220282</v>
      </c>
      <c r="AD8" s="154">
        <f t="shared" si="12"/>
        <v>66</v>
      </c>
    </row>
    <row r="9" spans="1:30" ht="12.75">
      <c r="A9" s="4" t="s">
        <v>13</v>
      </c>
      <c r="B9" s="296">
        <f t="shared" si="2"/>
        <v>2910</v>
      </c>
      <c r="C9" s="154"/>
      <c r="D9" s="28">
        <f>SUM(PB!F10)</f>
        <v>1322821</v>
      </c>
      <c r="E9" s="54">
        <f t="shared" si="3"/>
        <v>0.0564615476415983</v>
      </c>
      <c r="F9" s="29">
        <f t="shared" si="13"/>
        <v>1578</v>
      </c>
      <c r="H9" s="28">
        <f>SUM('FTEs &amp; onbrd'!F9)</f>
        <v>526</v>
      </c>
      <c r="I9" s="54">
        <f t="shared" si="0"/>
        <v>0.0413197172034564</v>
      </c>
      <c r="J9" s="28">
        <f t="shared" si="4"/>
        <v>191</v>
      </c>
      <c r="L9" s="154">
        <f>+PB!$B10</f>
        <v>1516815</v>
      </c>
      <c r="M9" s="150">
        <f t="shared" si="5"/>
        <v>0.05412672787289451</v>
      </c>
      <c r="N9" s="154">
        <f t="shared" si="6"/>
        <v>840</v>
      </c>
      <c r="P9" s="154">
        <f>+PB!$B10</f>
        <v>1516815</v>
      </c>
      <c r="Q9" s="150">
        <f t="shared" si="7"/>
        <v>0.05412672787289451</v>
      </c>
      <c r="R9" s="154">
        <f t="shared" si="8"/>
        <v>119</v>
      </c>
      <c r="T9" s="154">
        <f>+'School Tax'!B15</f>
        <v>141238</v>
      </c>
      <c r="U9" s="150">
        <f>+'School Tax'!D15</f>
        <v>0.05570457384253809</v>
      </c>
      <c r="V9" s="154">
        <f t="shared" si="9"/>
        <v>62</v>
      </c>
      <c r="X9" s="154">
        <f>+'CIT (SSF)'!R9</f>
        <v>1091</v>
      </c>
      <c r="Y9" s="150">
        <f t="shared" si="1"/>
        <v>0.035460070855137</v>
      </c>
      <c r="Z9" s="154">
        <f t="shared" si="10"/>
        <v>66</v>
      </c>
      <c r="AA9" s="144"/>
      <c r="AB9" s="154">
        <f>+PB!B10</f>
        <v>1516815</v>
      </c>
      <c r="AC9" s="150">
        <f t="shared" si="11"/>
        <v>0.05412672787289451</v>
      </c>
      <c r="AD9" s="154">
        <f t="shared" si="12"/>
        <v>54</v>
      </c>
    </row>
    <row r="10" spans="1:30" ht="12.75">
      <c r="A10" s="4" t="s">
        <v>14</v>
      </c>
      <c r="B10" s="296">
        <f t="shared" si="2"/>
        <v>8583</v>
      </c>
      <c r="C10" s="154"/>
      <c r="D10" s="28">
        <f>SUM(PB!F11)</f>
        <v>3775803</v>
      </c>
      <c r="E10" s="54">
        <f t="shared" si="3"/>
        <v>0.16116139747538769</v>
      </c>
      <c r="F10" s="29">
        <f t="shared" si="13"/>
        <v>4505</v>
      </c>
      <c r="H10" s="28">
        <f>SUM('FTEs &amp; onbrd'!F10)</f>
        <v>1665</v>
      </c>
      <c r="I10" s="54">
        <f t="shared" si="0"/>
        <v>0.1307934014139827</v>
      </c>
      <c r="J10" s="28">
        <f t="shared" si="4"/>
        <v>604</v>
      </c>
      <c r="L10" s="154">
        <f>+PB!$B11</f>
        <v>4535889</v>
      </c>
      <c r="M10" s="150">
        <f t="shared" si="5"/>
        <v>0.16186076058362794</v>
      </c>
      <c r="N10" s="154">
        <f t="shared" si="6"/>
        <v>2512</v>
      </c>
      <c r="P10" s="154">
        <f>+PB!$B11</f>
        <v>4535889</v>
      </c>
      <c r="Q10" s="150">
        <f t="shared" si="7"/>
        <v>0.16186076058362794</v>
      </c>
      <c r="R10" s="154">
        <f t="shared" si="8"/>
        <v>356</v>
      </c>
      <c r="T10" s="154">
        <f>+'School Tax'!B16</f>
        <v>540734</v>
      </c>
      <c r="U10" s="150">
        <f>+'School Tax'!D16</f>
        <v>0.21326666359032972</v>
      </c>
      <c r="V10" s="154">
        <f t="shared" si="9"/>
        <v>236</v>
      </c>
      <c r="X10" s="154">
        <f>+'CIT (SSF)'!R10</f>
        <v>3407</v>
      </c>
      <c r="Y10" s="150">
        <f t="shared" si="1"/>
        <v>0.11073552832580362</v>
      </c>
      <c r="Z10" s="154">
        <f t="shared" si="10"/>
        <v>207</v>
      </c>
      <c r="AA10" s="144"/>
      <c r="AB10" s="154">
        <f>+PB!B11</f>
        <v>4535889</v>
      </c>
      <c r="AC10" s="150">
        <f t="shared" si="11"/>
        <v>0.16186076058362794</v>
      </c>
      <c r="AD10" s="154">
        <f t="shared" si="12"/>
        <v>163</v>
      </c>
    </row>
    <row r="11" spans="1:30" ht="12.75">
      <c r="A11" s="4" t="s">
        <v>15</v>
      </c>
      <c r="B11" s="296">
        <f t="shared" si="2"/>
        <v>3571</v>
      </c>
      <c r="C11" s="154"/>
      <c r="D11" s="28">
        <f>SUM(PB!F12)</f>
        <v>1864648</v>
      </c>
      <c r="E11" s="54">
        <f t="shared" si="3"/>
        <v>0.07958817699961748</v>
      </c>
      <c r="F11" s="29">
        <f t="shared" si="13"/>
        <v>2225</v>
      </c>
      <c r="H11" s="28">
        <f>SUM('FTEs &amp; onbrd'!F11)</f>
        <v>147</v>
      </c>
      <c r="I11" s="54">
        <f t="shared" si="0"/>
        <v>0.011547525530243519</v>
      </c>
      <c r="J11" s="28">
        <f t="shared" si="4"/>
        <v>53</v>
      </c>
      <c r="L11" s="154">
        <f>+PB!$B12</f>
        <v>1915939</v>
      </c>
      <c r="M11" s="150">
        <f t="shared" si="5"/>
        <v>0.06836925325373605</v>
      </c>
      <c r="N11" s="154">
        <f t="shared" si="6"/>
        <v>1061</v>
      </c>
      <c r="P11" s="154">
        <f>+PB!$B12</f>
        <v>1915939</v>
      </c>
      <c r="Q11" s="150">
        <f t="shared" si="7"/>
        <v>0.06836925325373605</v>
      </c>
      <c r="R11" s="154">
        <f t="shared" si="8"/>
        <v>150</v>
      </c>
      <c r="T11" s="154">
        <f>+'School Tax'!B17</f>
        <v>2491</v>
      </c>
      <c r="U11" s="150">
        <f>+'School Tax'!D17</f>
        <v>0</v>
      </c>
      <c r="V11" s="154">
        <f t="shared" si="9"/>
        <v>0</v>
      </c>
      <c r="X11" s="154">
        <f>+'CIT (SSF)'!R11</f>
        <v>210</v>
      </c>
      <c r="Y11" s="150">
        <f t="shared" si="1"/>
        <v>0.006825494848376508</v>
      </c>
      <c r="Z11" s="154">
        <f t="shared" si="10"/>
        <v>13</v>
      </c>
      <c r="AA11" s="144"/>
      <c r="AB11" s="154">
        <f>+PB!B12</f>
        <v>1915939</v>
      </c>
      <c r="AC11" s="150">
        <f t="shared" si="11"/>
        <v>0.06836925325373605</v>
      </c>
      <c r="AD11" s="154">
        <f t="shared" si="12"/>
        <v>69</v>
      </c>
    </row>
    <row r="12" spans="1:30" ht="12.75">
      <c r="A12" s="4" t="s">
        <v>16</v>
      </c>
      <c r="B12" s="296">
        <f t="shared" si="2"/>
        <v>2433</v>
      </c>
      <c r="C12" s="154"/>
      <c r="D12" s="28">
        <f>SUM(PB!F13)</f>
        <v>1033292</v>
      </c>
      <c r="E12" s="54">
        <f t="shared" si="3"/>
        <v>0.04410367350207049</v>
      </c>
      <c r="F12" s="29">
        <f t="shared" si="13"/>
        <v>1233</v>
      </c>
      <c r="H12" s="28">
        <f>SUM('FTEs &amp; onbrd'!F12)</f>
        <v>599</v>
      </c>
      <c r="I12" s="54">
        <f t="shared" si="0"/>
        <v>0.04705420267085624</v>
      </c>
      <c r="J12" s="28">
        <f t="shared" si="4"/>
        <v>217</v>
      </c>
      <c r="L12" s="154">
        <f>+PB!$B13</f>
        <v>1248264</v>
      </c>
      <c r="M12" s="150">
        <f t="shared" si="5"/>
        <v>0.044543629804248246</v>
      </c>
      <c r="N12" s="154">
        <f t="shared" si="6"/>
        <v>691</v>
      </c>
      <c r="P12" s="154">
        <f>+PB!$B13</f>
        <v>1248264</v>
      </c>
      <c r="Q12" s="150">
        <f t="shared" si="7"/>
        <v>0.044543629804248246</v>
      </c>
      <c r="R12" s="154">
        <f t="shared" si="8"/>
        <v>98</v>
      </c>
      <c r="T12" s="154">
        <f>+'School Tax'!B18</f>
        <v>158420</v>
      </c>
      <c r="U12" s="150">
        <f>+'School Tax'!D18</f>
        <v>0.062481191946465425</v>
      </c>
      <c r="V12" s="154">
        <f t="shared" si="9"/>
        <v>69</v>
      </c>
      <c r="X12" s="154">
        <f>+'CIT (SSF)'!R12</f>
        <v>1309</v>
      </c>
      <c r="Y12" s="150">
        <f t="shared" si="1"/>
        <v>0.04254558455488023</v>
      </c>
      <c r="Z12" s="154">
        <f t="shared" si="10"/>
        <v>80</v>
      </c>
      <c r="AA12" s="144"/>
      <c r="AB12" s="154">
        <f>+PB!B13</f>
        <v>1248264</v>
      </c>
      <c r="AC12" s="150">
        <f t="shared" si="11"/>
        <v>0.044543629804248246</v>
      </c>
      <c r="AD12" s="154">
        <f t="shared" si="12"/>
        <v>45</v>
      </c>
    </row>
    <row r="13" spans="1:30" ht="12.75">
      <c r="A13" s="4" t="s">
        <v>17</v>
      </c>
      <c r="B13" s="296">
        <f t="shared" si="2"/>
        <v>1266</v>
      </c>
      <c r="C13" s="154"/>
      <c r="D13" s="28">
        <f>SUM(PB!F14)</f>
        <v>569447</v>
      </c>
      <c r="E13" s="54">
        <f t="shared" si="3"/>
        <v>0.024305525025581864</v>
      </c>
      <c r="F13" s="29">
        <f t="shared" si="13"/>
        <v>679</v>
      </c>
      <c r="H13" s="28">
        <f>SUM('FTEs &amp; onbrd'!F13)</f>
        <v>236</v>
      </c>
      <c r="I13" s="54">
        <f t="shared" si="0"/>
        <v>0.018538884524744698</v>
      </c>
      <c r="J13" s="28">
        <f t="shared" si="4"/>
        <v>86</v>
      </c>
      <c r="L13" s="154">
        <f>+PB!$B14</f>
        <v>659035</v>
      </c>
      <c r="M13" s="150">
        <f t="shared" si="5"/>
        <v>0.02351730969413741</v>
      </c>
      <c r="N13" s="154">
        <f t="shared" si="6"/>
        <v>365</v>
      </c>
      <c r="P13" s="154">
        <f>+PB!$B14</f>
        <v>659035</v>
      </c>
      <c r="Q13" s="150">
        <f t="shared" si="7"/>
        <v>0.02351730969413741</v>
      </c>
      <c r="R13" s="154">
        <f t="shared" si="8"/>
        <v>52</v>
      </c>
      <c r="T13" s="154">
        <f>+'School Tax'!B19</f>
        <v>66778</v>
      </c>
      <c r="U13" s="150">
        <f>+'School Tax'!D19</f>
        <v>0.026337388182054465</v>
      </c>
      <c r="V13" s="154">
        <f t="shared" si="9"/>
        <v>29</v>
      </c>
      <c r="X13" s="154">
        <f>+'CIT (SSF)'!R13</f>
        <v>507</v>
      </c>
      <c r="Y13" s="150">
        <f t="shared" si="1"/>
        <v>0.01647869470536614</v>
      </c>
      <c r="Z13" s="154">
        <f t="shared" si="10"/>
        <v>31</v>
      </c>
      <c r="AA13" s="144"/>
      <c r="AB13" s="154">
        <f>+PB!B14</f>
        <v>659035</v>
      </c>
      <c r="AC13" s="150">
        <f t="shared" si="11"/>
        <v>0.02351730969413741</v>
      </c>
      <c r="AD13" s="154">
        <f t="shared" si="12"/>
        <v>24</v>
      </c>
    </row>
    <row r="14" spans="1:30" ht="12.75">
      <c r="A14" s="4" t="s">
        <v>18</v>
      </c>
      <c r="B14" s="296">
        <f t="shared" si="2"/>
        <v>1343</v>
      </c>
      <c r="C14" s="154"/>
      <c r="D14" s="28">
        <f>SUM(PB!F15)</f>
        <v>445923</v>
      </c>
      <c r="E14" s="54">
        <f t="shared" si="3"/>
        <v>0.019033189455704466</v>
      </c>
      <c r="F14" s="29">
        <f t="shared" si="13"/>
        <v>532</v>
      </c>
      <c r="H14" s="28">
        <f>SUM('FTEs &amp; onbrd'!F14)</f>
        <v>679</v>
      </c>
      <c r="I14" s="54">
        <f t="shared" si="0"/>
        <v>0.05333857030636292</v>
      </c>
      <c r="J14" s="28">
        <f t="shared" si="4"/>
        <v>246</v>
      </c>
      <c r="L14" s="154">
        <f>+PB!$B15</f>
        <v>628978</v>
      </c>
      <c r="M14" s="150">
        <f t="shared" si="5"/>
        <v>0.02244474180703477</v>
      </c>
      <c r="N14" s="154">
        <f t="shared" si="6"/>
        <v>348</v>
      </c>
      <c r="P14" s="154">
        <f>+PB!$B15</f>
        <v>628978</v>
      </c>
      <c r="Q14" s="150">
        <f t="shared" si="7"/>
        <v>0.02244474180703477</v>
      </c>
      <c r="R14" s="154">
        <f t="shared" si="8"/>
        <v>49</v>
      </c>
      <c r="T14" s="154">
        <f>+'School Tax'!B20</f>
        <v>132045</v>
      </c>
      <c r="U14" s="150">
        <f>+'School Tax'!D20</f>
        <v>0.052078834683569164</v>
      </c>
      <c r="V14" s="154">
        <f t="shared" si="9"/>
        <v>58</v>
      </c>
      <c r="X14" s="154">
        <f>+'CIT (SSF)'!R14</f>
        <v>1433</v>
      </c>
      <c r="Y14" s="150">
        <f t="shared" si="1"/>
        <v>0.04657587675106445</v>
      </c>
      <c r="Z14" s="154">
        <f t="shared" si="10"/>
        <v>87</v>
      </c>
      <c r="AA14" s="144"/>
      <c r="AB14" s="154">
        <f>+PB!B15</f>
        <v>628978</v>
      </c>
      <c r="AC14" s="150">
        <f t="shared" si="11"/>
        <v>0.02244474180703477</v>
      </c>
      <c r="AD14" s="154">
        <f t="shared" si="12"/>
        <v>23</v>
      </c>
    </row>
    <row r="15" spans="1:30" ht="12.75">
      <c r="A15" s="4" t="s">
        <v>19</v>
      </c>
      <c r="B15" s="296">
        <f t="shared" si="2"/>
        <v>1959</v>
      </c>
      <c r="C15" s="154"/>
      <c r="D15" s="28">
        <f>SUM(PB!F16)</f>
        <v>892172</v>
      </c>
      <c r="E15" s="54">
        <f t="shared" si="3"/>
        <v>0.03808029346563144</v>
      </c>
      <c r="F15" s="29">
        <f t="shared" si="13"/>
        <v>1065</v>
      </c>
      <c r="H15" s="28">
        <f>SUM('FTEs &amp; onbrd'!F15)</f>
        <v>401</v>
      </c>
      <c r="I15" s="54">
        <f t="shared" si="0"/>
        <v>0.03150039277297722</v>
      </c>
      <c r="J15" s="28">
        <f t="shared" si="4"/>
        <v>146</v>
      </c>
      <c r="L15" s="154">
        <f>+PB!$B16</f>
        <v>1033365</v>
      </c>
      <c r="M15" s="150">
        <f t="shared" si="5"/>
        <v>0.0368750745136181</v>
      </c>
      <c r="N15" s="154">
        <f t="shared" si="6"/>
        <v>572</v>
      </c>
      <c r="P15" s="154">
        <f>+PB!$B16</f>
        <v>1033365</v>
      </c>
      <c r="Q15" s="150">
        <f t="shared" si="7"/>
        <v>0.0368750745136181</v>
      </c>
      <c r="R15" s="154">
        <f t="shared" si="8"/>
        <v>81</v>
      </c>
      <c r="T15" s="154">
        <f>+'School Tax'!B21</f>
        <v>101771</v>
      </c>
      <c r="U15" s="150">
        <f>+'School Tax'!D21</f>
        <v>0</v>
      </c>
      <c r="V15" s="154">
        <f t="shared" si="9"/>
        <v>0</v>
      </c>
      <c r="X15" s="154">
        <f>+'CIT (SSF)'!R15</f>
        <v>955</v>
      </c>
      <c r="Y15" s="150">
        <f t="shared" si="1"/>
        <v>0.031039750381902688</v>
      </c>
      <c r="Z15" s="154">
        <f t="shared" si="10"/>
        <v>58</v>
      </c>
      <c r="AA15" s="144"/>
      <c r="AB15" s="154">
        <f>+PB!B16</f>
        <v>1033365</v>
      </c>
      <c r="AC15" s="150">
        <f t="shared" si="11"/>
        <v>0.0368750745136181</v>
      </c>
      <c r="AD15" s="154">
        <f t="shared" si="12"/>
        <v>37</v>
      </c>
    </row>
    <row r="16" spans="1:30" ht="12.75">
      <c r="A16" s="4" t="s">
        <v>20</v>
      </c>
      <c r="B16" s="296">
        <f t="shared" si="2"/>
        <v>977</v>
      </c>
      <c r="C16" s="154"/>
      <c r="D16" s="28">
        <f>SUM(PB!F17)</f>
        <v>426876</v>
      </c>
      <c r="E16" s="54">
        <f t="shared" si="3"/>
        <v>0.018220212418048186</v>
      </c>
      <c r="F16" s="29">
        <f t="shared" si="13"/>
        <v>509</v>
      </c>
      <c r="H16" s="28">
        <f>SUM('FTEs &amp; onbrd'!F16)</f>
        <v>233</v>
      </c>
      <c r="I16" s="54">
        <f t="shared" si="0"/>
        <v>0.018303220738413197</v>
      </c>
      <c r="J16" s="28">
        <f t="shared" si="4"/>
        <v>85</v>
      </c>
      <c r="L16" s="154">
        <f>+PB!$B17</f>
        <v>501396</v>
      </c>
      <c r="M16" s="150">
        <f t="shared" si="5"/>
        <v>0.01789204672195213</v>
      </c>
      <c r="N16" s="154">
        <f t="shared" si="6"/>
        <v>278</v>
      </c>
      <c r="P16" s="154">
        <f>+PB!$B17</f>
        <v>501396</v>
      </c>
      <c r="Q16" s="150">
        <f t="shared" si="7"/>
        <v>0.01789204672195213</v>
      </c>
      <c r="R16" s="154">
        <f t="shared" si="8"/>
        <v>39</v>
      </c>
      <c r="T16" s="154">
        <f>+'School Tax'!B22</f>
        <v>50437</v>
      </c>
      <c r="U16" s="150">
        <f>+'School Tax'!D22</f>
        <v>0.01989246230402649</v>
      </c>
      <c r="V16" s="154">
        <f t="shared" si="9"/>
        <v>22</v>
      </c>
      <c r="X16" s="154">
        <f>+'CIT (SSF)'!R16</f>
        <v>421</v>
      </c>
      <c r="Y16" s="150">
        <f t="shared" si="1"/>
        <v>0.013683492053173854</v>
      </c>
      <c r="Z16" s="154">
        <f t="shared" si="10"/>
        <v>26</v>
      </c>
      <c r="AA16" s="144"/>
      <c r="AB16" s="154">
        <f>+PB!B17</f>
        <v>501396</v>
      </c>
      <c r="AC16" s="150">
        <f t="shared" si="11"/>
        <v>0.01789204672195213</v>
      </c>
      <c r="AD16" s="154">
        <f t="shared" si="12"/>
        <v>18</v>
      </c>
    </row>
    <row r="17" spans="1:30" ht="12.75">
      <c r="A17" s="4" t="s">
        <v>21</v>
      </c>
      <c r="B17" s="296">
        <f t="shared" si="2"/>
        <v>746</v>
      </c>
      <c r="C17" s="154"/>
      <c r="D17" s="28">
        <f>SUM(PB!F18)</f>
        <v>335086</v>
      </c>
      <c r="E17" s="54">
        <f t="shared" si="3"/>
        <v>0.01430236906809962</v>
      </c>
      <c r="F17" s="29">
        <f t="shared" si="13"/>
        <v>400</v>
      </c>
      <c r="H17" s="28">
        <f>SUM('FTEs &amp; onbrd'!F17)</f>
        <v>152</v>
      </c>
      <c r="I17" s="54">
        <f t="shared" si="0"/>
        <v>0.011940298507462687</v>
      </c>
      <c r="J17" s="28">
        <f t="shared" si="4"/>
        <v>55</v>
      </c>
      <c r="L17" s="154">
        <f>+PB!$B18</f>
        <v>388507</v>
      </c>
      <c r="M17" s="150">
        <f t="shared" si="5"/>
        <v>0.013863663443277281</v>
      </c>
      <c r="N17" s="154">
        <f t="shared" si="6"/>
        <v>215</v>
      </c>
      <c r="P17" s="154">
        <f>+PB!$B18</f>
        <v>388507</v>
      </c>
      <c r="Q17" s="150">
        <f t="shared" si="7"/>
        <v>0.013863663443277281</v>
      </c>
      <c r="R17" s="154">
        <f t="shared" si="8"/>
        <v>30</v>
      </c>
      <c r="T17" s="154">
        <f>+'School Tax'!B23</f>
        <v>35146</v>
      </c>
      <c r="U17" s="150">
        <f>+'School Tax'!D23</f>
        <v>0.013861658705658843</v>
      </c>
      <c r="V17" s="154">
        <f t="shared" si="9"/>
        <v>15</v>
      </c>
      <c r="X17" s="154">
        <f>+'CIT (SSF)'!R17</f>
        <v>282</v>
      </c>
      <c r="Y17" s="150">
        <f t="shared" si="1"/>
        <v>0.009165664510677024</v>
      </c>
      <c r="Z17" s="154">
        <f t="shared" si="10"/>
        <v>17</v>
      </c>
      <c r="AA17" s="144"/>
      <c r="AB17" s="154">
        <f>+PB!B18</f>
        <v>388507</v>
      </c>
      <c r="AC17" s="150">
        <f t="shared" si="11"/>
        <v>0.013863663443277281</v>
      </c>
      <c r="AD17" s="154">
        <f t="shared" si="12"/>
        <v>14</v>
      </c>
    </row>
    <row r="18" spans="1:30" ht="12.75">
      <c r="A18" s="4" t="s">
        <v>22</v>
      </c>
      <c r="B18" s="296">
        <f t="shared" si="2"/>
        <v>2698</v>
      </c>
      <c r="C18" s="154"/>
      <c r="D18" s="28">
        <f>SUM(PB!F19)</f>
        <v>1159352</v>
      </c>
      <c r="E18" s="54">
        <f t="shared" si="3"/>
        <v>0.04948425235264807</v>
      </c>
      <c r="F18" s="29">
        <f t="shared" si="13"/>
        <v>1383</v>
      </c>
      <c r="H18" s="28">
        <f>SUM('FTEs &amp; onbrd'!F18)</f>
        <v>655</v>
      </c>
      <c r="I18" s="54">
        <f t="shared" si="0"/>
        <v>0.05145326001571092</v>
      </c>
      <c r="J18" s="28">
        <f t="shared" si="4"/>
        <v>238</v>
      </c>
      <c r="L18" s="154">
        <f>+PB!$B19</f>
        <v>1386920</v>
      </c>
      <c r="M18" s="150">
        <f t="shared" si="5"/>
        <v>0.04949149462622328</v>
      </c>
      <c r="N18" s="154">
        <f t="shared" si="6"/>
        <v>768</v>
      </c>
      <c r="P18" s="154">
        <f>+PB!$B19</f>
        <v>1386920</v>
      </c>
      <c r="Q18" s="150">
        <f t="shared" si="7"/>
        <v>0.04949149462622328</v>
      </c>
      <c r="R18" s="154">
        <f t="shared" si="8"/>
        <v>109</v>
      </c>
      <c r="T18" s="154">
        <f>+'School Tax'!B24</f>
        <v>161057</v>
      </c>
      <c r="U18" s="150">
        <f>+'School Tax'!D24</f>
        <v>0.06352123047166951</v>
      </c>
      <c r="V18" s="154">
        <f t="shared" si="9"/>
        <v>70</v>
      </c>
      <c r="X18" s="154">
        <f>+'CIT (SSF)'!R18</f>
        <v>1309</v>
      </c>
      <c r="Y18" s="150">
        <f t="shared" si="1"/>
        <v>0.04254558455488023</v>
      </c>
      <c r="Z18" s="154">
        <f t="shared" si="10"/>
        <v>80</v>
      </c>
      <c r="AA18" s="144"/>
      <c r="AB18" s="154">
        <f>+PB!B19</f>
        <v>1386920</v>
      </c>
      <c r="AC18" s="150">
        <f t="shared" si="11"/>
        <v>0.04949149462622328</v>
      </c>
      <c r="AD18" s="154">
        <f t="shared" si="12"/>
        <v>50</v>
      </c>
    </row>
    <row r="19" spans="1:30" ht="12.75">
      <c r="A19" s="4" t="s">
        <v>23</v>
      </c>
      <c r="B19" s="296">
        <f t="shared" si="2"/>
        <v>1861</v>
      </c>
      <c r="C19" s="154"/>
      <c r="D19" s="28">
        <f>SUM(PB!F20)</f>
        <v>848937</v>
      </c>
      <c r="E19" s="54">
        <f t="shared" si="3"/>
        <v>0.036234907723883686</v>
      </c>
      <c r="F19" s="29">
        <f t="shared" si="13"/>
        <v>1013</v>
      </c>
      <c r="H19" s="28">
        <f>SUM('FTEs &amp; onbrd'!F19)</f>
        <v>389</v>
      </c>
      <c r="I19" s="54">
        <f t="shared" si="0"/>
        <v>0.030557737627651217</v>
      </c>
      <c r="J19" s="28">
        <f t="shared" si="4"/>
        <v>141</v>
      </c>
      <c r="L19" s="154">
        <f>+PB!$B20</f>
        <v>987195</v>
      </c>
      <c r="M19" s="150">
        <f t="shared" si="5"/>
        <v>0.03522752288346443</v>
      </c>
      <c r="N19" s="154">
        <f t="shared" si="6"/>
        <v>547</v>
      </c>
      <c r="P19" s="154">
        <f>+PB!$B20</f>
        <v>987195</v>
      </c>
      <c r="Q19" s="150">
        <f t="shared" si="7"/>
        <v>0.03522752288346443</v>
      </c>
      <c r="R19" s="154">
        <f t="shared" si="8"/>
        <v>77</v>
      </c>
      <c r="T19" s="154">
        <f>+'School Tax'!B25</f>
        <v>81457</v>
      </c>
      <c r="U19" s="150">
        <f>+'School Tax'!D25</f>
        <v>0</v>
      </c>
      <c r="V19" s="154">
        <f t="shared" si="9"/>
        <v>0</v>
      </c>
      <c r="X19" s="154">
        <f>+'CIT (SSF)'!R19</f>
        <v>785</v>
      </c>
      <c r="Y19" s="150">
        <f t="shared" si="1"/>
        <v>0.0255143497903598</v>
      </c>
      <c r="Z19" s="154">
        <f t="shared" si="10"/>
        <v>48</v>
      </c>
      <c r="AA19" s="144"/>
      <c r="AB19" s="154">
        <f>+PB!B20</f>
        <v>987195</v>
      </c>
      <c r="AC19" s="150">
        <f t="shared" si="11"/>
        <v>0.03522752288346443</v>
      </c>
      <c r="AD19" s="154">
        <f t="shared" si="12"/>
        <v>35</v>
      </c>
    </row>
    <row r="20" spans="1:30" ht="12.75">
      <c r="A20" s="4" t="s">
        <v>24</v>
      </c>
      <c r="B20" s="296">
        <f t="shared" si="2"/>
        <v>844</v>
      </c>
      <c r="C20" s="154"/>
      <c r="D20" s="28">
        <f>SUM(PB!F21)</f>
        <v>360460</v>
      </c>
      <c r="E20" s="54">
        <f t="shared" si="3"/>
        <v>0.015385399432644721</v>
      </c>
      <c r="F20" s="29">
        <f t="shared" si="13"/>
        <v>430</v>
      </c>
      <c r="H20" s="28">
        <f>SUM('FTEs &amp; onbrd'!F20)</f>
        <v>233</v>
      </c>
      <c r="I20" s="54">
        <f t="shared" si="0"/>
        <v>0.018303220738413197</v>
      </c>
      <c r="J20" s="28">
        <f t="shared" si="4"/>
        <v>85</v>
      </c>
      <c r="L20" s="154">
        <f>+PB!$B21</f>
        <v>430760</v>
      </c>
      <c r="M20" s="150">
        <f t="shared" si="5"/>
        <v>0.015371439034112954</v>
      </c>
      <c r="N20" s="154">
        <f t="shared" si="6"/>
        <v>239</v>
      </c>
      <c r="P20" s="154">
        <f>+PB!$B21</f>
        <v>430760</v>
      </c>
      <c r="Q20" s="150">
        <f t="shared" si="7"/>
        <v>0.015371439034112954</v>
      </c>
      <c r="R20" s="154">
        <f t="shared" si="8"/>
        <v>34</v>
      </c>
      <c r="T20" s="154">
        <f>+'School Tax'!B26</f>
        <v>45202</v>
      </c>
      <c r="U20" s="150">
        <f>+'School Tax'!D26</f>
        <v>0.017827766938291443</v>
      </c>
      <c r="V20" s="154">
        <f t="shared" si="9"/>
        <v>20</v>
      </c>
      <c r="X20" s="154">
        <f>+'CIT (SSF)'!R20</f>
        <v>339</v>
      </c>
      <c r="Y20" s="150">
        <f t="shared" si="1"/>
        <v>0.011018298826664934</v>
      </c>
      <c r="Z20" s="154">
        <f t="shared" si="10"/>
        <v>21</v>
      </c>
      <c r="AA20" s="144"/>
      <c r="AB20" s="154">
        <f>+PB!B21</f>
        <v>430760</v>
      </c>
      <c r="AC20" s="150">
        <f t="shared" si="11"/>
        <v>0.015371439034112954</v>
      </c>
      <c r="AD20" s="154">
        <f t="shared" si="12"/>
        <v>15</v>
      </c>
    </row>
    <row r="21" spans="1:30" ht="12.75">
      <c r="A21" s="4" t="s">
        <v>25</v>
      </c>
      <c r="B21" s="296">
        <f t="shared" si="2"/>
        <v>263</v>
      </c>
      <c r="C21" s="154"/>
      <c r="D21" s="28">
        <f>SUM(PB!F22)</f>
        <v>123203</v>
      </c>
      <c r="E21" s="54">
        <f t="shared" si="3"/>
        <v>0.005258634429063219</v>
      </c>
      <c r="F21" s="29">
        <f t="shared" si="13"/>
        <v>147</v>
      </c>
      <c r="H21" s="28">
        <f>SUM('FTEs &amp; onbrd'!F21)</f>
        <v>56</v>
      </c>
      <c r="I21" s="54">
        <f t="shared" si="0"/>
        <v>0.004399057344854674</v>
      </c>
      <c r="J21" s="28">
        <f t="shared" si="4"/>
        <v>20</v>
      </c>
      <c r="L21" s="154">
        <f>+PB!$B22</f>
        <v>135992</v>
      </c>
      <c r="M21" s="150">
        <f t="shared" si="5"/>
        <v>0.004852801414075329</v>
      </c>
      <c r="N21" s="154">
        <f t="shared" si="6"/>
        <v>75</v>
      </c>
      <c r="P21" s="154">
        <f>+PB!$B22</f>
        <v>135992</v>
      </c>
      <c r="Q21" s="150">
        <f t="shared" si="7"/>
        <v>0.004852801414075329</v>
      </c>
      <c r="R21" s="154">
        <f t="shared" si="8"/>
        <v>11</v>
      </c>
      <c r="T21" s="154">
        <f>+'School Tax'!B27</f>
        <v>3325</v>
      </c>
      <c r="U21" s="150">
        <f>+'School Tax'!D27</f>
        <v>0.0013113872189243628</v>
      </c>
      <c r="V21" s="154">
        <f t="shared" si="9"/>
        <v>1</v>
      </c>
      <c r="X21" s="154">
        <f>+'CIT (SSF)'!R21</f>
        <v>66</v>
      </c>
      <c r="Y21" s="150">
        <f t="shared" si="1"/>
        <v>0.0021451555237754737</v>
      </c>
      <c r="Z21" s="154">
        <f t="shared" si="10"/>
        <v>4</v>
      </c>
      <c r="AA21" s="144"/>
      <c r="AB21" s="154">
        <f>+PB!B22</f>
        <v>135992</v>
      </c>
      <c r="AC21" s="150">
        <f t="shared" si="11"/>
        <v>0.004852801414075329</v>
      </c>
      <c r="AD21" s="154">
        <f t="shared" si="12"/>
        <v>5</v>
      </c>
    </row>
    <row r="22" spans="1:30" ht="12.75">
      <c r="A22" s="4" t="s">
        <v>26</v>
      </c>
      <c r="B22" s="296">
        <f t="shared" si="2"/>
        <v>946</v>
      </c>
      <c r="C22" s="154"/>
      <c r="D22" s="28">
        <f>SUM(PB!F23)</f>
        <v>362696</v>
      </c>
      <c r="E22" s="54">
        <f t="shared" si="3"/>
        <v>0.01548083790884567</v>
      </c>
      <c r="F22" s="29">
        <f t="shared" si="13"/>
        <v>433</v>
      </c>
      <c r="H22" s="28">
        <f>SUM('FTEs &amp; onbrd'!F22)</f>
        <v>314</v>
      </c>
      <c r="I22" s="54">
        <f t="shared" si="0"/>
        <v>0.02466614296936371</v>
      </c>
      <c r="J22" s="28">
        <f t="shared" si="4"/>
        <v>114</v>
      </c>
      <c r="L22" s="154">
        <f>+PB!$B23</f>
        <v>478036</v>
      </c>
      <c r="M22" s="150">
        <f t="shared" si="5"/>
        <v>0.01705845767970847</v>
      </c>
      <c r="N22" s="154">
        <f t="shared" si="6"/>
        <v>265</v>
      </c>
      <c r="P22" s="154">
        <f>+PB!$B23</f>
        <v>478036</v>
      </c>
      <c r="Q22" s="150">
        <f t="shared" si="7"/>
        <v>0.01705845767970847</v>
      </c>
      <c r="R22" s="154">
        <f t="shared" si="8"/>
        <v>38</v>
      </c>
      <c r="T22" s="154">
        <f>+'School Tax'!B28</f>
        <v>97013</v>
      </c>
      <c r="U22" s="150">
        <f>+'School Tax'!D28</f>
        <v>0.0382621378254163</v>
      </c>
      <c r="V22" s="154">
        <f t="shared" si="9"/>
        <v>42</v>
      </c>
      <c r="X22" s="154">
        <f>+'CIT (SSF)'!R22</f>
        <v>604</v>
      </c>
      <c r="Y22" s="150">
        <f t="shared" si="1"/>
        <v>0.01963142327818767</v>
      </c>
      <c r="Z22" s="154">
        <f t="shared" si="10"/>
        <v>37</v>
      </c>
      <c r="AA22" s="144"/>
      <c r="AB22" s="154">
        <f>+PB!B23</f>
        <v>478036</v>
      </c>
      <c r="AC22" s="150">
        <f t="shared" si="11"/>
        <v>0.01705845767970847</v>
      </c>
      <c r="AD22" s="154">
        <f t="shared" si="12"/>
        <v>17</v>
      </c>
    </row>
    <row r="23" spans="1:30" ht="12.75">
      <c r="A23" s="4" t="s">
        <v>27</v>
      </c>
      <c r="B23" s="296">
        <f t="shared" si="2"/>
        <v>557</v>
      </c>
      <c r="C23" s="154"/>
      <c r="D23" s="28">
        <f>SUM(PB!F24)</f>
        <v>271392</v>
      </c>
      <c r="E23" s="54">
        <f t="shared" si="3"/>
        <v>0.011583738342185864</v>
      </c>
      <c r="F23" s="29">
        <f t="shared" si="13"/>
        <v>324</v>
      </c>
      <c r="H23" s="28">
        <f>SUM('FTEs &amp; onbrd'!F23)</f>
        <v>72</v>
      </c>
      <c r="I23" s="54">
        <f t="shared" si="0"/>
        <v>0.005655930871956009</v>
      </c>
      <c r="J23" s="28">
        <f t="shared" si="4"/>
        <v>26</v>
      </c>
      <c r="L23" s="154">
        <f>+PB!$B24</f>
        <v>296526</v>
      </c>
      <c r="M23" s="150">
        <f t="shared" si="5"/>
        <v>0.010581370904980448</v>
      </c>
      <c r="N23" s="154">
        <f t="shared" si="6"/>
        <v>164</v>
      </c>
      <c r="P23" s="154">
        <f>+PB!$B24</f>
        <v>296526</v>
      </c>
      <c r="Q23" s="150">
        <f t="shared" si="7"/>
        <v>0.010581370904980448</v>
      </c>
      <c r="R23" s="154">
        <f t="shared" si="8"/>
        <v>23</v>
      </c>
      <c r="T23" s="154">
        <f>+'School Tax'!B29</f>
        <v>9181</v>
      </c>
      <c r="U23" s="150">
        <f>+'School Tax'!D29</f>
        <v>0.0036210063329156616</v>
      </c>
      <c r="V23" s="154">
        <f t="shared" si="9"/>
        <v>4</v>
      </c>
      <c r="X23" s="154">
        <f>+'CIT (SSF)'!R23</f>
        <v>85</v>
      </c>
      <c r="Y23" s="150">
        <f t="shared" si="1"/>
        <v>0.0027627002957714432</v>
      </c>
      <c r="Z23" s="154">
        <f t="shared" si="10"/>
        <v>5</v>
      </c>
      <c r="AA23" s="144"/>
      <c r="AB23" s="154">
        <f>+PB!B24</f>
        <v>296526</v>
      </c>
      <c r="AC23" s="150">
        <f t="shared" si="11"/>
        <v>0.010581370904980448</v>
      </c>
      <c r="AD23" s="154">
        <f t="shared" si="12"/>
        <v>11</v>
      </c>
    </row>
    <row r="24" spans="1:30" ht="12.75">
      <c r="A24" s="4" t="s">
        <v>28</v>
      </c>
      <c r="B24" s="296">
        <f t="shared" si="2"/>
        <v>2062</v>
      </c>
      <c r="C24" s="154"/>
      <c r="D24" s="28">
        <f>SUM(PB!F25)</f>
        <v>1069488</v>
      </c>
      <c r="E24" s="54">
        <f t="shared" si="3"/>
        <v>0.04564861584758458</v>
      </c>
      <c r="F24" s="29">
        <f t="shared" si="13"/>
        <v>1276</v>
      </c>
      <c r="H24" s="28">
        <f>SUM('FTEs &amp; onbrd'!F24)</f>
        <v>120</v>
      </c>
      <c r="I24" s="54">
        <f t="shared" si="0"/>
        <v>0.009426551453260016</v>
      </c>
      <c r="J24" s="28">
        <f t="shared" si="4"/>
        <v>44</v>
      </c>
      <c r="L24" s="154">
        <f>+PB!$B25</f>
        <v>1097723</v>
      </c>
      <c r="M24" s="150">
        <f t="shared" si="5"/>
        <v>0.03917165514635429</v>
      </c>
      <c r="N24" s="154">
        <f t="shared" si="6"/>
        <v>608</v>
      </c>
      <c r="P24" s="154">
        <f>+PB!$B25</f>
        <v>1097723</v>
      </c>
      <c r="Q24" s="150">
        <f t="shared" si="7"/>
        <v>0.03917165514635429</v>
      </c>
      <c r="R24" s="154">
        <f t="shared" si="8"/>
        <v>86</v>
      </c>
      <c r="T24" s="154">
        <f>+'School Tax'!B30</f>
        <v>0</v>
      </c>
      <c r="U24" s="150">
        <f>+'School Tax'!D30</f>
        <v>0</v>
      </c>
      <c r="V24" s="154">
        <f t="shared" si="9"/>
        <v>0</v>
      </c>
      <c r="X24" s="154">
        <f>+'CIT (SSF)'!R24</f>
        <v>150</v>
      </c>
      <c r="Y24" s="150">
        <f t="shared" si="1"/>
        <v>0.004875353463126076</v>
      </c>
      <c r="Z24" s="154">
        <f t="shared" si="10"/>
        <v>9</v>
      </c>
      <c r="AA24" s="144"/>
      <c r="AB24" s="154">
        <f>+PB!B25</f>
        <v>1097723</v>
      </c>
      <c r="AC24" s="150">
        <f t="shared" si="11"/>
        <v>0.03917165514635429</v>
      </c>
      <c r="AD24" s="154">
        <f t="shared" si="12"/>
        <v>39</v>
      </c>
    </row>
    <row r="25" spans="1:30" ht="12.75">
      <c r="A25" s="4" t="s">
        <v>29</v>
      </c>
      <c r="B25" s="296">
        <f t="shared" si="2"/>
        <v>236</v>
      </c>
      <c r="C25" s="154"/>
      <c r="D25" s="28">
        <f>SUM(PB!F26)</f>
        <v>98078</v>
      </c>
      <c r="E25" s="54">
        <f t="shared" si="3"/>
        <v>0.00418623205225248</v>
      </c>
      <c r="F25" s="29">
        <f t="shared" si="13"/>
        <v>117</v>
      </c>
      <c r="H25" s="28">
        <f>SUM('FTEs &amp; onbrd'!F25)</f>
        <v>77</v>
      </c>
      <c r="I25" s="54">
        <f t="shared" si="0"/>
        <v>0.006048703849175177</v>
      </c>
      <c r="J25" s="28">
        <f t="shared" si="4"/>
        <v>28</v>
      </c>
      <c r="L25" s="154">
        <f>+PB!$B26</f>
        <v>120108</v>
      </c>
      <c r="M25" s="150">
        <f t="shared" si="5"/>
        <v>0.004285989412919581</v>
      </c>
      <c r="N25" s="154">
        <f t="shared" si="6"/>
        <v>67</v>
      </c>
      <c r="P25" s="154">
        <f>+PB!$B26</f>
        <v>120108</v>
      </c>
      <c r="Q25" s="150">
        <f t="shared" si="7"/>
        <v>0.004285989412919581</v>
      </c>
      <c r="R25" s="154">
        <f t="shared" si="8"/>
        <v>9</v>
      </c>
      <c r="T25" s="154">
        <f>+'School Tax'!B31</f>
        <v>7370</v>
      </c>
      <c r="U25" s="150">
        <f>+'School Tax'!D31</f>
        <v>0.002906744001044377</v>
      </c>
      <c r="V25" s="154">
        <f t="shared" si="9"/>
        <v>3</v>
      </c>
      <c r="X25" s="154">
        <f>+'CIT (SSF)'!R25</f>
        <v>124</v>
      </c>
      <c r="Y25" s="150">
        <f t="shared" si="1"/>
        <v>0.004030292196184223</v>
      </c>
      <c r="Z25" s="154">
        <f t="shared" si="10"/>
        <v>8</v>
      </c>
      <c r="AA25" s="144"/>
      <c r="AB25" s="154">
        <f>+PB!B26</f>
        <v>120108</v>
      </c>
      <c r="AC25" s="150">
        <f t="shared" si="11"/>
        <v>0.004285989412919581</v>
      </c>
      <c r="AD25" s="154">
        <f t="shared" si="12"/>
        <v>4</v>
      </c>
    </row>
    <row r="26" spans="1:30" ht="12.75">
      <c r="A26" s="4" t="s">
        <v>30</v>
      </c>
      <c r="B26" s="296">
        <f t="shared" si="2"/>
        <v>357</v>
      </c>
      <c r="C26" s="154"/>
      <c r="D26" s="28">
        <f>SUM(PB!F27)</f>
        <v>179370</v>
      </c>
      <c r="E26" s="54">
        <f t="shared" si="3"/>
        <v>0.007655992610091227</v>
      </c>
      <c r="F26" s="29">
        <f t="shared" si="13"/>
        <v>214</v>
      </c>
      <c r="H26" s="28">
        <f>SUM('FTEs &amp; onbrd'!F26)</f>
        <v>33</v>
      </c>
      <c r="I26" s="54">
        <f t="shared" si="0"/>
        <v>0.002592301649646504</v>
      </c>
      <c r="J26" s="28">
        <f t="shared" si="4"/>
        <v>12</v>
      </c>
      <c r="L26" s="154">
        <f>+PB!$B27</f>
        <v>191917</v>
      </c>
      <c r="M26" s="150">
        <f t="shared" si="5"/>
        <v>0.006848454975183062</v>
      </c>
      <c r="N26" s="154">
        <f t="shared" si="6"/>
        <v>106</v>
      </c>
      <c r="P26" s="154">
        <f>+PB!$B27</f>
        <v>191917</v>
      </c>
      <c r="Q26" s="150">
        <f t="shared" si="7"/>
        <v>0.006848454975183062</v>
      </c>
      <c r="R26" s="154">
        <f t="shared" si="8"/>
        <v>15</v>
      </c>
      <c r="T26" s="154">
        <f>+'School Tax'!B32</f>
        <v>2287</v>
      </c>
      <c r="U26" s="150">
        <f>+'School Tax'!D32</f>
        <v>0.0009019977653172986</v>
      </c>
      <c r="V26" s="154">
        <f t="shared" si="9"/>
        <v>1</v>
      </c>
      <c r="X26" s="154">
        <f>+'CIT (SSF)'!R26</f>
        <v>41</v>
      </c>
      <c r="Y26" s="150">
        <f t="shared" si="1"/>
        <v>0.001332596613254461</v>
      </c>
      <c r="Z26" s="154">
        <f t="shared" si="10"/>
        <v>2</v>
      </c>
      <c r="AA26" s="144"/>
      <c r="AB26" s="154">
        <f>+PB!B27</f>
        <v>191917</v>
      </c>
      <c r="AC26" s="150">
        <f t="shared" si="11"/>
        <v>0.006848454975183062</v>
      </c>
      <c r="AD26" s="154">
        <f t="shared" si="12"/>
        <v>7</v>
      </c>
    </row>
    <row r="27" spans="1:30" ht="12.75">
      <c r="A27" s="4" t="s">
        <v>31</v>
      </c>
      <c r="B27" s="296">
        <f t="shared" si="2"/>
        <v>134</v>
      </c>
      <c r="C27" s="154"/>
      <c r="D27" s="28">
        <f>SUM(PB!F28)</f>
        <v>53008</v>
      </c>
      <c r="E27" s="54">
        <f t="shared" si="3"/>
        <v>0.0022625235896510886</v>
      </c>
      <c r="F27" s="29">
        <f t="shared" si="13"/>
        <v>63</v>
      </c>
      <c r="H27" s="28">
        <f>SUM('FTEs &amp; onbrd'!F27)</f>
        <v>62</v>
      </c>
      <c r="I27" s="54">
        <f t="shared" si="0"/>
        <v>0.004870384917517675</v>
      </c>
      <c r="J27" s="28">
        <f t="shared" si="4"/>
        <v>23</v>
      </c>
      <c r="L27" s="154">
        <f>+PB!$B28</f>
        <v>65716</v>
      </c>
      <c r="M27" s="150">
        <f t="shared" si="5"/>
        <v>0.0023450401327090886</v>
      </c>
      <c r="N27" s="154">
        <f t="shared" si="6"/>
        <v>36</v>
      </c>
      <c r="P27" s="154">
        <f>+PB!$B28</f>
        <v>65716</v>
      </c>
      <c r="Q27" s="150">
        <f t="shared" si="7"/>
        <v>0.0023450401327090886</v>
      </c>
      <c r="R27" s="154">
        <f t="shared" si="8"/>
        <v>5</v>
      </c>
      <c r="T27" s="154">
        <f>+'School Tax'!B33</f>
        <v>0</v>
      </c>
      <c r="U27" s="150">
        <f>+'School Tax'!D33</f>
        <v>0</v>
      </c>
      <c r="V27" s="154">
        <f t="shared" si="9"/>
        <v>0</v>
      </c>
      <c r="X27" s="154">
        <f>+'CIT (SSF)'!R27</f>
        <v>83</v>
      </c>
      <c r="Y27" s="150">
        <f t="shared" si="1"/>
        <v>0.0026976955829297626</v>
      </c>
      <c r="Z27" s="154">
        <f t="shared" si="10"/>
        <v>5</v>
      </c>
      <c r="AA27" s="144"/>
      <c r="AB27" s="154">
        <f>+PB!B28</f>
        <v>65716</v>
      </c>
      <c r="AC27" s="150">
        <f t="shared" si="11"/>
        <v>0.0023450401327090886</v>
      </c>
      <c r="AD27" s="154">
        <f t="shared" si="12"/>
        <v>2</v>
      </c>
    </row>
    <row r="28" spans="1:30" ht="12.75">
      <c r="A28" s="4" t="s">
        <v>32</v>
      </c>
      <c r="B28" s="296">
        <f t="shared" si="2"/>
        <v>921</v>
      </c>
      <c r="C28" s="154"/>
      <c r="D28" s="28">
        <f>SUM(PB!F29)</f>
        <v>304268</v>
      </c>
      <c r="E28" s="54">
        <f t="shared" si="3"/>
        <v>0.01298697418457511</v>
      </c>
      <c r="F28" s="29">
        <f t="shared" si="13"/>
        <v>363</v>
      </c>
      <c r="H28" s="28">
        <f>SUM('FTEs &amp; onbrd'!F28)</f>
        <v>727</v>
      </c>
      <c r="I28" s="54">
        <f t="shared" si="0"/>
        <v>0.05710919088766693</v>
      </c>
      <c r="J28" s="28">
        <f t="shared" si="4"/>
        <v>264</v>
      </c>
      <c r="L28" s="154">
        <f>+PB!$B29</f>
        <v>304268</v>
      </c>
      <c r="M28" s="150">
        <f t="shared" si="5"/>
        <v>0.01085764001307336</v>
      </c>
      <c r="N28" s="154">
        <f t="shared" si="6"/>
        <v>169</v>
      </c>
      <c r="P28" s="154">
        <f>+PB!$B29</f>
        <v>304268</v>
      </c>
      <c r="Q28" s="150">
        <f t="shared" si="7"/>
        <v>0.01085764001307336</v>
      </c>
      <c r="R28" s="154">
        <f t="shared" si="8"/>
        <v>24</v>
      </c>
      <c r="T28" s="154">
        <f>+'School Tax'!B34</f>
        <v>0</v>
      </c>
      <c r="U28" s="150">
        <f>+'School Tax'!D34</f>
        <v>0</v>
      </c>
      <c r="V28" s="154">
        <f t="shared" si="9"/>
        <v>0</v>
      </c>
      <c r="X28" s="154">
        <f>+'CIT (SSF)'!R28</f>
        <v>1477</v>
      </c>
      <c r="Y28" s="150">
        <f t="shared" si="1"/>
        <v>0.04800598043358143</v>
      </c>
      <c r="Z28" s="154">
        <f t="shared" si="10"/>
        <v>90</v>
      </c>
      <c r="AA28" s="144"/>
      <c r="AB28" s="154">
        <f>+PB!B29</f>
        <v>304268</v>
      </c>
      <c r="AC28" s="150">
        <f t="shared" si="11"/>
        <v>0.01085764001307336</v>
      </c>
      <c r="AD28" s="154">
        <f t="shared" si="12"/>
        <v>11</v>
      </c>
    </row>
    <row r="29" spans="1:30" ht="12.75">
      <c r="A29" s="4" t="s">
        <v>33</v>
      </c>
      <c r="B29" s="296">
        <f t="shared" si="2"/>
        <v>0</v>
      </c>
      <c r="C29" s="154"/>
      <c r="D29" s="28">
        <f>SUM(PB!F30)</f>
        <v>0</v>
      </c>
      <c r="E29" s="54">
        <f t="shared" si="3"/>
        <v>0</v>
      </c>
      <c r="F29" s="29">
        <f t="shared" si="13"/>
        <v>0</v>
      </c>
      <c r="H29" s="28">
        <f>SUM('FTEs &amp; onbrd'!F29)</f>
        <v>0</v>
      </c>
      <c r="I29" s="54">
        <f t="shared" si="0"/>
        <v>0</v>
      </c>
      <c r="J29" s="29">
        <f t="shared" si="4"/>
        <v>0</v>
      </c>
      <c r="L29" s="154">
        <f>+PB!$B30</f>
        <v>0</v>
      </c>
      <c r="M29" s="150">
        <f t="shared" si="5"/>
        <v>0</v>
      </c>
      <c r="N29" s="154">
        <f t="shared" si="6"/>
        <v>0</v>
      </c>
      <c r="P29" s="154">
        <f>+PB!$B30</f>
        <v>0</v>
      </c>
      <c r="Q29" s="150">
        <f t="shared" si="7"/>
        <v>0</v>
      </c>
      <c r="R29" s="154">
        <f t="shared" si="8"/>
        <v>0</v>
      </c>
      <c r="T29" s="154"/>
      <c r="U29" s="150"/>
      <c r="V29" s="154"/>
      <c r="X29" s="154">
        <v>0</v>
      </c>
      <c r="Y29" s="150">
        <f t="shared" si="1"/>
        <v>0</v>
      </c>
      <c r="Z29" s="154">
        <f t="shared" si="10"/>
        <v>0</v>
      </c>
      <c r="AA29" s="144"/>
      <c r="AB29" s="154">
        <f>+PB!B30</f>
        <v>0</v>
      </c>
      <c r="AC29" s="150">
        <f t="shared" si="11"/>
        <v>0</v>
      </c>
      <c r="AD29" s="154">
        <f t="shared" si="12"/>
        <v>0</v>
      </c>
    </row>
    <row r="30" spans="1:30" ht="12.75">
      <c r="A30" s="4" t="s">
        <v>6</v>
      </c>
      <c r="B30" s="296">
        <f t="shared" si="2"/>
        <v>583</v>
      </c>
      <c r="C30" s="154"/>
      <c r="D30" s="28">
        <f>SUM(PB!F31)</f>
        <v>90638</v>
      </c>
      <c r="E30" s="54">
        <f t="shared" si="3"/>
        <v>0.0038686729006715097</v>
      </c>
      <c r="F30" s="29">
        <f t="shared" si="13"/>
        <v>108</v>
      </c>
      <c r="H30" s="28">
        <f>SUM('FTEs &amp; onbrd'!F30)</f>
        <v>640</v>
      </c>
      <c r="I30" s="54">
        <f t="shared" si="0"/>
        <v>0.05027494108405342</v>
      </c>
      <c r="J30" s="28">
        <f t="shared" si="4"/>
        <v>232</v>
      </c>
      <c r="L30" s="154">
        <f>+PB!$B31</f>
        <v>273982</v>
      </c>
      <c r="M30" s="150">
        <f t="shared" si="5"/>
        <v>0.009776900384075438</v>
      </c>
      <c r="N30" s="154">
        <f t="shared" si="6"/>
        <v>152</v>
      </c>
      <c r="P30" s="154">
        <f>+PB!$B31</f>
        <v>273982</v>
      </c>
      <c r="Q30" s="150">
        <f t="shared" si="7"/>
        <v>0.009776900384075438</v>
      </c>
      <c r="R30" s="154">
        <f t="shared" si="8"/>
        <v>21</v>
      </c>
      <c r="T30" s="154"/>
      <c r="U30" s="150"/>
      <c r="V30" s="154"/>
      <c r="X30" s="154">
        <f>+'CIT (SSF)'!R30</f>
        <v>987</v>
      </c>
      <c r="Y30" s="150">
        <f t="shared" si="1"/>
        <v>0.032079825787369586</v>
      </c>
      <c r="Z30" s="154">
        <f t="shared" si="10"/>
        <v>60</v>
      </c>
      <c r="AA30" s="144"/>
      <c r="AB30" s="154">
        <f>+PB!B31</f>
        <v>273982</v>
      </c>
      <c r="AC30" s="150">
        <f t="shared" si="11"/>
        <v>0.009776900384075438</v>
      </c>
      <c r="AD30" s="154">
        <f t="shared" si="12"/>
        <v>10</v>
      </c>
    </row>
    <row r="31" spans="1:30" ht="12.75">
      <c r="A31" s="4" t="s">
        <v>45</v>
      </c>
      <c r="B31" s="296">
        <f t="shared" si="2"/>
        <v>65</v>
      </c>
      <c r="C31" s="154"/>
      <c r="D31" s="42"/>
      <c r="E31" s="15"/>
      <c r="F31" s="15"/>
      <c r="H31" s="28"/>
      <c r="I31" s="15"/>
      <c r="J31" s="29"/>
      <c r="L31" s="154"/>
      <c r="M31" s="150"/>
      <c r="N31" s="154"/>
      <c r="P31" s="154"/>
      <c r="Q31" s="150"/>
      <c r="R31" s="154"/>
      <c r="T31" s="154"/>
      <c r="U31" s="150"/>
      <c r="V31" s="154"/>
      <c r="X31" s="154">
        <f>+'CIT (SSF)'!R31</f>
        <v>1063</v>
      </c>
      <c r="Y31" s="150">
        <f t="shared" si="1"/>
        <v>0.034550004875353466</v>
      </c>
      <c r="Z31" s="154">
        <f t="shared" si="10"/>
        <v>65</v>
      </c>
      <c r="AA31" s="144"/>
      <c r="AB31" s="154"/>
      <c r="AC31" s="150"/>
      <c r="AD31" s="154"/>
    </row>
    <row r="32" spans="1:30" ht="12.75">
      <c r="A32" s="4" t="s">
        <v>34</v>
      </c>
      <c r="B32" s="296">
        <f t="shared" si="2"/>
        <v>138</v>
      </c>
      <c r="C32" s="154"/>
      <c r="D32" s="42"/>
      <c r="E32" s="15"/>
      <c r="F32" s="15"/>
      <c r="H32" s="28"/>
      <c r="I32" s="15"/>
      <c r="J32" s="15"/>
      <c r="L32" s="154"/>
      <c r="M32" s="150"/>
      <c r="N32" s="154"/>
      <c r="P32" s="154"/>
      <c r="Q32" s="150"/>
      <c r="R32" s="154"/>
      <c r="T32" s="154"/>
      <c r="U32" s="150"/>
      <c r="V32" s="154"/>
      <c r="X32" s="154">
        <f>+'CIT (SSF)'!R32</f>
        <v>2274</v>
      </c>
      <c r="Y32" s="150">
        <f t="shared" si="1"/>
        <v>0.07391035850099133</v>
      </c>
      <c r="Z32" s="154">
        <f t="shared" si="10"/>
        <v>138</v>
      </c>
      <c r="AA32" s="144"/>
      <c r="AB32" s="154"/>
      <c r="AC32" s="150"/>
      <c r="AD32" s="154"/>
    </row>
    <row r="33" spans="1:30" ht="12.75">
      <c r="A33" s="4" t="s">
        <v>3</v>
      </c>
      <c r="B33" s="296">
        <f t="shared" si="2"/>
        <v>22</v>
      </c>
      <c r="C33" s="154"/>
      <c r="D33" s="42"/>
      <c r="E33" s="15"/>
      <c r="F33" s="15"/>
      <c r="H33" s="28"/>
      <c r="I33" s="15"/>
      <c r="J33" s="15"/>
      <c r="L33" s="154"/>
      <c r="M33" s="150"/>
      <c r="N33" s="154"/>
      <c r="P33" s="154"/>
      <c r="Q33" s="150"/>
      <c r="R33" s="154"/>
      <c r="T33" s="154"/>
      <c r="U33" s="150"/>
      <c r="V33" s="154"/>
      <c r="X33" s="154">
        <f>+'CIT (SSF)'!R33</f>
        <v>354</v>
      </c>
      <c r="Y33" s="150">
        <f t="shared" si="1"/>
        <v>0.011505834172977542</v>
      </c>
      <c r="Z33" s="154">
        <f t="shared" si="10"/>
        <v>22</v>
      </c>
      <c r="AA33" s="144"/>
      <c r="AB33" s="154"/>
      <c r="AC33" s="150"/>
      <c r="AD33" s="154"/>
    </row>
    <row r="34" spans="1:30" ht="12.75">
      <c r="A34" s="4" t="s">
        <v>4</v>
      </c>
      <c r="B34" s="296">
        <f t="shared" si="2"/>
        <v>58</v>
      </c>
      <c r="C34" s="154"/>
      <c r="D34" s="42"/>
      <c r="E34" s="15"/>
      <c r="F34" s="15"/>
      <c r="H34" s="28"/>
      <c r="I34" s="15"/>
      <c r="J34" s="15"/>
      <c r="L34" s="154"/>
      <c r="M34" s="150"/>
      <c r="N34" s="154"/>
      <c r="P34" s="154"/>
      <c r="Q34" s="150"/>
      <c r="R34" s="154"/>
      <c r="T34" s="154"/>
      <c r="U34" s="150"/>
      <c r="V34" s="154"/>
      <c r="X34" s="154">
        <f>+'CIT (SSF)'!R34</f>
        <v>954</v>
      </c>
      <c r="Y34" s="150">
        <f t="shared" si="1"/>
        <v>0.031007248025481847</v>
      </c>
      <c r="Z34" s="154">
        <f t="shared" si="10"/>
        <v>58</v>
      </c>
      <c r="AA34" s="144"/>
      <c r="AB34" s="154"/>
      <c r="AC34" s="150"/>
      <c r="AD34" s="154"/>
    </row>
    <row r="35" spans="1:30" ht="12.75">
      <c r="A35" s="4" t="s">
        <v>7</v>
      </c>
      <c r="B35" s="296">
        <f t="shared" si="2"/>
        <v>74</v>
      </c>
      <c r="C35" s="154"/>
      <c r="D35" s="42"/>
      <c r="E35" s="29"/>
      <c r="F35" s="46"/>
      <c r="H35" s="28"/>
      <c r="I35" s="29"/>
      <c r="J35" s="46"/>
      <c r="L35" s="154"/>
      <c r="M35" s="150"/>
      <c r="N35" s="154"/>
      <c r="P35" s="154"/>
      <c r="Q35" s="150"/>
      <c r="R35" s="154"/>
      <c r="T35" s="154"/>
      <c r="U35" s="150"/>
      <c r="V35" s="154"/>
      <c r="X35" s="154">
        <f>+'CIT (SSF)'!R35</f>
        <v>1218</v>
      </c>
      <c r="Y35" s="150">
        <f t="shared" si="1"/>
        <v>0.03958787012058374</v>
      </c>
      <c r="Z35" s="154">
        <f t="shared" si="10"/>
        <v>74</v>
      </c>
      <c r="AA35" s="144"/>
      <c r="AB35" s="154"/>
      <c r="AC35" s="150"/>
      <c r="AD35" s="154"/>
    </row>
    <row r="36" spans="1:30" ht="12.75">
      <c r="A36" s="4" t="s">
        <v>106</v>
      </c>
      <c r="B36" s="296">
        <f t="shared" si="2"/>
        <v>41</v>
      </c>
      <c r="C36" s="154"/>
      <c r="D36" s="42"/>
      <c r="E36" s="29"/>
      <c r="F36" s="46"/>
      <c r="H36" s="28"/>
      <c r="I36" s="29"/>
      <c r="J36" s="46"/>
      <c r="L36" s="154"/>
      <c r="M36" s="150"/>
      <c r="N36" s="154"/>
      <c r="P36" s="154"/>
      <c r="Q36" s="150"/>
      <c r="R36" s="154"/>
      <c r="T36" s="154"/>
      <c r="U36" s="150"/>
      <c r="V36" s="154"/>
      <c r="X36" s="154">
        <f>+'CIT (SSF)'!R36</f>
        <v>672</v>
      </c>
      <c r="Y36" s="150">
        <f t="shared" si="1"/>
        <v>0.021841583514804825</v>
      </c>
      <c r="Z36" s="154">
        <f t="shared" si="10"/>
        <v>41</v>
      </c>
      <c r="AA36" s="144"/>
      <c r="AB36" s="154"/>
      <c r="AC36" s="150"/>
      <c r="AD36" s="154"/>
    </row>
    <row r="37" spans="1:30" ht="12.75">
      <c r="A37" s="4" t="s">
        <v>93</v>
      </c>
      <c r="B37" s="296">
        <f t="shared" si="2"/>
        <v>22</v>
      </c>
      <c r="C37" s="154"/>
      <c r="D37" s="42"/>
      <c r="E37" s="15"/>
      <c r="F37" s="16"/>
      <c r="H37" s="33">
        <f>SUM('FTEs &amp; onbrd'!F37)</f>
        <v>0</v>
      </c>
      <c r="I37" s="54"/>
      <c r="J37" s="40">
        <f>+I37*$J$43</f>
        <v>0</v>
      </c>
      <c r="L37" s="159"/>
      <c r="M37" s="150"/>
      <c r="N37" s="159"/>
      <c r="P37" s="159"/>
      <c r="Q37" s="150"/>
      <c r="R37" s="159"/>
      <c r="T37" s="159"/>
      <c r="U37" s="150"/>
      <c r="V37" s="159"/>
      <c r="X37" s="159">
        <f>+'CIT (SSF)'!R37</f>
        <v>357</v>
      </c>
      <c r="Y37" s="150">
        <f t="shared" si="1"/>
        <v>0.011603341242240063</v>
      </c>
      <c r="Z37" s="159">
        <f t="shared" si="10"/>
        <v>22</v>
      </c>
      <c r="AA37" s="144"/>
      <c r="AB37" s="159"/>
      <c r="AC37" s="150"/>
      <c r="AD37" s="159"/>
    </row>
    <row r="38" spans="1:30" ht="12.75">
      <c r="A38" s="18" t="s">
        <v>35</v>
      </c>
      <c r="B38" s="347">
        <f>SUM(B5:B37)</f>
        <v>54280</v>
      </c>
      <c r="C38" s="267"/>
      <c r="D38" s="35">
        <f>SUM(D5:D37)</f>
        <v>23428706</v>
      </c>
      <c r="E38" s="199">
        <f>SUM(E5:E35)</f>
        <v>1</v>
      </c>
      <c r="F38" s="50">
        <f>SUM(F5:F37)</f>
        <v>27956</v>
      </c>
      <c r="H38" s="33">
        <f>SUM(H5:H37)</f>
        <v>12730</v>
      </c>
      <c r="I38" s="198">
        <f>SUM(I5:I37)</f>
        <v>1.0000000000000002</v>
      </c>
      <c r="J38" s="50">
        <f>SUM(J5:J37)</f>
        <v>4620</v>
      </c>
      <c r="L38" s="161">
        <f>SUM(L5:L37)</f>
        <v>28023401</v>
      </c>
      <c r="M38" s="200">
        <v>1</v>
      </c>
      <c r="N38" s="162">
        <f>SUM(N5:N37)</f>
        <v>15522</v>
      </c>
      <c r="P38" s="161">
        <f>SUM(P5:P37)</f>
        <v>28023401</v>
      </c>
      <c r="Q38" s="200">
        <v>1</v>
      </c>
      <c r="R38" s="162">
        <f>SUM(R5:R37)</f>
        <v>2199</v>
      </c>
      <c r="T38" s="161">
        <f>SUM(T5:T37)</f>
        <v>2721202</v>
      </c>
      <c r="U38" s="200">
        <f>SUM(U5:U37)</f>
        <v>0.9999999999999999</v>
      </c>
      <c r="V38" s="162">
        <f>SUM(V5:V37)</f>
        <v>1108</v>
      </c>
      <c r="X38" s="161">
        <f>SUM(X5:X37)</f>
        <v>30767</v>
      </c>
      <c r="Y38" s="200">
        <f>SUM(Y5:Y37)</f>
        <v>0.9999999999999999</v>
      </c>
      <c r="Z38" s="162">
        <f>SUM(Z5:Z37)</f>
        <v>1869</v>
      </c>
      <c r="AA38" s="144"/>
      <c r="AB38" s="161">
        <f>SUM(AB5:AB37)</f>
        <v>28023401</v>
      </c>
      <c r="AC38" s="200">
        <f>SUM(AC5:AC37)</f>
        <v>0.9999999999999999</v>
      </c>
      <c r="AD38" s="162">
        <f>SUM(AD5:AD37)</f>
        <v>1006</v>
      </c>
    </row>
    <row r="39" spans="3:30" ht="12.75">
      <c r="C39" s="143"/>
      <c r="D39" s="96" t="s">
        <v>214</v>
      </c>
      <c r="F39" s="53"/>
      <c r="H39" s="82" t="s">
        <v>215</v>
      </c>
      <c r="L39" s="163" t="s">
        <v>51</v>
      </c>
      <c r="M39" s="144"/>
      <c r="N39" s="144"/>
      <c r="P39" s="163" t="s">
        <v>51</v>
      </c>
      <c r="Q39" s="144"/>
      <c r="R39" s="144"/>
      <c r="T39" s="163" t="s">
        <v>52</v>
      </c>
      <c r="U39" s="144"/>
      <c r="V39" s="144"/>
      <c r="X39" s="163" t="s">
        <v>139</v>
      </c>
      <c r="Y39" s="144"/>
      <c r="Z39" s="144"/>
      <c r="AA39" s="144"/>
      <c r="AB39" s="163" t="s">
        <v>51</v>
      </c>
      <c r="AC39" s="144"/>
      <c r="AD39" s="144"/>
    </row>
    <row r="40" spans="12:27" ht="12.75">
      <c r="L40" s="191"/>
      <c r="P40" s="191"/>
      <c r="AA40" s="53"/>
    </row>
    <row r="41" ht="12.75">
      <c r="F41" s="53"/>
    </row>
    <row r="42" spans="22:26" ht="12.75">
      <c r="V42" s="53"/>
      <c r="Z42" s="53"/>
    </row>
    <row r="43" spans="6:30" ht="12.75">
      <c r="F43" s="124">
        <v>27956</v>
      </c>
      <c r="J43" s="124">
        <v>4620</v>
      </c>
      <c r="N43" s="124">
        <v>15522</v>
      </c>
      <c r="R43" s="124">
        <v>2199</v>
      </c>
      <c r="V43" s="124">
        <v>1108</v>
      </c>
      <c r="Z43" s="124">
        <v>1869</v>
      </c>
      <c r="AD43" s="124">
        <v>1006</v>
      </c>
    </row>
    <row r="48" spans="2:6" ht="12.75">
      <c r="B48" s="135"/>
      <c r="C48" s="143"/>
      <c r="D48" s="143"/>
      <c r="E48" s="143"/>
      <c r="F48" s="143"/>
    </row>
    <row r="49" spans="2:6" ht="12.75">
      <c r="B49" s="135"/>
      <c r="C49" s="143"/>
      <c r="D49" s="135"/>
      <c r="E49" s="143"/>
      <c r="F49" s="143"/>
    </row>
    <row r="50" spans="2:6" ht="12.75">
      <c r="B50" s="135"/>
      <c r="C50" s="143"/>
      <c r="D50" s="135"/>
      <c r="E50" s="143"/>
      <c r="F50" s="143"/>
    </row>
    <row r="51" spans="2:6" ht="12.75">
      <c r="B51" s="135"/>
      <c r="C51" s="143"/>
      <c r="D51" s="143"/>
      <c r="E51" s="143"/>
      <c r="F51" s="143"/>
    </row>
    <row r="52" spans="2:6" ht="12.75">
      <c r="B52" s="135"/>
      <c r="C52" s="143"/>
      <c r="D52" s="143"/>
      <c r="E52" s="143"/>
      <c r="F52" s="143"/>
    </row>
  </sheetData>
  <mergeCells count="7">
    <mergeCell ref="X3:Z3"/>
    <mergeCell ref="AB3:AD3"/>
    <mergeCell ref="D3:F3"/>
    <mergeCell ref="H3:J3"/>
    <mergeCell ref="L3:N3"/>
    <mergeCell ref="P3:R3"/>
    <mergeCell ref="T3:V3"/>
  </mergeCells>
  <printOptions/>
  <pageMargins left="0.75" right="0.75" top="0.54" bottom="0.59" header="0.5" footer="0.5"/>
  <pageSetup fitToWidth="2" horizontalDpi="600" verticalDpi="600" orientation="landscape" scale="81" r:id="rId1"/>
  <colBreaks count="1" manualBreakCount="1">
    <brk id="14" min="1" max="4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2:U49"/>
  <sheetViews>
    <sheetView zoomScaleSheetLayoutView="85" workbookViewId="0" topLeftCell="A1">
      <pane xSplit="5" ySplit="4" topLeftCell="F14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O42" sqref="O42"/>
    </sheetView>
  </sheetViews>
  <sheetFormatPr defaultColWidth="9.140625" defaultRowHeight="12.75"/>
  <cols>
    <col min="2" max="3" width="0" style="0" hidden="1" customWidth="1"/>
    <col min="4" max="4" width="11.28125" style="0" customWidth="1"/>
    <col min="5" max="5" width="2.57421875" style="0" customWidth="1"/>
    <col min="8" max="8" width="11.28125" style="0" customWidth="1"/>
    <col min="9" max="9" width="2.7109375" style="0" customWidth="1"/>
    <col min="12" max="12" width="11.8515625" style="0" customWidth="1"/>
    <col min="13" max="13" width="2.00390625" style="0" customWidth="1"/>
    <col min="16" max="16" width="10.7109375" style="0" customWidth="1"/>
    <col min="17" max="17" width="2.421875" style="0" customWidth="1"/>
    <col min="20" max="20" width="10.28125" style="0" customWidth="1"/>
    <col min="21" max="21" width="2.8515625" style="0" customWidth="1"/>
    <col min="24" max="24" width="10.00390625" style="0" customWidth="1"/>
    <col min="25" max="25" width="2.28125" style="0" customWidth="1"/>
    <col min="28" max="28" width="10.00390625" style="0" customWidth="1"/>
  </cols>
  <sheetData>
    <row r="2" ht="18">
      <c r="A2" s="22" t="s">
        <v>219</v>
      </c>
    </row>
    <row r="3" spans="1:21" ht="12.75">
      <c r="A3" s="11"/>
      <c r="B3" s="369" t="s">
        <v>35</v>
      </c>
      <c r="C3" s="369"/>
      <c r="D3" s="369"/>
      <c r="F3" s="366" t="s">
        <v>138</v>
      </c>
      <c r="G3" s="367"/>
      <c r="H3" s="348"/>
      <c r="I3" s="144"/>
      <c r="J3" s="366" t="s">
        <v>49</v>
      </c>
      <c r="K3" s="367"/>
      <c r="L3" s="348"/>
      <c r="M3" s="144"/>
      <c r="N3" s="366" t="s">
        <v>146</v>
      </c>
      <c r="O3" s="367"/>
      <c r="P3" s="348"/>
      <c r="Q3" s="144"/>
      <c r="R3" s="366" t="s">
        <v>137</v>
      </c>
      <c r="S3" s="367"/>
      <c r="T3" s="348"/>
      <c r="U3" s="144"/>
    </row>
    <row r="4" spans="1:21" ht="12.75">
      <c r="A4" s="12"/>
      <c r="B4" s="55"/>
      <c r="C4" s="55"/>
      <c r="D4" s="55" t="s">
        <v>38</v>
      </c>
      <c r="F4" s="145"/>
      <c r="G4" s="145" t="s">
        <v>37</v>
      </c>
      <c r="H4" s="146" t="s">
        <v>38</v>
      </c>
      <c r="I4" s="144"/>
      <c r="J4" s="145" t="s">
        <v>36</v>
      </c>
      <c r="K4" s="145" t="s">
        <v>37</v>
      </c>
      <c r="L4" s="147" t="s">
        <v>38</v>
      </c>
      <c r="M4" s="144"/>
      <c r="N4" s="145" t="s">
        <v>36</v>
      </c>
      <c r="O4" s="145" t="s">
        <v>37</v>
      </c>
      <c r="P4" s="146" t="s">
        <v>38</v>
      </c>
      <c r="Q4" s="144"/>
      <c r="R4" s="145" t="s">
        <v>36</v>
      </c>
      <c r="S4" s="145" t="s">
        <v>37</v>
      </c>
      <c r="T4" s="146" t="s">
        <v>38</v>
      </c>
      <c r="U4" s="144"/>
    </row>
    <row r="5" spans="1:21" ht="12.75">
      <c r="A5" s="4" t="s">
        <v>0</v>
      </c>
      <c r="B5" s="148"/>
      <c r="C5" s="133"/>
      <c r="D5" s="164">
        <f>+H5+L5+P5+T5</f>
        <v>11502</v>
      </c>
      <c r="F5" s="149"/>
      <c r="G5" s="150">
        <v>0.1499298265096502</v>
      </c>
      <c r="H5" s="164">
        <f>ROUND(G5*$H$43,0)</f>
        <v>2868</v>
      </c>
      <c r="I5" s="144"/>
      <c r="J5" s="152">
        <f>+Census!H5</f>
        <v>5219</v>
      </c>
      <c r="K5" s="150">
        <v>0.16844315245478036</v>
      </c>
      <c r="L5" s="151">
        <f>ROUND(K5*$L$43,0)-1</f>
        <v>4899</v>
      </c>
      <c r="M5" s="144"/>
      <c r="N5" s="152">
        <f>+J5</f>
        <v>5219</v>
      </c>
      <c r="O5" s="150">
        <v>0.16844315245478036</v>
      </c>
      <c r="P5" s="151">
        <f>ROUND(O5*$P$43,0)+1</f>
        <v>2001</v>
      </c>
      <c r="Q5" s="144"/>
      <c r="R5" s="152">
        <f>+N5</f>
        <v>5219</v>
      </c>
      <c r="S5" s="150">
        <v>0.16844315245478036</v>
      </c>
      <c r="T5" s="151">
        <f>ROUND(S5*$T$43,0)</f>
        <v>1734</v>
      </c>
      <c r="U5" s="144"/>
    </row>
    <row r="6" spans="1:21" ht="12.75">
      <c r="A6" s="4" t="s">
        <v>10</v>
      </c>
      <c r="B6" s="148"/>
      <c r="C6" s="133"/>
      <c r="D6" s="154">
        <f aca="true" t="shared" si="0" ref="D6:D37">+H6+L6+P6+T6</f>
        <v>2847</v>
      </c>
      <c r="F6" s="153"/>
      <c r="G6" s="150">
        <v>0.03923385403820136</v>
      </c>
      <c r="H6" s="154">
        <f aca="true" t="shared" si="1" ref="H6:H37">ROUND(G6*$H$43,0)</f>
        <v>750</v>
      </c>
      <c r="I6" s="144"/>
      <c r="J6" s="154">
        <f>+Census!H6</f>
        <v>1287</v>
      </c>
      <c r="K6" s="150">
        <v>0.04089147286821705</v>
      </c>
      <c r="L6" s="154">
        <f aca="true" t="shared" si="2" ref="L6:L37">ROUND(K6*$L$43,0)</f>
        <v>1190</v>
      </c>
      <c r="M6" s="144"/>
      <c r="N6" s="154">
        <f aca="true" t="shared" si="3" ref="N6:N37">+J6</f>
        <v>1287</v>
      </c>
      <c r="O6" s="150">
        <v>0.04089147286821705</v>
      </c>
      <c r="P6" s="154">
        <f aca="true" t="shared" si="4" ref="P6:P37">ROUND(O6*$P$43,0)</f>
        <v>486</v>
      </c>
      <c r="Q6" s="144"/>
      <c r="R6" s="154">
        <f aca="true" t="shared" si="5" ref="R6:R37">+N6</f>
        <v>1287</v>
      </c>
      <c r="S6" s="150">
        <v>0.04089147286821705</v>
      </c>
      <c r="T6" s="154">
        <f aca="true" t="shared" si="6" ref="T6:T37">ROUND(S6*$T$43,0)</f>
        <v>421</v>
      </c>
      <c r="U6" s="144"/>
    </row>
    <row r="7" spans="1:21" ht="12.75">
      <c r="A7" s="4" t="s">
        <v>11</v>
      </c>
      <c r="B7" s="148"/>
      <c r="C7" s="133"/>
      <c r="D7" s="154">
        <f t="shared" si="0"/>
        <v>1226</v>
      </c>
      <c r="F7" s="153"/>
      <c r="G7" s="150">
        <v>0.01981761607102549</v>
      </c>
      <c r="H7" s="154">
        <f t="shared" si="1"/>
        <v>379</v>
      </c>
      <c r="I7" s="144"/>
      <c r="J7" s="154">
        <f>+Census!H7</f>
        <v>545</v>
      </c>
      <c r="K7" s="150">
        <v>0.016537467700258397</v>
      </c>
      <c r="L7" s="154">
        <f t="shared" si="2"/>
        <v>481</v>
      </c>
      <c r="M7" s="144"/>
      <c r="N7" s="154">
        <f t="shared" si="3"/>
        <v>545</v>
      </c>
      <c r="O7" s="150">
        <v>0.016537467700258397</v>
      </c>
      <c r="P7" s="154">
        <f t="shared" si="4"/>
        <v>196</v>
      </c>
      <c r="Q7" s="144"/>
      <c r="R7" s="154">
        <f t="shared" si="5"/>
        <v>545</v>
      </c>
      <c r="S7" s="150">
        <v>0.016537467700258397</v>
      </c>
      <c r="T7" s="154">
        <f t="shared" si="6"/>
        <v>170</v>
      </c>
      <c r="U7" s="144"/>
    </row>
    <row r="8" spans="1:21" ht="12.75">
      <c r="A8" s="4" t="s">
        <v>12</v>
      </c>
      <c r="B8" s="148"/>
      <c r="C8" s="133"/>
      <c r="D8" s="154">
        <f t="shared" si="0"/>
        <v>3122</v>
      </c>
      <c r="F8" s="153"/>
      <c r="G8" s="150">
        <v>0.06271130834912769</v>
      </c>
      <c r="H8" s="154">
        <f t="shared" si="1"/>
        <v>1200</v>
      </c>
      <c r="I8" s="144"/>
      <c r="J8" s="154">
        <f>+Census!H8</f>
        <v>1159</v>
      </c>
      <c r="K8" s="150">
        <v>0.0375</v>
      </c>
      <c r="L8" s="154">
        <f t="shared" si="2"/>
        <v>1091</v>
      </c>
      <c r="M8" s="144"/>
      <c r="N8" s="154">
        <f t="shared" si="3"/>
        <v>1159</v>
      </c>
      <c r="O8" s="150">
        <v>0.0375</v>
      </c>
      <c r="P8" s="154">
        <f t="shared" si="4"/>
        <v>445</v>
      </c>
      <c r="Q8" s="144"/>
      <c r="R8" s="154">
        <f t="shared" si="5"/>
        <v>1159</v>
      </c>
      <c r="S8" s="150">
        <v>0.0375</v>
      </c>
      <c r="T8" s="154">
        <f t="shared" si="6"/>
        <v>386</v>
      </c>
      <c r="U8" s="144"/>
    </row>
    <row r="9" spans="1:21" ht="12.75">
      <c r="A9" s="4" t="s">
        <v>13</v>
      </c>
      <c r="B9" s="148"/>
      <c r="C9" s="133"/>
      <c r="D9" s="154">
        <f t="shared" si="0"/>
        <v>2639</v>
      </c>
      <c r="F9" s="153"/>
      <c r="G9" s="150">
        <v>0.042978138680366006</v>
      </c>
      <c r="H9" s="154">
        <f t="shared" si="1"/>
        <v>822</v>
      </c>
      <c r="I9" s="144"/>
      <c r="J9" s="154">
        <f>+Census!H9</f>
        <v>1091</v>
      </c>
      <c r="K9" s="150">
        <v>0.0354328165374677</v>
      </c>
      <c r="L9" s="154">
        <f t="shared" si="2"/>
        <v>1031</v>
      </c>
      <c r="M9" s="144"/>
      <c r="N9" s="154">
        <f t="shared" si="3"/>
        <v>1091</v>
      </c>
      <c r="O9" s="150">
        <v>0.0354328165374677</v>
      </c>
      <c r="P9" s="154">
        <f t="shared" si="4"/>
        <v>421</v>
      </c>
      <c r="Q9" s="144"/>
      <c r="R9" s="154">
        <f t="shared" si="5"/>
        <v>1091</v>
      </c>
      <c r="S9" s="150">
        <v>0.0354328165374677</v>
      </c>
      <c r="T9" s="154">
        <f t="shared" si="6"/>
        <v>365</v>
      </c>
      <c r="U9" s="144"/>
    </row>
    <row r="10" spans="1:21" ht="12.75">
      <c r="A10" s="4" t="s">
        <v>14</v>
      </c>
      <c r="B10" s="148"/>
      <c r="C10" s="155"/>
      <c r="D10" s="154">
        <f t="shared" si="0"/>
        <v>8728</v>
      </c>
      <c r="F10" s="153"/>
      <c r="G10" s="150">
        <v>0.17559409371327644</v>
      </c>
      <c r="H10" s="154">
        <f t="shared" si="1"/>
        <v>3359</v>
      </c>
      <c r="I10" s="144"/>
      <c r="J10" s="154">
        <f>+Census!H10</f>
        <v>3407</v>
      </c>
      <c r="K10" s="150">
        <v>0.10474806201550388</v>
      </c>
      <c r="L10" s="154">
        <f t="shared" si="2"/>
        <v>3047</v>
      </c>
      <c r="M10" s="144"/>
      <c r="N10" s="154">
        <f t="shared" si="3"/>
        <v>3407</v>
      </c>
      <c r="O10" s="150">
        <v>0.10474806201550388</v>
      </c>
      <c r="P10" s="154">
        <f t="shared" si="4"/>
        <v>1244</v>
      </c>
      <c r="Q10" s="144"/>
      <c r="R10" s="154">
        <f t="shared" si="5"/>
        <v>3407</v>
      </c>
      <c r="S10" s="150">
        <v>0.10474806201550388</v>
      </c>
      <c r="T10" s="154">
        <f t="shared" si="6"/>
        <v>1078</v>
      </c>
      <c r="U10" s="144"/>
    </row>
    <row r="11" spans="1:21" ht="12.75">
      <c r="A11" s="4" t="s">
        <v>15</v>
      </c>
      <c r="B11" s="148"/>
      <c r="C11" s="133"/>
      <c r="D11" s="154">
        <f t="shared" si="0"/>
        <v>410</v>
      </c>
      <c r="F11" s="153"/>
      <c r="G11" s="150">
        <v>0.004312992829494873</v>
      </c>
      <c r="H11" s="154">
        <f t="shared" si="1"/>
        <v>82</v>
      </c>
      <c r="I11" s="144"/>
      <c r="J11" s="154">
        <f>+Census!H11</f>
        <v>210</v>
      </c>
      <c r="K11" s="150">
        <v>0.006395348837209302</v>
      </c>
      <c r="L11" s="154">
        <f t="shared" si="2"/>
        <v>186</v>
      </c>
      <c r="M11" s="144"/>
      <c r="N11" s="154">
        <f t="shared" si="3"/>
        <v>210</v>
      </c>
      <c r="O11" s="150">
        <v>0.006395348837209302</v>
      </c>
      <c r="P11" s="154">
        <f t="shared" si="4"/>
        <v>76</v>
      </c>
      <c r="Q11" s="144"/>
      <c r="R11" s="154">
        <f t="shared" si="5"/>
        <v>210</v>
      </c>
      <c r="S11" s="150">
        <v>0.006395348837209302</v>
      </c>
      <c r="T11" s="154">
        <f t="shared" si="6"/>
        <v>66</v>
      </c>
      <c r="U11" s="144"/>
    </row>
    <row r="12" spans="1:21" ht="12.75">
      <c r="A12" s="4" t="s">
        <v>16</v>
      </c>
      <c r="B12" s="148"/>
      <c r="C12" s="133"/>
      <c r="D12" s="154">
        <f t="shared" si="0"/>
        <v>3448</v>
      </c>
      <c r="F12" s="154"/>
      <c r="G12" s="150">
        <v>0.06316859531563114</v>
      </c>
      <c r="H12" s="154">
        <f t="shared" si="1"/>
        <v>1208</v>
      </c>
      <c r="I12" s="144"/>
      <c r="J12" s="154">
        <f>+Census!H12</f>
        <v>1309</v>
      </c>
      <c r="K12" s="150">
        <v>0.0437015503875969</v>
      </c>
      <c r="L12" s="154">
        <f t="shared" si="2"/>
        <v>1271</v>
      </c>
      <c r="M12" s="144"/>
      <c r="N12" s="154">
        <f t="shared" si="3"/>
        <v>1309</v>
      </c>
      <c r="O12" s="150">
        <v>0.0437015503875969</v>
      </c>
      <c r="P12" s="154">
        <f t="shared" si="4"/>
        <v>519</v>
      </c>
      <c r="Q12" s="144"/>
      <c r="R12" s="154">
        <f t="shared" si="5"/>
        <v>1309</v>
      </c>
      <c r="S12" s="150">
        <v>0.0437015503875969</v>
      </c>
      <c r="T12" s="154">
        <f t="shared" si="6"/>
        <v>450</v>
      </c>
      <c r="U12" s="144"/>
    </row>
    <row r="13" spans="1:21" ht="12.75">
      <c r="A13" s="4" t="s">
        <v>17</v>
      </c>
      <c r="B13" s="148"/>
      <c r="C13" s="133"/>
      <c r="D13" s="154">
        <f t="shared" si="0"/>
        <v>1138</v>
      </c>
      <c r="F13" s="153"/>
      <c r="G13" s="150">
        <v>0.015468875129666932</v>
      </c>
      <c r="H13" s="154">
        <f t="shared" si="1"/>
        <v>296</v>
      </c>
      <c r="I13" s="144"/>
      <c r="J13" s="154">
        <f>+Census!H13</f>
        <v>507</v>
      </c>
      <c r="K13" s="150">
        <v>0.016440568475452198</v>
      </c>
      <c r="L13" s="154">
        <f t="shared" si="2"/>
        <v>478</v>
      </c>
      <c r="M13" s="144"/>
      <c r="N13" s="154">
        <f t="shared" si="3"/>
        <v>507</v>
      </c>
      <c r="O13" s="150">
        <v>0.016440568475452198</v>
      </c>
      <c r="P13" s="154">
        <f t="shared" si="4"/>
        <v>195</v>
      </c>
      <c r="Q13" s="144"/>
      <c r="R13" s="154">
        <f t="shared" si="5"/>
        <v>507</v>
      </c>
      <c r="S13" s="150">
        <v>0.016440568475452198</v>
      </c>
      <c r="T13" s="154">
        <f t="shared" si="6"/>
        <v>169</v>
      </c>
      <c r="U13" s="144"/>
    </row>
    <row r="14" spans="1:21" ht="12.75">
      <c r="A14" s="4" t="s">
        <v>18</v>
      </c>
      <c r="B14" s="148"/>
      <c r="C14" s="133"/>
      <c r="D14" s="154">
        <f t="shared" si="0"/>
        <v>3122</v>
      </c>
      <c r="F14" s="153"/>
      <c r="G14" s="150">
        <v>0.03767866888412059</v>
      </c>
      <c r="H14" s="154">
        <f t="shared" si="1"/>
        <v>721</v>
      </c>
      <c r="I14" s="144"/>
      <c r="J14" s="154">
        <f>+Census!H14</f>
        <v>1433</v>
      </c>
      <c r="K14" s="150">
        <v>0.04683462532299742</v>
      </c>
      <c r="L14" s="154">
        <f t="shared" si="2"/>
        <v>1363</v>
      </c>
      <c r="M14" s="144"/>
      <c r="N14" s="154">
        <f t="shared" si="3"/>
        <v>1433</v>
      </c>
      <c r="O14" s="150">
        <v>0.04683462532299742</v>
      </c>
      <c r="P14" s="154">
        <f t="shared" si="4"/>
        <v>556</v>
      </c>
      <c r="Q14" s="144"/>
      <c r="R14" s="154">
        <f t="shared" si="5"/>
        <v>1433</v>
      </c>
      <c r="S14" s="150">
        <v>0.04683462532299742</v>
      </c>
      <c r="T14" s="154">
        <f t="shared" si="6"/>
        <v>482</v>
      </c>
      <c r="U14" s="144"/>
    </row>
    <row r="15" spans="1:21" ht="12.75">
      <c r="A15" s="4" t="s">
        <v>19</v>
      </c>
      <c r="B15" s="148"/>
      <c r="C15" s="133"/>
      <c r="D15" s="154">
        <f t="shared" si="0"/>
        <v>2131</v>
      </c>
      <c r="F15" s="153"/>
      <c r="G15" s="150">
        <v>0.028175748171315882</v>
      </c>
      <c r="H15" s="154">
        <f t="shared" si="1"/>
        <v>539</v>
      </c>
      <c r="I15" s="144"/>
      <c r="J15" s="154">
        <f>+Census!H15</f>
        <v>955</v>
      </c>
      <c r="K15" s="150">
        <v>0.031040051679586563</v>
      </c>
      <c r="L15" s="154">
        <f t="shared" si="2"/>
        <v>903</v>
      </c>
      <c r="M15" s="144"/>
      <c r="N15" s="154">
        <f t="shared" si="3"/>
        <v>955</v>
      </c>
      <c r="O15" s="150">
        <v>0.031040051679586563</v>
      </c>
      <c r="P15" s="154">
        <f t="shared" si="4"/>
        <v>369</v>
      </c>
      <c r="Q15" s="144"/>
      <c r="R15" s="154">
        <f t="shared" si="5"/>
        <v>955</v>
      </c>
      <c r="S15" s="150">
        <v>0.031040051679586563</v>
      </c>
      <c r="T15" s="154">
        <f t="shared" si="6"/>
        <v>320</v>
      </c>
      <c r="U15" s="144"/>
    </row>
    <row r="16" spans="1:21" ht="12.75">
      <c r="A16" s="4" t="s">
        <v>20</v>
      </c>
      <c r="B16" s="148"/>
      <c r="C16" s="133"/>
      <c r="D16" s="154">
        <f t="shared" si="0"/>
        <v>982</v>
      </c>
      <c r="F16" s="153"/>
      <c r="G16" s="150">
        <v>0.014569262406929477</v>
      </c>
      <c r="H16" s="154">
        <f t="shared" si="1"/>
        <v>279</v>
      </c>
      <c r="I16" s="144"/>
      <c r="J16" s="154">
        <f>+Census!H16</f>
        <v>421</v>
      </c>
      <c r="K16" s="150">
        <v>0.013727390180878552</v>
      </c>
      <c r="L16" s="154">
        <f t="shared" si="2"/>
        <v>399</v>
      </c>
      <c r="M16" s="144"/>
      <c r="N16" s="154">
        <f t="shared" si="3"/>
        <v>421</v>
      </c>
      <c r="O16" s="150">
        <v>0.013727390180878552</v>
      </c>
      <c r="P16" s="154">
        <f t="shared" si="4"/>
        <v>163</v>
      </c>
      <c r="Q16" s="144"/>
      <c r="R16" s="154">
        <f t="shared" si="5"/>
        <v>421</v>
      </c>
      <c r="S16" s="150">
        <v>0.013727390180878552</v>
      </c>
      <c r="T16" s="154">
        <f t="shared" si="6"/>
        <v>141</v>
      </c>
      <c r="U16" s="144"/>
    </row>
    <row r="17" spans="1:21" ht="12.75">
      <c r="A17" s="4" t="s">
        <v>21</v>
      </c>
      <c r="B17" s="148"/>
      <c r="C17" s="133"/>
      <c r="D17" s="154">
        <f t="shared" si="0"/>
        <v>638</v>
      </c>
      <c r="F17" s="153"/>
      <c r="G17" s="150">
        <v>0.008920674036150116</v>
      </c>
      <c r="H17" s="154">
        <f t="shared" si="1"/>
        <v>171</v>
      </c>
      <c r="I17" s="144"/>
      <c r="J17" s="154">
        <f>+Census!H17</f>
        <v>282</v>
      </c>
      <c r="K17" s="150">
        <v>0.009108527131782946</v>
      </c>
      <c r="L17" s="154">
        <f t="shared" si="2"/>
        <v>265</v>
      </c>
      <c r="M17" s="144"/>
      <c r="N17" s="154">
        <f t="shared" si="3"/>
        <v>282</v>
      </c>
      <c r="O17" s="150">
        <v>0.009108527131782946</v>
      </c>
      <c r="P17" s="154">
        <f t="shared" si="4"/>
        <v>108</v>
      </c>
      <c r="Q17" s="144"/>
      <c r="R17" s="154">
        <f t="shared" si="5"/>
        <v>282</v>
      </c>
      <c r="S17" s="150">
        <v>0.009108527131782946</v>
      </c>
      <c r="T17" s="154">
        <f t="shared" si="6"/>
        <v>94</v>
      </c>
      <c r="U17" s="144"/>
    </row>
    <row r="18" spans="1:21" ht="12.75">
      <c r="A18" s="4" t="s">
        <v>22</v>
      </c>
      <c r="B18" s="148"/>
      <c r="C18" s="133"/>
      <c r="D18" s="154">
        <f t="shared" si="0"/>
        <v>2883</v>
      </c>
      <c r="F18" s="153"/>
      <c r="G18" s="150">
        <v>0.038331535774201425</v>
      </c>
      <c r="H18" s="154">
        <f t="shared" si="1"/>
        <v>733</v>
      </c>
      <c r="I18" s="144"/>
      <c r="J18" s="154">
        <f>+Census!H18</f>
        <v>1309</v>
      </c>
      <c r="K18" s="150">
        <v>0.041925064599483204</v>
      </c>
      <c r="L18" s="154">
        <f t="shared" si="2"/>
        <v>1220</v>
      </c>
      <c r="M18" s="144"/>
      <c r="N18" s="154">
        <f t="shared" si="3"/>
        <v>1309</v>
      </c>
      <c r="O18" s="150">
        <v>0.041925064599483204</v>
      </c>
      <c r="P18" s="154">
        <f t="shared" si="4"/>
        <v>498</v>
      </c>
      <c r="Q18" s="144"/>
      <c r="R18" s="154">
        <f t="shared" si="5"/>
        <v>1309</v>
      </c>
      <c r="S18" s="150">
        <v>0.041925064599483204</v>
      </c>
      <c r="T18" s="154">
        <f t="shared" si="6"/>
        <v>432</v>
      </c>
      <c r="U18" s="144"/>
    </row>
    <row r="19" spans="1:21" ht="12.75">
      <c r="A19" s="4" t="s">
        <v>23</v>
      </c>
      <c r="B19" s="148"/>
      <c r="C19" s="133"/>
      <c r="D19" s="154">
        <f t="shared" si="0"/>
        <v>1701</v>
      </c>
      <c r="F19" s="153"/>
      <c r="G19" s="150">
        <v>0.019239445372896787</v>
      </c>
      <c r="H19" s="154">
        <f t="shared" si="1"/>
        <v>368</v>
      </c>
      <c r="I19" s="144"/>
      <c r="J19" s="154">
        <f>+Census!H19</f>
        <v>785</v>
      </c>
      <c r="K19" s="150">
        <v>0.026001291989664083</v>
      </c>
      <c r="L19" s="154">
        <f t="shared" si="2"/>
        <v>756</v>
      </c>
      <c r="M19" s="144"/>
      <c r="N19" s="154">
        <f t="shared" si="3"/>
        <v>785</v>
      </c>
      <c r="O19" s="150">
        <v>0.026001291989664083</v>
      </c>
      <c r="P19" s="154">
        <f t="shared" si="4"/>
        <v>309</v>
      </c>
      <c r="Q19" s="144"/>
      <c r="R19" s="154">
        <f t="shared" si="5"/>
        <v>785</v>
      </c>
      <c r="S19" s="150">
        <v>0.026001291989664083</v>
      </c>
      <c r="T19" s="154">
        <f t="shared" si="6"/>
        <v>268</v>
      </c>
      <c r="U19" s="144"/>
    </row>
    <row r="20" spans="1:21" ht="12.75">
      <c r="A20" s="4" t="s">
        <v>24</v>
      </c>
      <c r="B20" s="148"/>
      <c r="C20" s="133"/>
      <c r="D20" s="154">
        <f t="shared" si="0"/>
        <v>748</v>
      </c>
      <c r="F20" s="153"/>
      <c r="G20" s="150">
        <v>0.010442431475111617</v>
      </c>
      <c r="H20" s="154">
        <f t="shared" si="1"/>
        <v>200</v>
      </c>
      <c r="I20" s="144"/>
      <c r="J20" s="154">
        <f>+Census!H20</f>
        <v>339</v>
      </c>
      <c r="K20" s="150">
        <v>0.010691214470284238</v>
      </c>
      <c r="L20" s="154">
        <f t="shared" si="2"/>
        <v>311</v>
      </c>
      <c r="M20" s="144"/>
      <c r="N20" s="154">
        <f t="shared" si="3"/>
        <v>339</v>
      </c>
      <c r="O20" s="150">
        <v>0.010691214470284238</v>
      </c>
      <c r="P20" s="154">
        <f t="shared" si="4"/>
        <v>127</v>
      </c>
      <c r="Q20" s="144"/>
      <c r="R20" s="154">
        <f t="shared" si="5"/>
        <v>339</v>
      </c>
      <c r="S20" s="150">
        <v>0.010691214470284238</v>
      </c>
      <c r="T20" s="154">
        <f t="shared" si="6"/>
        <v>110</v>
      </c>
      <c r="U20" s="144"/>
    </row>
    <row r="21" spans="1:21" ht="12.75">
      <c r="A21" s="4" t="s">
        <v>25</v>
      </c>
      <c r="B21" s="148"/>
      <c r="C21" s="133"/>
      <c r="D21" s="154">
        <f t="shared" si="0"/>
        <v>153</v>
      </c>
      <c r="F21" s="153"/>
      <c r="G21" s="150">
        <v>0.0017104596511215856</v>
      </c>
      <c r="H21" s="154">
        <f t="shared" si="1"/>
        <v>33</v>
      </c>
      <c r="I21" s="144"/>
      <c r="J21" s="154">
        <f>+Census!H21</f>
        <v>66</v>
      </c>
      <c r="K21" s="150">
        <v>0.002325581395348837</v>
      </c>
      <c r="L21" s="154">
        <f t="shared" si="2"/>
        <v>68</v>
      </c>
      <c r="M21" s="144"/>
      <c r="N21" s="154">
        <f t="shared" si="3"/>
        <v>66</v>
      </c>
      <c r="O21" s="150">
        <v>0.002325581395348837</v>
      </c>
      <c r="P21" s="154">
        <f t="shared" si="4"/>
        <v>28</v>
      </c>
      <c r="Q21" s="144"/>
      <c r="R21" s="154">
        <f t="shared" si="5"/>
        <v>66</v>
      </c>
      <c r="S21" s="150">
        <v>0.002325581395348837</v>
      </c>
      <c r="T21" s="154">
        <f t="shared" si="6"/>
        <v>24</v>
      </c>
      <c r="U21" s="144"/>
    </row>
    <row r="22" spans="1:21" ht="12.75">
      <c r="A22" s="4" t="s">
        <v>26</v>
      </c>
      <c r="B22" s="148"/>
      <c r="C22" s="133"/>
      <c r="D22" s="154">
        <f t="shared" si="0"/>
        <v>1396</v>
      </c>
      <c r="F22" s="153"/>
      <c r="G22" s="150">
        <v>0.021958274350038994</v>
      </c>
      <c r="H22" s="154">
        <f t="shared" si="1"/>
        <v>420</v>
      </c>
      <c r="I22" s="144"/>
      <c r="J22" s="154">
        <f>+Census!H22</f>
        <v>604</v>
      </c>
      <c r="K22" s="150">
        <v>0.01905684754521964</v>
      </c>
      <c r="L22" s="154">
        <f t="shared" si="2"/>
        <v>554</v>
      </c>
      <c r="M22" s="144"/>
      <c r="N22" s="154">
        <f t="shared" si="3"/>
        <v>604</v>
      </c>
      <c r="O22" s="150">
        <v>0.01905684754521964</v>
      </c>
      <c r="P22" s="154">
        <f t="shared" si="4"/>
        <v>226</v>
      </c>
      <c r="Q22" s="144"/>
      <c r="R22" s="154">
        <f t="shared" si="5"/>
        <v>604</v>
      </c>
      <c r="S22" s="150">
        <v>0.01905684754521964</v>
      </c>
      <c r="T22" s="154">
        <f t="shared" si="6"/>
        <v>196</v>
      </c>
      <c r="U22" s="144"/>
    </row>
    <row r="23" spans="1:21" ht="12.75">
      <c r="A23" s="4" t="s">
        <v>27</v>
      </c>
      <c r="B23" s="148"/>
      <c r="C23" s="133"/>
      <c r="D23" s="154">
        <f t="shared" si="0"/>
        <v>188</v>
      </c>
      <c r="F23" s="153"/>
      <c r="G23" s="150">
        <v>0.0019333159594897879</v>
      </c>
      <c r="H23" s="154">
        <f t="shared" si="1"/>
        <v>37</v>
      </c>
      <c r="I23" s="144"/>
      <c r="J23" s="154">
        <f>+Census!H23</f>
        <v>85</v>
      </c>
      <c r="K23" s="150">
        <v>0.0029392764857881135</v>
      </c>
      <c r="L23" s="154">
        <f t="shared" si="2"/>
        <v>86</v>
      </c>
      <c r="M23" s="144"/>
      <c r="N23" s="154">
        <f t="shared" si="3"/>
        <v>85</v>
      </c>
      <c r="O23" s="150">
        <v>0.0029392764857881135</v>
      </c>
      <c r="P23" s="154">
        <f t="shared" si="4"/>
        <v>35</v>
      </c>
      <c r="Q23" s="144"/>
      <c r="R23" s="154">
        <f t="shared" si="5"/>
        <v>85</v>
      </c>
      <c r="S23" s="150">
        <v>0.0029392764857881135</v>
      </c>
      <c r="T23" s="154">
        <f t="shared" si="6"/>
        <v>30</v>
      </c>
      <c r="U23" s="144"/>
    </row>
    <row r="24" spans="1:21" ht="12.75">
      <c r="A24" s="4" t="s">
        <v>28</v>
      </c>
      <c r="B24" s="148"/>
      <c r="C24" s="133"/>
      <c r="D24" s="154">
        <f t="shared" si="0"/>
        <v>275</v>
      </c>
      <c r="F24" s="153"/>
      <c r="G24" s="150">
        <v>0.00358935436592303</v>
      </c>
      <c r="H24" s="154">
        <f t="shared" si="1"/>
        <v>69</v>
      </c>
      <c r="I24" s="144"/>
      <c r="J24" s="154">
        <f>+Census!H24</f>
        <v>150</v>
      </c>
      <c r="K24" s="150">
        <v>0.004005167958656331</v>
      </c>
      <c r="L24" s="154">
        <f t="shared" si="2"/>
        <v>117</v>
      </c>
      <c r="M24" s="144"/>
      <c r="N24" s="154">
        <f t="shared" si="3"/>
        <v>150</v>
      </c>
      <c r="O24" s="150">
        <v>0.004005167958656331</v>
      </c>
      <c r="P24" s="154">
        <f t="shared" si="4"/>
        <v>48</v>
      </c>
      <c r="Q24" s="144"/>
      <c r="R24" s="154">
        <f t="shared" si="5"/>
        <v>150</v>
      </c>
      <c r="S24" s="150">
        <v>0.004005167958656331</v>
      </c>
      <c r="T24" s="154">
        <f t="shared" si="6"/>
        <v>41</v>
      </c>
      <c r="U24" s="144"/>
    </row>
    <row r="25" spans="1:21" ht="12.75">
      <c r="A25" s="4" t="s">
        <v>29</v>
      </c>
      <c r="B25" s="148"/>
      <c r="C25" s="133"/>
      <c r="D25" s="154">
        <f t="shared" si="0"/>
        <v>260</v>
      </c>
      <c r="F25" s="153"/>
      <c r="G25" s="150">
        <v>0.002844587764186155</v>
      </c>
      <c r="H25" s="154">
        <f t="shared" si="1"/>
        <v>54</v>
      </c>
      <c r="I25" s="144"/>
      <c r="J25" s="154">
        <f>+Census!H25</f>
        <v>124</v>
      </c>
      <c r="K25" s="150">
        <v>0.004005167958656331</v>
      </c>
      <c r="L25" s="154">
        <f t="shared" si="2"/>
        <v>117</v>
      </c>
      <c r="M25" s="144"/>
      <c r="N25" s="154">
        <f t="shared" si="3"/>
        <v>124</v>
      </c>
      <c r="O25" s="150">
        <v>0.004005167958656331</v>
      </c>
      <c r="P25" s="154">
        <f t="shared" si="4"/>
        <v>48</v>
      </c>
      <c r="Q25" s="144"/>
      <c r="R25" s="154">
        <f t="shared" si="5"/>
        <v>124</v>
      </c>
      <c r="S25" s="150">
        <v>0.004005167958656331</v>
      </c>
      <c r="T25" s="154">
        <f t="shared" si="6"/>
        <v>41</v>
      </c>
      <c r="U25" s="144"/>
    </row>
    <row r="26" spans="1:21" ht="12.75">
      <c r="A26" s="4" t="s">
        <v>30</v>
      </c>
      <c r="B26" s="148"/>
      <c r="C26" s="133"/>
      <c r="D26" s="154">
        <f t="shared" si="0"/>
        <v>135</v>
      </c>
      <c r="F26" s="153"/>
      <c r="G26" s="150">
        <v>0.00367365422267725</v>
      </c>
      <c r="H26" s="154">
        <f t="shared" si="1"/>
        <v>70</v>
      </c>
      <c r="I26" s="144"/>
      <c r="J26" s="154">
        <f>+Census!H26</f>
        <v>41</v>
      </c>
      <c r="K26" s="150">
        <v>0.0012596899224806201</v>
      </c>
      <c r="L26" s="154">
        <f t="shared" si="2"/>
        <v>37</v>
      </c>
      <c r="M26" s="144"/>
      <c r="N26" s="154">
        <f t="shared" si="3"/>
        <v>41</v>
      </c>
      <c r="O26" s="150">
        <v>0.0012596899224806201</v>
      </c>
      <c r="P26" s="154">
        <f t="shared" si="4"/>
        <v>15</v>
      </c>
      <c r="Q26" s="144"/>
      <c r="R26" s="154">
        <f t="shared" si="5"/>
        <v>41</v>
      </c>
      <c r="S26" s="150">
        <v>0.0012596899224806201</v>
      </c>
      <c r="T26" s="154">
        <f t="shared" si="6"/>
        <v>13</v>
      </c>
      <c r="U26" s="144"/>
    </row>
    <row r="27" spans="1:21" ht="12.75">
      <c r="A27" s="4" t="s">
        <v>31</v>
      </c>
      <c r="B27" s="148"/>
      <c r="C27" s="133"/>
      <c r="D27" s="154">
        <f t="shared" si="0"/>
        <v>159</v>
      </c>
      <c r="F27" s="153"/>
      <c r="G27" s="150">
        <v>0.001896190765480782</v>
      </c>
      <c r="H27" s="154">
        <f t="shared" si="1"/>
        <v>36</v>
      </c>
      <c r="I27" s="144"/>
      <c r="J27" s="154">
        <f>+Census!H27</f>
        <v>83</v>
      </c>
      <c r="K27" s="150">
        <v>0.0023901808785529717</v>
      </c>
      <c r="L27" s="154">
        <f t="shared" si="2"/>
        <v>70</v>
      </c>
      <c r="M27" s="144"/>
      <c r="N27" s="154">
        <f t="shared" si="3"/>
        <v>83</v>
      </c>
      <c r="O27" s="150">
        <v>0.0023901808785529717</v>
      </c>
      <c r="P27" s="154">
        <f t="shared" si="4"/>
        <v>28</v>
      </c>
      <c r="Q27" s="144"/>
      <c r="R27" s="154">
        <f t="shared" si="5"/>
        <v>83</v>
      </c>
      <c r="S27" s="150">
        <v>0.0023901808785529717</v>
      </c>
      <c r="T27" s="154">
        <f t="shared" si="6"/>
        <v>25</v>
      </c>
      <c r="U27" s="144"/>
    </row>
    <row r="28" spans="1:21" ht="12.75">
      <c r="A28" s="4" t="s">
        <v>32</v>
      </c>
      <c r="B28" s="148"/>
      <c r="C28" s="133"/>
      <c r="D28" s="154">
        <f t="shared" si="0"/>
        <v>3019</v>
      </c>
      <c r="F28" s="153"/>
      <c r="G28" s="150">
        <v>0.03274320146179368</v>
      </c>
      <c r="H28" s="154">
        <f t="shared" si="1"/>
        <v>626</v>
      </c>
      <c r="I28" s="144"/>
      <c r="J28" s="154">
        <f>+Census!H28</f>
        <v>1477</v>
      </c>
      <c r="K28" s="150">
        <v>0.04667312661498708</v>
      </c>
      <c r="L28" s="154">
        <f t="shared" si="2"/>
        <v>1358</v>
      </c>
      <c r="M28" s="144"/>
      <c r="N28" s="154">
        <f t="shared" si="3"/>
        <v>1477</v>
      </c>
      <c r="O28" s="150">
        <v>0.04667312661498708</v>
      </c>
      <c r="P28" s="154">
        <f t="shared" si="4"/>
        <v>554</v>
      </c>
      <c r="Q28" s="144"/>
      <c r="R28" s="154">
        <f t="shared" si="5"/>
        <v>1477</v>
      </c>
      <c r="S28" s="150">
        <v>0.04667312661498708</v>
      </c>
      <c r="T28" s="154">
        <f t="shared" si="6"/>
        <v>481</v>
      </c>
      <c r="U28" s="144"/>
    </row>
    <row r="29" spans="1:21" ht="12.75">
      <c r="A29" s="4" t="s">
        <v>33</v>
      </c>
      <c r="B29" s="148"/>
      <c r="C29" s="133"/>
      <c r="D29" s="154">
        <f t="shared" si="0"/>
        <v>830</v>
      </c>
      <c r="F29" s="153"/>
      <c r="G29" s="150">
        <v>0.006391505606383404</v>
      </c>
      <c r="H29" s="154">
        <f t="shared" si="1"/>
        <v>122</v>
      </c>
      <c r="I29" s="144"/>
      <c r="J29" s="154">
        <f>+Census!H29</f>
        <v>330</v>
      </c>
      <c r="K29" s="150">
        <v>0.013824289405684755</v>
      </c>
      <c r="L29" s="154">
        <f t="shared" si="2"/>
        <v>402</v>
      </c>
      <c r="M29" s="144"/>
      <c r="N29" s="154">
        <f t="shared" si="3"/>
        <v>330</v>
      </c>
      <c r="O29" s="150">
        <v>0.013824289405684755</v>
      </c>
      <c r="P29" s="154">
        <f t="shared" si="4"/>
        <v>164</v>
      </c>
      <c r="Q29" s="144"/>
      <c r="R29" s="154">
        <f t="shared" si="5"/>
        <v>330</v>
      </c>
      <c r="S29" s="150">
        <v>0.013824289405684755</v>
      </c>
      <c r="T29" s="154">
        <f t="shared" si="6"/>
        <v>142</v>
      </c>
      <c r="U29" s="144"/>
    </row>
    <row r="30" spans="1:21" ht="12.75">
      <c r="A30" s="4" t="s">
        <v>6</v>
      </c>
      <c r="B30" s="148"/>
      <c r="C30" s="133"/>
      <c r="D30" s="154">
        <f t="shared" si="0"/>
        <v>2066</v>
      </c>
      <c r="F30" s="153"/>
      <c r="G30" s="150">
        <v>0.029690947569406913</v>
      </c>
      <c r="H30" s="154">
        <f t="shared" si="1"/>
        <v>568</v>
      </c>
      <c r="I30" s="144"/>
      <c r="J30" s="154">
        <f>+Census!H30</f>
        <v>987</v>
      </c>
      <c r="K30" s="150">
        <v>0.029231266149870802</v>
      </c>
      <c r="L30" s="154">
        <f t="shared" si="2"/>
        <v>850</v>
      </c>
      <c r="M30" s="144"/>
      <c r="N30" s="154">
        <f t="shared" si="3"/>
        <v>987</v>
      </c>
      <c r="O30" s="150">
        <v>0.029231266149870802</v>
      </c>
      <c r="P30" s="154">
        <f t="shared" si="4"/>
        <v>347</v>
      </c>
      <c r="Q30" s="144"/>
      <c r="R30" s="154">
        <f t="shared" si="5"/>
        <v>987</v>
      </c>
      <c r="S30" s="150">
        <v>0.029231266149870802</v>
      </c>
      <c r="T30" s="154">
        <f t="shared" si="6"/>
        <v>301</v>
      </c>
      <c r="U30" s="144"/>
    </row>
    <row r="31" spans="1:21" ht="12.75">
      <c r="A31" s="4" t="s">
        <v>45</v>
      </c>
      <c r="B31" s="148"/>
      <c r="C31" s="133"/>
      <c r="D31" s="154">
        <f t="shared" si="0"/>
        <v>2128</v>
      </c>
      <c r="F31" s="153"/>
      <c r="G31" s="150">
        <v>0.01710323078903334</v>
      </c>
      <c r="H31" s="154">
        <f t="shared" si="1"/>
        <v>327</v>
      </c>
      <c r="I31" s="144"/>
      <c r="J31" s="154">
        <f>+Census!H34</f>
        <v>1063</v>
      </c>
      <c r="K31" s="150">
        <v>0.0351421188630491</v>
      </c>
      <c r="L31" s="154">
        <f t="shared" si="2"/>
        <v>1022</v>
      </c>
      <c r="M31" s="144"/>
      <c r="N31" s="154">
        <f t="shared" si="3"/>
        <v>1063</v>
      </c>
      <c r="O31" s="150">
        <v>0.0351421188630491</v>
      </c>
      <c r="P31" s="154">
        <f t="shared" si="4"/>
        <v>417</v>
      </c>
      <c r="Q31" s="144"/>
      <c r="R31" s="154">
        <f t="shared" si="5"/>
        <v>1063</v>
      </c>
      <c r="S31" s="150">
        <v>0.0351421188630491</v>
      </c>
      <c r="T31" s="154">
        <f t="shared" si="6"/>
        <v>362</v>
      </c>
      <c r="U31" s="144"/>
    </row>
    <row r="32" spans="1:21" ht="12.75">
      <c r="A32" s="4" t="s">
        <v>34</v>
      </c>
      <c r="B32" s="148"/>
      <c r="C32" s="133"/>
      <c r="D32" s="154">
        <f t="shared" si="0"/>
        <v>4977</v>
      </c>
      <c r="F32" s="153"/>
      <c r="G32" s="150">
        <v>0.055730055765047505</v>
      </c>
      <c r="H32" s="154">
        <f t="shared" si="1"/>
        <v>1066</v>
      </c>
      <c r="I32" s="144"/>
      <c r="J32" s="154">
        <f>+Census!H36</f>
        <v>2274</v>
      </c>
      <c r="K32" s="150">
        <v>0.07629198966408268</v>
      </c>
      <c r="L32" s="154">
        <f t="shared" si="2"/>
        <v>2219</v>
      </c>
      <c r="M32" s="144"/>
      <c r="N32" s="154">
        <f t="shared" si="3"/>
        <v>2274</v>
      </c>
      <c r="O32" s="150">
        <v>0.07629198966408268</v>
      </c>
      <c r="P32" s="154">
        <f t="shared" si="4"/>
        <v>906</v>
      </c>
      <c r="Q32" s="144"/>
      <c r="R32" s="154">
        <f t="shared" si="5"/>
        <v>2274</v>
      </c>
      <c r="S32" s="150">
        <v>0.07629198966408268</v>
      </c>
      <c r="T32" s="154">
        <f t="shared" si="6"/>
        <v>786</v>
      </c>
      <c r="U32" s="144"/>
    </row>
    <row r="33" spans="1:21" ht="12.75">
      <c r="A33" s="4" t="s">
        <v>3</v>
      </c>
      <c r="B33" s="148"/>
      <c r="C33" s="133"/>
      <c r="D33" s="154">
        <f t="shared" si="0"/>
        <v>761</v>
      </c>
      <c r="F33" s="153"/>
      <c r="G33" s="150">
        <v>0.00902562194829829</v>
      </c>
      <c r="H33" s="154">
        <f t="shared" si="1"/>
        <v>173</v>
      </c>
      <c r="I33" s="144"/>
      <c r="J33" s="154">
        <f>+Census!H37</f>
        <v>354</v>
      </c>
      <c r="K33" s="150">
        <v>0.01146640826873385</v>
      </c>
      <c r="L33" s="154">
        <f t="shared" si="2"/>
        <v>334</v>
      </c>
      <c r="M33" s="144"/>
      <c r="N33" s="154">
        <f t="shared" si="3"/>
        <v>354</v>
      </c>
      <c r="O33" s="150">
        <v>0.01146640826873385</v>
      </c>
      <c r="P33" s="154">
        <f t="shared" si="4"/>
        <v>136</v>
      </c>
      <c r="Q33" s="144"/>
      <c r="R33" s="154">
        <f t="shared" si="5"/>
        <v>354</v>
      </c>
      <c r="S33" s="150">
        <v>0.01146640826873385</v>
      </c>
      <c r="T33" s="154">
        <f t="shared" si="6"/>
        <v>118</v>
      </c>
      <c r="U33" s="144"/>
    </row>
    <row r="34" spans="1:21" ht="12.75">
      <c r="A34" s="4" t="s">
        <v>4</v>
      </c>
      <c r="B34" s="148"/>
      <c r="C34" s="133"/>
      <c r="D34" s="154">
        <f t="shared" si="0"/>
        <v>1832</v>
      </c>
      <c r="F34" s="153"/>
      <c r="G34" s="150">
        <v>0.01805400528271996</v>
      </c>
      <c r="H34" s="154">
        <f t="shared" si="1"/>
        <v>345</v>
      </c>
      <c r="I34" s="144"/>
      <c r="J34" s="154">
        <f>+Census!H38</f>
        <v>954</v>
      </c>
      <c r="K34" s="150">
        <v>0.02900516795865633</v>
      </c>
      <c r="L34" s="154">
        <f t="shared" si="2"/>
        <v>844</v>
      </c>
      <c r="M34" s="144"/>
      <c r="N34" s="154">
        <f t="shared" si="3"/>
        <v>954</v>
      </c>
      <c r="O34" s="150">
        <v>0.02900516795865633</v>
      </c>
      <c r="P34" s="154">
        <f t="shared" si="4"/>
        <v>344</v>
      </c>
      <c r="Q34" s="144"/>
      <c r="R34" s="154">
        <f t="shared" si="5"/>
        <v>954</v>
      </c>
      <c r="S34" s="150">
        <v>0.02900516795865633</v>
      </c>
      <c r="T34" s="154">
        <f t="shared" si="6"/>
        <v>299</v>
      </c>
      <c r="U34" s="144"/>
    </row>
    <row r="35" spans="1:21" ht="12.75">
      <c r="A35" s="4" t="s">
        <v>7</v>
      </c>
      <c r="B35" s="148">
        <v>0</v>
      </c>
      <c r="C35" s="148">
        <v>0</v>
      </c>
      <c r="D35" s="154">
        <f t="shared" si="0"/>
        <v>2400</v>
      </c>
      <c r="F35" s="153"/>
      <c r="G35" s="150">
        <v>0.018903273415720054</v>
      </c>
      <c r="H35" s="154">
        <f t="shared" si="1"/>
        <v>362</v>
      </c>
      <c r="I35" s="144"/>
      <c r="J35" s="154">
        <f>+Census!H39</f>
        <v>1218</v>
      </c>
      <c r="K35" s="150">
        <v>0.0397609819121447</v>
      </c>
      <c r="L35" s="154">
        <f t="shared" si="2"/>
        <v>1157</v>
      </c>
      <c r="M35" s="144"/>
      <c r="N35" s="154">
        <f t="shared" si="3"/>
        <v>1218</v>
      </c>
      <c r="O35" s="150">
        <v>0.0397609819121447</v>
      </c>
      <c r="P35" s="154">
        <f t="shared" si="4"/>
        <v>472</v>
      </c>
      <c r="Q35" s="144"/>
      <c r="R35" s="154">
        <f t="shared" si="5"/>
        <v>1218</v>
      </c>
      <c r="S35" s="150">
        <v>0.0397609819121447</v>
      </c>
      <c r="T35" s="154">
        <f t="shared" si="6"/>
        <v>409</v>
      </c>
      <c r="U35" s="144"/>
    </row>
    <row r="36" spans="1:21" ht="12.75">
      <c r="A36" s="4" t="s">
        <v>106</v>
      </c>
      <c r="B36" s="156"/>
      <c r="C36" s="148"/>
      <c r="D36" s="154">
        <f t="shared" si="0"/>
        <v>1254</v>
      </c>
      <c r="F36" s="153"/>
      <c r="G36" s="150">
        <v>0.0057439824945295405</v>
      </c>
      <c r="H36" s="154">
        <f t="shared" si="1"/>
        <v>110</v>
      </c>
      <c r="I36" s="144"/>
      <c r="J36" s="154">
        <f>+Census!H40</f>
        <v>672</v>
      </c>
      <c r="K36" s="150">
        <v>0.022319121447028425</v>
      </c>
      <c r="L36" s="154">
        <f t="shared" si="2"/>
        <v>649</v>
      </c>
      <c r="M36" s="144"/>
      <c r="N36" s="154">
        <f t="shared" si="3"/>
        <v>672</v>
      </c>
      <c r="O36" s="150">
        <v>0.022319121447028425</v>
      </c>
      <c r="P36" s="154">
        <f t="shared" si="4"/>
        <v>265</v>
      </c>
      <c r="Q36" s="144"/>
      <c r="R36" s="154">
        <f t="shared" si="5"/>
        <v>672</v>
      </c>
      <c r="S36" s="150">
        <v>0.022319121447028425</v>
      </c>
      <c r="T36" s="154">
        <f t="shared" si="6"/>
        <v>230</v>
      </c>
      <c r="U36" s="144"/>
    </row>
    <row r="37" spans="1:21" ht="12.75">
      <c r="A37" s="4" t="s">
        <v>93</v>
      </c>
      <c r="B37" s="16"/>
      <c r="C37" s="15"/>
      <c r="D37" s="159">
        <f t="shared" si="0"/>
        <v>1293</v>
      </c>
      <c r="F37" s="157"/>
      <c r="G37" s="150">
        <v>0.03843527183098368</v>
      </c>
      <c r="H37" s="158">
        <f t="shared" si="1"/>
        <v>735</v>
      </c>
      <c r="I37" s="144"/>
      <c r="J37" s="159">
        <f>+Census!H35</f>
        <v>357</v>
      </c>
      <c r="K37" s="150">
        <v>0.010885012919896641</v>
      </c>
      <c r="L37" s="159">
        <f t="shared" si="2"/>
        <v>317</v>
      </c>
      <c r="M37" s="144"/>
      <c r="N37" s="159">
        <f t="shared" si="3"/>
        <v>357</v>
      </c>
      <c r="O37" s="150">
        <v>0.010885012919896641</v>
      </c>
      <c r="P37" s="159">
        <f t="shared" si="4"/>
        <v>129</v>
      </c>
      <c r="Q37" s="144"/>
      <c r="R37" s="159">
        <f t="shared" si="5"/>
        <v>357</v>
      </c>
      <c r="S37" s="150">
        <v>0.010885012919896641</v>
      </c>
      <c r="T37" s="159">
        <f t="shared" si="6"/>
        <v>112</v>
      </c>
      <c r="U37" s="144"/>
    </row>
    <row r="38" spans="1:21" ht="12.75">
      <c r="A38" s="18" t="s">
        <v>35</v>
      </c>
      <c r="B38" s="40">
        <v>0</v>
      </c>
      <c r="C38" s="59"/>
      <c r="D38" s="162">
        <f>SUM(D5:D37)</f>
        <v>70391</v>
      </c>
      <c r="F38" s="160"/>
      <c r="G38" s="200">
        <f>SUM(G5:G37)</f>
        <v>0.9999999999999999</v>
      </c>
      <c r="H38" s="162">
        <f>SUM(H5:H37)</f>
        <v>19128</v>
      </c>
      <c r="I38" s="144"/>
      <c r="J38" s="161">
        <f>SUM(J5:J37)</f>
        <v>31097</v>
      </c>
      <c r="K38" s="200">
        <v>1</v>
      </c>
      <c r="L38" s="162">
        <f>SUM(L5:L37)</f>
        <v>29092</v>
      </c>
      <c r="M38" s="144"/>
      <c r="N38" s="161">
        <f>SUM(N5:N37)</f>
        <v>31097</v>
      </c>
      <c r="O38" s="200">
        <v>1</v>
      </c>
      <c r="P38" s="162">
        <f>SUM(P5:P37)</f>
        <v>11875</v>
      </c>
      <c r="Q38" s="144"/>
      <c r="R38" s="161">
        <f>SUM(R5:R37)</f>
        <v>31097</v>
      </c>
      <c r="S38" s="200">
        <v>1</v>
      </c>
      <c r="T38" s="162">
        <f>SUM(T5:T37)</f>
        <v>10296</v>
      </c>
      <c r="U38" s="144"/>
    </row>
    <row r="39" spans="1:21" ht="12.75">
      <c r="A39" s="82"/>
      <c r="B39" s="82"/>
      <c r="C39" s="82"/>
      <c r="D39" s="131"/>
      <c r="F39" s="368" t="s">
        <v>140</v>
      </c>
      <c r="G39" s="368"/>
      <c r="H39" s="368"/>
      <c r="I39" s="144"/>
      <c r="J39" s="163" t="s">
        <v>139</v>
      </c>
      <c r="K39" s="144"/>
      <c r="L39" s="144"/>
      <c r="M39" s="144"/>
      <c r="N39" s="163" t="s">
        <v>139</v>
      </c>
      <c r="O39" s="144"/>
      <c r="P39" s="144"/>
      <c r="Q39" s="144"/>
      <c r="R39" s="163" t="s">
        <v>139</v>
      </c>
      <c r="S39" s="144"/>
      <c r="T39" s="144"/>
      <c r="U39" s="144"/>
    </row>
    <row r="40" spans="1:14" ht="12.75">
      <c r="A40" s="82"/>
      <c r="B40" s="82"/>
      <c r="C40" s="82"/>
      <c r="D40" s="105"/>
      <c r="F40" s="82" t="s">
        <v>141</v>
      </c>
      <c r="M40" t="s">
        <v>151</v>
      </c>
      <c r="N40" t="s">
        <v>147</v>
      </c>
    </row>
    <row r="41" ht="12.75">
      <c r="A41" s="96"/>
    </row>
    <row r="42" spans="8:20" ht="12.75">
      <c r="H42" s="53"/>
      <c r="L42" s="53"/>
      <c r="P42" s="53"/>
      <c r="T42" s="53"/>
    </row>
    <row r="43" spans="8:20" ht="12.75">
      <c r="H43" s="124">
        <v>19128</v>
      </c>
      <c r="L43" s="124">
        <v>29092</v>
      </c>
      <c r="P43" s="124">
        <v>11875</v>
      </c>
      <c r="T43" s="124">
        <v>10296</v>
      </c>
    </row>
    <row r="45" ht="12.75">
      <c r="H45" s="30"/>
    </row>
    <row r="46" ht="12.75">
      <c r="H46" s="30"/>
    </row>
    <row r="47" ht="12.75">
      <c r="H47" s="30"/>
    </row>
    <row r="48" ht="12.75">
      <c r="H48" s="30"/>
    </row>
    <row r="49" ht="12.75">
      <c r="H49" s="30"/>
    </row>
  </sheetData>
  <mergeCells count="6">
    <mergeCell ref="N3:P3"/>
    <mergeCell ref="R3:T3"/>
    <mergeCell ref="F39:H39"/>
    <mergeCell ref="B3:D3"/>
    <mergeCell ref="F3:H3"/>
    <mergeCell ref="J3:L3"/>
  </mergeCells>
  <printOptions/>
  <pageMargins left="0.75" right="0.75" top="0.54" bottom="0.59" header="0.5" footer="0.5"/>
  <pageSetup fitToHeight="1" fitToWidth="1" horizontalDpi="600" verticalDpi="600" orientation="landscape" scale="83" r:id="rId1"/>
  <colBreaks count="1" manualBreakCount="1">
    <brk id="17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2:V44"/>
  <sheetViews>
    <sheetView zoomScale="90" zoomScaleNormal="90" workbookViewId="0" topLeftCell="A1">
      <pane xSplit="2" ySplit="4" topLeftCell="C11" activePane="bottomRight" state="frozen"/>
      <selection pane="topLeft" activeCell="O42" sqref="O42"/>
      <selection pane="topRight" activeCell="O42" sqref="O42"/>
      <selection pane="bottomLeft" activeCell="O42" sqref="O42"/>
      <selection pane="bottomRight" activeCell="R43" sqref="R43"/>
    </sheetView>
  </sheetViews>
  <sheetFormatPr defaultColWidth="9.140625" defaultRowHeight="12.75"/>
  <cols>
    <col min="1" max="1" width="9.7109375" style="0" customWidth="1"/>
    <col min="2" max="2" width="10.28125" style="0" customWidth="1"/>
    <col min="3" max="3" width="2.421875" style="143" customWidth="1"/>
    <col min="4" max="5" width="9.57421875" style="0" customWidth="1"/>
    <col min="6" max="6" width="11.7109375" style="0" customWidth="1"/>
    <col min="7" max="7" width="2.00390625" style="0" customWidth="1"/>
    <col min="8" max="8" width="14.00390625" style="0" customWidth="1"/>
    <col min="9" max="9" width="9.7109375" style="0" customWidth="1"/>
    <col min="10" max="10" width="11.421875" style="0" customWidth="1"/>
    <col min="11" max="11" width="2.57421875" style="0" customWidth="1"/>
    <col min="12" max="12" width="12.7109375" style="0" customWidth="1"/>
    <col min="13" max="13" width="9.28125" style="0" customWidth="1"/>
    <col min="14" max="14" width="13.00390625" style="0" customWidth="1"/>
    <col min="15" max="15" width="2.28125" style="0" customWidth="1"/>
    <col min="16" max="16" width="13.57421875" style="0" customWidth="1"/>
    <col min="17" max="17" width="10.7109375" style="0" customWidth="1"/>
    <col min="18" max="18" width="12.140625" style="0" customWidth="1"/>
    <col min="19" max="19" width="2.57421875" style="0" customWidth="1"/>
    <col min="20" max="20" width="13.28125" style="0" customWidth="1"/>
    <col min="21" max="21" width="10.140625" style="0" customWidth="1"/>
    <col min="22" max="22" width="11.00390625" style="0" customWidth="1"/>
  </cols>
  <sheetData>
    <row r="2" spans="1:21" ht="18">
      <c r="A2" s="22" t="s">
        <v>39</v>
      </c>
      <c r="B2" s="22"/>
      <c r="C2" s="194"/>
      <c r="U2" s="144"/>
    </row>
    <row r="3" spans="1:22" ht="12.75">
      <c r="A3" s="11"/>
      <c r="B3" s="193" t="s">
        <v>35</v>
      </c>
      <c r="C3" s="229"/>
      <c r="D3" s="355" t="s">
        <v>273</v>
      </c>
      <c r="E3" s="356"/>
      <c r="F3" s="357"/>
      <c r="H3" s="355" t="s">
        <v>205</v>
      </c>
      <c r="I3" s="356"/>
      <c r="J3" s="357"/>
      <c r="L3" s="355" t="s">
        <v>204</v>
      </c>
      <c r="M3" s="356"/>
      <c r="N3" s="357"/>
      <c r="O3" s="229"/>
      <c r="P3" s="355" t="s">
        <v>314</v>
      </c>
      <c r="Q3" s="356"/>
      <c r="R3" s="357"/>
      <c r="T3" s="355" t="s">
        <v>203</v>
      </c>
      <c r="U3" s="356"/>
      <c r="V3" s="357"/>
    </row>
    <row r="4" spans="1:22" ht="12.75">
      <c r="A4" s="12"/>
      <c r="B4" s="98" t="s">
        <v>1</v>
      </c>
      <c r="C4" s="229"/>
      <c r="D4" s="19" t="s">
        <v>36</v>
      </c>
      <c r="E4" s="19" t="s">
        <v>37</v>
      </c>
      <c r="F4" s="20" t="s">
        <v>38</v>
      </c>
      <c r="H4" s="19" t="s">
        <v>94</v>
      </c>
      <c r="I4" s="19" t="s">
        <v>37</v>
      </c>
      <c r="J4" s="20" t="s">
        <v>38</v>
      </c>
      <c r="L4" s="19" t="s">
        <v>36</v>
      </c>
      <c r="M4" s="19" t="s">
        <v>37</v>
      </c>
      <c r="N4" s="20" t="s">
        <v>38</v>
      </c>
      <c r="O4" s="241"/>
      <c r="P4" s="19" t="s">
        <v>94</v>
      </c>
      <c r="Q4" s="19" t="s">
        <v>37</v>
      </c>
      <c r="R4" s="20" t="s">
        <v>38</v>
      </c>
      <c r="T4" s="19" t="s">
        <v>94</v>
      </c>
      <c r="U4" s="19" t="s">
        <v>37</v>
      </c>
      <c r="V4" s="20" t="s">
        <v>38</v>
      </c>
    </row>
    <row r="5" spans="1:22" ht="12.75">
      <c r="A5" s="4" t="s">
        <v>0</v>
      </c>
      <c r="B5" s="230">
        <f>+F5+J5+N5+V5+R5</f>
        <v>5934.77523488316</v>
      </c>
      <c r="C5" s="228"/>
      <c r="D5" s="46">
        <f>SUM(Census!H5)</f>
        <v>5219</v>
      </c>
      <c r="E5" s="43">
        <f>SUM(D5/$D$38)</f>
        <v>0.22802341838518</v>
      </c>
      <c r="F5" s="31">
        <f>ROUND(E5*$F$43,0)+1</f>
        <v>3149</v>
      </c>
      <c r="H5" s="49">
        <f>+PB!B6</f>
        <v>4718949</v>
      </c>
      <c r="I5" s="43">
        <f>SUM(H5/$H$38)</f>
        <v>0.16839315827511442</v>
      </c>
      <c r="J5" s="31">
        <f>+I5*$J$43</f>
        <v>1928.7752348831605</v>
      </c>
      <c r="L5" s="113">
        <f>+PB!B6</f>
        <v>4718949</v>
      </c>
      <c r="M5" s="141">
        <f>SUM(L5/$L$38)</f>
        <v>0.16839315827511442</v>
      </c>
      <c r="N5" s="120">
        <f>ROUND(M5*$N$43,0)+3</f>
        <v>63</v>
      </c>
      <c r="O5" s="283"/>
      <c r="P5" s="31">
        <f>SUM(PB!B6)</f>
        <v>4718949</v>
      </c>
      <c r="Q5" s="43">
        <f aca="true" t="shared" si="0" ref="Q5:Q30">SUM(P5/$P$38)</f>
        <v>0.16839315827511442</v>
      </c>
      <c r="R5" s="31">
        <f>ROUND(Q5*$R$43,0)-2</f>
        <v>507</v>
      </c>
      <c r="T5" s="49">
        <f>+PB!B6</f>
        <v>4718949</v>
      </c>
      <c r="U5" s="141">
        <f>+T5/$T$38</f>
        <v>0.16839315827511442</v>
      </c>
      <c r="V5" s="120">
        <f>ROUND(U5*$V$43,0)+1</f>
        <v>287</v>
      </c>
    </row>
    <row r="6" spans="1:22" ht="12.75">
      <c r="A6" s="4" t="s">
        <v>10</v>
      </c>
      <c r="B6" s="230">
        <f aca="true" t="shared" si="1" ref="B6:B37">+F6+J6+N6+V6+R6</f>
        <v>2478.9821815346395</v>
      </c>
      <c r="C6" s="228"/>
      <c r="D6" s="46">
        <f>SUM(Census!H6)</f>
        <v>1287</v>
      </c>
      <c r="E6" s="43">
        <f aca="true" t="shared" si="2" ref="E6:E28">SUM(D6/$D$38)</f>
        <v>0.0562303390422929</v>
      </c>
      <c r="F6" s="28">
        <f>ROUND(E6*$F$43,0)</f>
        <v>776</v>
      </c>
      <c r="H6" s="28">
        <f>+PB!B7</f>
        <v>2886949</v>
      </c>
      <c r="I6" s="43">
        <f aca="true" t="shared" si="3" ref="I6:I30">SUM(H6/$H$38)</f>
        <v>0.10301922311285486</v>
      </c>
      <c r="J6" s="28">
        <f aca="true" t="shared" si="4" ref="J6:J30">+I6*$J$43</f>
        <v>1179.9821815346395</v>
      </c>
      <c r="L6" s="116">
        <f>+PB!B7</f>
        <v>2886949</v>
      </c>
      <c r="M6" s="141">
        <f aca="true" t="shared" si="5" ref="M6:M30">SUM(L6/$L$38)</f>
        <v>0.10301922311285486</v>
      </c>
      <c r="N6" s="28">
        <f aca="true" t="shared" si="6" ref="N6:N28">ROUND(M6*$N$43,0)</f>
        <v>37</v>
      </c>
      <c r="O6" s="135"/>
      <c r="P6" s="28">
        <f>SUM(PB!B7)</f>
        <v>2886949</v>
      </c>
      <c r="Q6" s="43">
        <f t="shared" si="0"/>
        <v>0.10301922311285486</v>
      </c>
      <c r="R6" s="29">
        <f aca="true" t="shared" si="7" ref="R6:R30">ROUND(Q6*$R$43,0)</f>
        <v>311</v>
      </c>
      <c r="T6" s="28">
        <f>+PB!B7</f>
        <v>2886949</v>
      </c>
      <c r="U6" s="141">
        <f aca="true" t="shared" si="8" ref="U6:U30">+T6/$T$38</f>
        <v>0.10301922311285486</v>
      </c>
      <c r="V6" s="28">
        <f aca="true" t="shared" si="9" ref="V6:V30">ROUND(U6*$V$43,0)</f>
        <v>175</v>
      </c>
    </row>
    <row r="7" spans="1:22" ht="12.75">
      <c r="A7" s="4" t="s">
        <v>11</v>
      </c>
      <c r="B7" s="230">
        <f t="shared" si="1"/>
        <v>555.1938150547822</v>
      </c>
      <c r="C7" s="228"/>
      <c r="D7" s="46">
        <f>SUM(Census!H7)</f>
        <v>545</v>
      </c>
      <c r="E7" s="43">
        <f t="shared" si="2"/>
        <v>0.0238116043341489</v>
      </c>
      <c r="F7" s="28">
        <f aca="true" t="shared" si="10" ref="F7:F28">ROUND(E7*$F$43,0)</f>
        <v>329</v>
      </c>
      <c r="H7" s="28">
        <f>+PB!B8</f>
        <v>384591</v>
      </c>
      <c r="I7" s="43">
        <f t="shared" si="3"/>
        <v>0.013723923088421708</v>
      </c>
      <c r="J7" s="28">
        <f t="shared" si="4"/>
        <v>157.19381505478225</v>
      </c>
      <c r="L7" s="116">
        <f>+PB!B8</f>
        <v>384591</v>
      </c>
      <c r="M7" s="141">
        <f t="shared" si="5"/>
        <v>0.013723923088421708</v>
      </c>
      <c r="N7" s="28">
        <f t="shared" si="6"/>
        <v>5</v>
      </c>
      <c r="O7" s="135"/>
      <c r="P7" s="28">
        <f>SUM(PB!B8)</f>
        <v>384591</v>
      </c>
      <c r="Q7" s="43">
        <f t="shared" si="0"/>
        <v>0.013723923088421708</v>
      </c>
      <c r="R7" s="29">
        <f t="shared" si="7"/>
        <v>41</v>
      </c>
      <c r="T7" s="28">
        <f>+PB!B8</f>
        <v>384591</v>
      </c>
      <c r="U7" s="141">
        <f t="shared" si="8"/>
        <v>0.013723923088421708</v>
      </c>
      <c r="V7" s="28">
        <f t="shared" si="9"/>
        <v>23</v>
      </c>
    </row>
    <row r="8" spans="1:22" ht="12.75">
      <c r="A8" s="4" t="s">
        <v>12</v>
      </c>
      <c r="B8" s="230">
        <f t="shared" si="1"/>
        <v>1782.2567148791113</v>
      </c>
      <c r="C8" s="228"/>
      <c r="D8" s="46">
        <f>SUM(Census!H8)</f>
        <v>1159</v>
      </c>
      <c r="E8" s="43">
        <f t="shared" si="2"/>
        <v>0.05063788885005243</v>
      </c>
      <c r="F8" s="28">
        <f t="shared" si="10"/>
        <v>699</v>
      </c>
      <c r="H8" s="28">
        <f>+PB!B9</f>
        <v>1835581</v>
      </c>
      <c r="I8" s="43">
        <f t="shared" si="3"/>
        <v>0.06550172122220282</v>
      </c>
      <c r="J8" s="28">
        <f t="shared" si="4"/>
        <v>750.2567148791112</v>
      </c>
      <c r="L8" s="116">
        <f>+PB!B9</f>
        <v>1835581</v>
      </c>
      <c r="M8" s="141">
        <f t="shared" si="5"/>
        <v>0.06550172122220282</v>
      </c>
      <c r="N8" s="28">
        <f t="shared" si="6"/>
        <v>24</v>
      </c>
      <c r="O8" s="135"/>
      <c r="P8" s="28">
        <f>SUM(PB!B9)</f>
        <v>1835581</v>
      </c>
      <c r="Q8" s="43">
        <f t="shared" si="0"/>
        <v>0.06550172122220282</v>
      </c>
      <c r="R8" s="29">
        <f t="shared" si="7"/>
        <v>198</v>
      </c>
      <c r="T8" s="28">
        <f>+PB!B9</f>
        <v>1835581</v>
      </c>
      <c r="U8" s="141">
        <f t="shared" si="8"/>
        <v>0.06550172122220282</v>
      </c>
      <c r="V8" s="28">
        <f t="shared" si="9"/>
        <v>111</v>
      </c>
    </row>
    <row r="9" spans="1:22" ht="12.75">
      <c r="A9" s="4" t="s">
        <v>13</v>
      </c>
      <c r="B9" s="230">
        <f t="shared" si="1"/>
        <v>1552.9675410561338</v>
      </c>
      <c r="C9" s="228"/>
      <c r="D9" s="46">
        <f>SUM(Census!H9)</f>
        <v>1091</v>
      </c>
      <c r="E9" s="43">
        <f t="shared" si="2"/>
        <v>0.047666899685424674</v>
      </c>
      <c r="F9" s="28">
        <f t="shared" si="10"/>
        <v>658</v>
      </c>
      <c r="H9" s="28">
        <f>+PB!B10</f>
        <v>1516815</v>
      </c>
      <c r="I9" s="43">
        <f t="shared" si="3"/>
        <v>0.05412672787289451</v>
      </c>
      <c r="J9" s="28">
        <f t="shared" si="4"/>
        <v>619.9675410561338</v>
      </c>
      <c r="L9" s="116">
        <f>+PB!B10</f>
        <v>1516815</v>
      </c>
      <c r="M9" s="141">
        <f t="shared" si="5"/>
        <v>0.05412672787289451</v>
      </c>
      <c r="N9" s="28">
        <f t="shared" si="6"/>
        <v>19</v>
      </c>
      <c r="O9" s="135"/>
      <c r="P9" s="28">
        <f>SUM(PB!B10)</f>
        <v>1516815</v>
      </c>
      <c r="Q9" s="43">
        <f t="shared" si="0"/>
        <v>0.05412672787289451</v>
      </c>
      <c r="R9" s="29">
        <f t="shared" si="7"/>
        <v>164</v>
      </c>
      <c r="T9" s="28">
        <f>+PB!B10</f>
        <v>1516815</v>
      </c>
      <c r="U9" s="141">
        <f t="shared" si="8"/>
        <v>0.05412672787289451</v>
      </c>
      <c r="V9" s="28">
        <f t="shared" si="9"/>
        <v>92</v>
      </c>
    </row>
    <row r="10" spans="1:22" ht="12.75">
      <c r="A10" s="4" t="s">
        <v>14</v>
      </c>
      <c r="B10" s="230">
        <f t="shared" si="1"/>
        <v>4730.953151724874</v>
      </c>
      <c r="C10" s="228"/>
      <c r="D10" s="46">
        <f>SUM(Census!H10)</f>
        <v>3407</v>
      </c>
      <c r="E10" s="43">
        <f t="shared" si="2"/>
        <v>0.14885529535127578</v>
      </c>
      <c r="F10" s="28">
        <f t="shared" si="10"/>
        <v>2055</v>
      </c>
      <c r="H10" s="28">
        <f>+PB!B11</f>
        <v>4535889</v>
      </c>
      <c r="I10" s="43">
        <f t="shared" si="3"/>
        <v>0.16186076058362794</v>
      </c>
      <c r="J10" s="28">
        <f t="shared" si="4"/>
        <v>1853.9531517248745</v>
      </c>
      <c r="L10" s="116">
        <f>+PB!B11</f>
        <v>4535889</v>
      </c>
      <c r="M10" s="141">
        <f t="shared" si="5"/>
        <v>0.16186076058362794</v>
      </c>
      <c r="N10" s="28">
        <f t="shared" si="6"/>
        <v>58</v>
      </c>
      <c r="O10" s="135"/>
      <c r="P10" s="28">
        <f>SUM(PB!B11)</f>
        <v>4535889</v>
      </c>
      <c r="Q10" s="43">
        <f t="shared" si="0"/>
        <v>0.16186076058362794</v>
      </c>
      <c r="R10" s="29">
        <f t="shared" si="7"/>
        <v>489</v>
      </c>
      <c r="T10" s="28">
        <f>+PB!B11</f>
        <v>4535889</v>
      </c>
      <c r="U10" s="141">
        <f t="shared" si="8"/>
        <v>0.16186076058362794</v>
      </c>
      <c r="V10" s="28">
        <f t="shared" si="9"/>
        <v>275</v>
      </c>
    </row>
    <row r="11" spans="1:22" ht="12.75">
      <c r="A11" s="4" t="s">
        <v>15</v>
      </c>
      <c r="B11" s="230">
        <f t="shared" si="1"/>
        <v>1258.1014267682926</v>
      </c>
      <c r="C11" s="228"/>
      <c r="D11" s="46">
        <f>SUM(Census!H11)</f>
        <v>210</v>
      </c>
      <c r="E11" s="43">
        <f t="shared" si="2"/>
        <v>0.00917511359664453</v>
      </c>
      <c r="F11" s="28">
        <f t="shared" si="10"/>
        <v>127</v>
      </c>
      <c r="H11" s="28">
        <f>+PB!B12</f>
        <v>1915939</v>
      </c>
      <c r="I11" s="43">
        <f t="shared" si="3"/>
        <v>0.06836925325373605</v>
      </c>
      <c r="J11" s="28">
        <f t="shared" si="4"/>
        <v>783.1014267682928</v>
      </c>
      <c r="L11" s="116">
        <f>+PB!B12</f>
        <v>1915939</v>
      </c>
      <c r="M11" s="141">
        <f t="shared" si="5"/>
        <v>0.06836925325373605</v>
      </c>
      <c r="N11" s="28">
        <f t="shared" si="6"/>
        <v>25</v>
      </c>
      <c r="O11" s="135"/>
      <c r="P11" s="28">
        <f>SUM(PB!B12)</f>
        <v>1915939</v>
      </c>
      <c r="Q11" s="43">
        <f t="shared" si="0"/>
        <v>0.06836925325373605</v>
      </c>
      <c r="R11" s="29">
        <f t="shared" si="7"/>
        <v>207</v>
      </c>
      <c r="T11" s="28">
        <f>+PB!B12</f>
        <v>1915939</v>
      </c>
      <c r="U11" s="141">
        <f t="shared" si="8"/>
        <v>0.06836925325373605</v>
      </c>
      <c r="V11" s="28">
        <f t="shared" si="9"/>
        <v>116</v>
      </c>
    </row>
    <row r="12" spans="1:22" ht="12.75">
      <c r="A12" s="4" t="s">
        <v>16</v>
      </c>
      <c r="B12" s="230">
        <f t="shared" si="1"/>
        <v>1526.2027357778593</v>
      </c>
      <c r="C12" s="228"/>
      <c r="D12" s="46">
        <f>SUM(Census!H12)</f>
        <v>1309</v>
      </c>
      <c r="E12" s="43">
        <f t="shared" si="2"/>
        <v>0.05719154141908424</v>
      </c>
      <c r="F12" s="28">
        <f t="shared" si="10"/>
        <v>789</v>
      </c>
      <c r="H12" s="28">
        <f>+PB!B13</f>
        <v>1248264</v>
      </c>
      <c r="I12" s="43">
        <f t="shared" si="3"/>
        <v>0.044543629804248246</v>
      </c>
      <c r="J12" s="28">
        <f t="shared" si="4"/>
        <v>510.2027357778594</v>
      </c>
      <c r="L12" s="116">
        <f>+PB!B13</f>
        <v>1248264</v>
      </c>
      <c r="M12" s="141">
        <f t="shared" si="5"/>
        <v>0.044543629804248246</v>
      </c>
      <c r="N12" s="28">
        <f t="shared" si="6"/>
        <v>16</v>
      </c>
      <c r="O12" s="135"/>
      <c r="P12" s="28">
        <f>SUM(PB!B13)</f>
        <v>1248264</v>
      </c>
      <c r="Q12" s="43">
        <f t="shared" si="0"/>
        <v>0.044543629804248246</v>
      </c>
      <c r="R12" s="29">
        <f t="shared" si="7"/>
        <v>135</v>
      </c>
      <c r="T12" s="28">
        <f>+PB!B13</f>
        <v>1248264</v>
      </c>
      <c r="U12" s="141">
        <f t="shared" si="8"/>
        <v>0.044543629804248246</v>
      </c>
      <c r="V12" s="28">
        <f t="shared" si="9"/>
        <v>76</v>
      </c>
    </row>
    <row r="13" spans="1:22" ht="12.75">
      <c r="A13" s="4" t="s">
        <v>17</v>
      </c>
      <c r="B13" s="230">
        <f t="shared" si="1"/>
        <v>694.3672652366499</v>
      </c>
      <c r="C13" s="228"/>
      <c r="D13" s="46">
        <f>SUM(Census!H13)</f>
        <v>507</v>
      </c>
      <c r="E13" s="43">
        <f t="shared" si="2"/>
        <v>0.02215134568332751</v>
      </c>
      <c r="F13" s="28">
        <f t="shared" si="10"/>
        <v>306</v>
      </c>
      <c r="H13" s="28">
        <f>+PB!B14</f>
        <v>659035</v>
      </c>
      <c r="I13" s="43">
        <f t="shared" si="3"/>
        <v>0.02351730969413741</v>
      </c>
      <c r="J13" s="28">
        <f t="shared" si="4"/>
        <v>269.3672652366499</v>
      </c>
      <c r="L13" s="116">
        <f>+PB!B14</f>
        <v>659035</v>
      </c>
      <c r="M13" s="141">
        <f t="shared" si="5"/>
        <v>0.02351730969413741</v>
      </c>
      <c r="N13" s="28">
        <f t="shared" si="6"/>
        <v>8</v>
      </c>
      <c r="O13" s="135"/>
      <c r="P13" s="28">
        <f>SUM(PB!B14)</f>
        <v>659035</v>
      </c>
      <c r="Q13" s="43">
        <f t="shared" si="0"/>
        <v>0.02351730969413741</v>
      </c>
      <c r="R13" s="29">
        <f t="shared" si="7"/>
        <v>71</v>
      </c>
      <c r="T13" s="28">
        <f>+PB!B14</f>
        <v>659035</v>
      </c>
      <c r="U13" s="141">
        <f t="shared" si="8"/>
        <v>0.02351730969413741</v>
      </c>
      <c r="V13" s="28">
        <f t="shared" si="9"/>
        <v>40</v>
      </c>
    </row>
    <row r="14" spans="1:22" ht="12.75">
      <c r="A14" s="4" t="s">
        <v>18</v>
      </c>
      <c r="B14" s="230">
        <f t="shared" si="1"/>
        <v>1235.0820726577763</v>
      </c>
      <c r="C14" s="228"/>
      <c r="D14" s="46">
        <f>SUM(Census!H14)</f>
        <v>1433</v>
      </c>
      <c r="E14" s="43">
        <f t="shared" si="2"/>
        <v>0.0626092275428172</v>
      </c>
      <c r="F14" s="28">
        <f t="shared" si="10"/>
        <v>864</v>
      </c>
      <c r="H14" s="28">
        <f>+PB!B15</f>
        <v>628978</v>
      </c>
      <c r="I14" s="43">
        <f t="shared" si="3"/>
        <v>0.02244474180703477</v>
      </c>
      <c r="J14" s="28">
        <f t="shared" si="4"/>
        <v>257.0820726577762</v>
      </c>
      <c r="L14" s="116">
        <f>+PB!B15</f>
        <v>628978</v>
      </c>
      <c r="M14" s="141">
        <f t="shared" si="5"/>
        <v>0.02244474180703477</v>
      </c>
      <c r="N14" s="28">
        <f t="shared" si="6"/>
        <v>8</v>
      </c>
      <c r="O14" s="135"/>
      <c r="P14" s="28">
        <f>SUM(PB!B15)</f>
        <v>628978</v>
      </c>
      <c r="Q14" s="43">
        <f t="shared" si="0"/>
        <v>0.02244474180703477</v>
      </c>
      <c r="R14" s="29">
        <f t="shared" si="7"/>
        <v>68</v>
      </c>
      <c r="T14" s="28">
        <f>+PB!B15</f>
        <v>628978</v>
      </c>
      <c r="U14" s="141">
        <f t="shared" si="8"/>
        <v>0.02244474180703477</v>
      </c>
      <c r="V14" s="28">
        <f t="shared" si="9"/>
        <v>38</v>
      </c>
    </row>
    <row r="15" spans="1:22" ht="12.75">
      <c r="A15" s="4" t="s">
        <v>19</v>
      </c>
      <c r="B15" s="230">
        <f t="shared" si="1"/>
        <v>1185.3671034789818</v>
      </c>
      <c r="C15" s="228"/>
      <c r="D15" s="46">
        <f>SUM(Census!H15)</f>
        <v>955</v>
      </c>
      <c r="E15" s="43">
        <f t="shared" si="2"/>
        <v>0.04172492135616917</v>
      </c>
      <c r="F15" s="28">
        <f t="shared" si="10"/>
        <v>576</v>
      </c>
      <c r="H15" s="28">
        <f>+PB!B16</f>
        <v>1033365</v>
      </c>
      <c r="I15" s="43">
        <f t="shared" si="3"/>
        <v>0.0368750745136181</v>
      </c>
      <c r="J15" s="28">
        <f t="shared" si="4"/>
        <v>422.36710347898173</v>
      </c>
      <c r="L15" s="116">
        <f>+PB!B16</f>
        <v>1033365</v>
      </c>
      <c r="M15" s="141">
        <f t="shared" si="5"/>
        <v>0.0368750745136181</v>
      </c>
      <c r="N15" s="28">
        <f t="shared" si="6"/>
        <v>13</v>
      </c>
      <c r="O15" s="135"/>
      <c r="P15" s="28">
        <f>SUM(PB!B16)</f>
        <v>1033365</v>
      </c>
      <c r="Q15" s="43">
        <f t="shared" si="0"/>
        <v>0.0368750745136181</v>
      </c>
      <c r="R15" s="29">
        <f t="shared" si="7"/>
        <v>111</v>
      </c>
      <c r="T15" s="28">
        <f>+PB!B16</f>
        <v>1033365</v>
      </c>
      <c r="U15" s="141">
        <f t="shared" si="8"/>
        <v>0.0368750745136181</v>
      </c>
      <c r="V15" s="28">
        <f t="shared" si="9"/>
        <v>63</v>
      </c>
    </row>
    <row r="16" spans="1:22" ht="12.75">
      <c r="A16" s="4" t="s">
        <v>20</v>
      </c>
      <c r="B16" s="230">
        <f t="shared" si="1"/>
        <v>548.9355031532397</v>
      </c>
      <c r="C16" s="228"/>
      <c r="D16" s="46">
        <f>SUM(Census!H16)</f>
        <v>421</v>
      </c>
      <c r="E16" s="43">
        <f t="shared" si="2"/>
        <v>0.018393918210415937</v>
      </c>
      <c r="F16" s="28">
        <f t="shared" si="10"/>
        <v>254</v>
      </c>
      <c r="H16" s="28">
        <f>+PB!B17</f>
        <v>501396</v>
      </c>
      <c r="I16" s="43">
        <f t="shared" si="3"/>
        <v>0.01789204672195213</v>
      </c>
      <c r="J16" s="28">
        <f t="shared" si="4"/>
        <v>204.93550315323967</v>
      </c>
      <c r="L16" s="116">
        <f>+PB!B17</f>
        <v>501396</v>
      </c>
      <c r="M16" s="141">
        <f t="shared" si="5"/>
        <v>0.01789204672195213</v>
      </c>
      <c r="N16" s="28">
        <f t="shared" si="6"/>
        <v>6</v>
      </c>
      <c r="O16" s="135"/>
      <c r="P16" s="28">
        <f>SUM(PB!B17)</f>
        <v>501396</v>
      </c>
      <c r="Q16" s="43">
        <f t="shared" si="0"/>
        <v>0.01789204672195213</v>
      </c>
      <c r="R16" s="29">
        <f t="shared" si="7"/>
        <v>54</v>
      </c>
      <c r="T16" s="28">
        <f>+PB!B17</f>
        <v>501396</v>
      </c>
      <c r="U16" s="141">
        <f t="shared" si="8"/>
        <v>0.01789204672195213</v>
      </c>
      <c r="V16" s="28">
        <f t="shared" si="9"/>
        <v>30</v>
      </c>
    </row>
    <row r="17" spans="1:22" ht="12.75">
      <c r="A17" s="4" t="s">
        <v>21</v>
      </c>
      <c r="B17" s="230">
        <f t="shared" si="1"/>
        <v>399.794401079298</v>
      </c>
      <c r="C17" s="228"/>
      <c r="D17" s="46">
        <f>SUM(Census!H17)</f>
        <v>282</v>
      </c>
      <c r="E17" s="43">
        <f t="shared" si="2"/>
        <v>0.012320866829779797</v>
      </c>
      <c r="F17" s="28">
        <f t="shared" si="10"/>
        <v>170</v>
      </c>
      <c r="H17" s="28">
        <f>+PB!B18</f>
        <v>388507</v>
      </c>
      <c r="I17" s="43">
        <f t="shared" si="3"/>
        <v>0.013863663443277281</v>
      </c>
      <c r="J17" s="28">
        <f t="shared" si="4"/>
        <v>158.79440107929798</v>
      </c>
      <c r="L17" s="116">
        <f>+PB!B18</f>
        <v>388507</v>
      </c>
      <c r="M17" s="141">
        <f t="shared" si="5"/>
        <v>0.013863663443277281</v>
      </c>
      <c r="N17" s="28">
        <f t="shared" si="6"/>
        <v>5</v>
      </c>
      <c r="O17" s="135"/>
      <c r="P17" s="28">
        <f>SUM(PB!B18)</f>
        <v>388507</v>
      </c>
      <c r="Q17" s="43">
        <f t="shared" si="0"/>
        <v>0.013863663443277281</v>
      </c>
      <c r="R17" s="29">
        <f t="shared" si="7"/>
        <v>42</v>
      </c>
      <c r="T17" s="28">
        <f>+PB!B18</f>
        <v>388507</v>
      </c>
      <c r="U17" s="141">
        <f t="shared" si="8"/>
        <v>0.013863663443277281</v>
      </c>
      <c r="V17" s="28">
        <f t="shared" si="9"/>
        <v>24</v>
      </c>
    </row>
    <row r="18" spans="1:22" ht="12.75">
      <c r="A18" s="4" t="s">
        <v>22</v>
      </c>
      <c r="B18" s="230">
        <f t="shared" si="1"/>
        <v>1607.8755794487615</v>
      </c>
      <c r="C18" s="228"/>
      <c r="D18" s="46">
        <f>SUM(Census!H18)</f>
        <v>1309</v>
      </c>
      <c r="E18" s="43">
        <f t="shared" si="2"/>
        <v>0.05719154141908424</v>
      </c>
      <c r="F18" s="28">
        <f t="shared" si="10"/>
        <v>789</v>
      </c>
      <c r="H18" s="28">
        <f>+PB!B19</f>
        <v>1386920</v>
      </c>
      <c r="I18" s="43">
        <f t="shared" si="3"/>
        <v>0.04949149462622328</v>
      </c>
      <c r="J18" s="28">
        <f t="shared" si="4"/>
        <v>566.8755794487614</v>
      </c>
      <c r="L18" s="116">
        <f>+PB!B19</f>
        <v>1386920</v>
      </c>
      <c r="M18" s="141">
        <f t="shared" si="5"/>
        <v>0.04949149462622328</v>
      </c>
      <c r="N18" s="28">
        <f t="shared" si="6"/>
        <v>18</v>
      </c>
      <c r="O18" s="135"/>
      <c r="P18" s="28">
        <f>SUM(PB!B19)</f>
        <v>1386920</v>
      </c>
      <c r="Q18" s="43">
        <f t="shared" si="0"/>
        <v>0.04949149462622328</v>
      </c>
      <c r="R18" s="29">
        <f t="shared" si="7"/>
        <v>150</v>
      </c>
      <c r="T18" s="28">
        <f>+PB!B19</f>
        <v>1386920</v>
      </c>
      <c r="U18" s="141">
        <f t="shared" si="8"/>
        <v>0.04949149462622328</v>
      </c>
      <c r="V18" s="28">
        <f t="shared" si="9"/>
        <v>84</v>
      </c>
    </row>
    <row r="19" spans="1:22" ht="12.75">
      <c r="A19" s="4" t="s">
        <v>23</v>
      </c>
      <c r="B19" s="230">
        <f t="shared" si="1"/>
        <v>1055.4960471072015</v>
      </c>
      <c r="C19" s="228"/>
      <c r="D19" s="46">
        <f>SUM(Census!H19)</f>
        <v>785</v>
      </c>
      <c r="E19" s="43">
        <f t="shared" si="2"/>
        <v>0.03429744844459979</v>
      </c>
      <c r="F19" s="28">
        <f t="shared" si="10"/>
        <v>473</v>
      </c>
      <c r="H19" s="28">
        <f>+PB!B20</f>
        <v>987195</v>
      </c>
      <c r="I19" s="43">
        <f t="shared" si="3"/>
        <v>0.03522752288346443</v>
      </c>
      <c r="J19" s="28">
        <f t="shared" si="4"/>
        <v>403.4960471072016</v>
      </c>
      <c r="L19" s="116">
        <f>+PB!B20</f>
        <v>987195</v>
      </c>
      <c r="M19" s="141">
        <f t="shared" si="5"/>
        <v>0.03522752288346443</v>
      </c>
      <c r="N19" s="28">
        <f t="shared" si="6"/>
        <v>13</v>
      </c>
      <c r="O19" s="135"/>
      <c r="P19" s="28">
        <f>SUM(PB!B20)</f>
        <v>987195</v>
      </c>
      <c r="Q19" s="43">
        <f t="shared" si="0"/>
        <v>0.03522752288346443</v>
      </c>
      <c r="R19" s="29">
        <f t="shared" si="7"/>
        <v>106</v>
      </c>
      <c r="T19" s="28">
        <f>+PB!B20</f>
        <v>987195</v>
      </c>
      <c r="U19" s="141">
        <f t="shared" si="8"/>
        <v>0.03522752288346443</v>
      </c>
      <c r="V19" s="28">
        <f t="shared" si="9"/>
        <v>60</v>
      </c>
    </row>
    <row r="20" spans="1:22" ht="12.75">
      <c r="A20" s="4" t="s">
        <v>24</v>
      </c>
      <c r="B20" s="230">
        <f t="shared" si="1"/>
        <v>458.0644626967298</v>
      </c>
      <c r="C20" s="228"/>
      <c r="D20" s="46">
        <f>SUM(Census!H20)</f>
        <v>339</v>
      </c>
      <c r="E20" s="43">
        <f t="shared" si="2"/>
        <v>0.014811254806011883</v>
      </c>
      <c r="F20" s="28">
        <f t="shared" si="10"/>
        <v>204</v>
      </c>
      <c r="H20" s="28">
        <f>+PB!B21</f>
        <v>430760</v>
      </c>
      <c r="I20" s="43">
        <f t="shared" si="3"/>
        <v>0.015371439034112954</v>
      </c>
      <c r="J20" s="28">
        <f t="shared" si="4"/>
        <v>176.06446269672978</v>
      </c>
      <c r="L20" s="116">
        <f>+PB!B21</f>
        <v>430760</v>
      </c>
      <c r="M20" s="141">
        <f t="shared" si="5"/>
        <v>0.015371439034112954</v>
      </c>
      <c r="N20" s="28">
        <f t="shared" si="6"/>
        <v>6</v>
      </c>
      <c r="O20" s="135"/>
      <c r="P20" s="28">
        <f>SUM(PB!B21)</f>
        <v>430760</v>
      </c>
      <c r="Q20" s="43">
        <f t="shared" si="0"/>
        <v>0.015371439034112954</v>
      </c>
      <c r="R20" s="29">
        <f t="shared" si="7"/>
        <v>46</v>
      </c>
      <c r="T20" s="28">
        <f>+PB!B21</f>
        <v>430760</v>
      </c>
      <c r="U20" s="141">
        <f t="shared" si="8"/>
        <v>0.015371439034112954</v>
      </c>
      <c r="V20" s="28">
        <f t="shared" si="9"/>
        <v>26</v>
      </c>
    </row>
    <row r="21" spans="1:22" ht="12.75">
      <c r="A21" s="4" t="s">
        <v>25</v>
      </c>
      <c r="B21" s="230">
        <f t="shared" si="1"/>
        <v>120.58398739681883</v>
      </c>
      <c r="C21" s="228"/>
      <c r="D21" s="46">
        <f>SUM(Census!H21)</f>
        <v>66</v>
      </c>
      <c r="E21" s="43">
        <f t="shared" si="2"/>
        <v>0.0028836071303739953</v>
      </c>
      <c r="F21" s="28">
        <f t="shared" si="10"/>
        <v>40</v>
      </c>
      <c r="H21" s="28">
        <f>+PB!B22</f>
        <v>135992</v>
      </c>
      <c r="I21" s="43">
        <f t="shared" si="3"/>
        <v>0.004852801414075329</v>
      </c>
      <c r="J21" s="28">
        <f t="shared" si="4"/>
        <v>55.58398739681882</v>
      </c>
      <c r="L21" s="116">
        <f>+PB!B22</f>
        <v>135992</v>
      </c>
      <c r="M21" s="141">
        <f t="shared" si="5"/>
        <v>0.004852801414075329</v>
      </c>
      <c r="N21" s="28">
        <f t="shared" si="6"/>
        <v>2</v>
      </c>
      <c r="O21" s="135"/>
      <c r="P21" s="28">
        <f>SUM(PB!B22)</f>
        <v>135992</v>
      </c>
      <c r="Q21" s="43">
        <f t="shared" si="0"/>
        <v>0.004852801414075329</v>
      </c>
      <c r="R21" s="29">
        <f t="shared" si="7"/>
        <v>15</v>
      </c>
      <c r="T21" s="28">
        <f>+PB!B22</f>
        <v>135992</v>
      </c>
      <c r="U21" s="141">
        <f t="shared" si="8"/>
        <v>0.004852801414075329</v>
      </c>
      <c r="V21" s="28">
        <f t="shared" si="9"/>
        <v>8</v>
      </c>
    </row>
    <row r="22" spans="1:22" ht="12.75">
      <c r="A22" s="4" t="s">
        <v>26</v>
      </c>
      <c r="B22" s="230">
        <f t="shared" si="1"/>
        <v>646.3875742633808</v>
      </c>
      <c r="C22" s="228"/>
      <c r="D22" s="46">
        <f>SUM(Census!H22)</f>
        <v>604</v>
      </c>
      <c r="E22" s="43">
        <f t="shared" si="2"/>
        <v>0.026389374344634745</v>
      </c>
      <c r="F22" s="28">
        <f t="shared" si="10"/>
        <v>364</v>
      </c>
      <c r="H22" s="28">
        <f>+PB!B23</f>
        <v>478036</v>
      </c>
      <c r="I22" s="43">
        <f t="shared" si="3"/>
        <v>0.01705845767970847</v>
      </c>
      <c r="J22" s="28">
        <f t="shared" si="4"/>
        <v>195.3875742633808</v>
      </c>
      <c r="L22" s="116">
        <f>+PB!B23</f>
        <v>478036</v>
      </c>
      <c r="M22" s="141">
        <f t="shared" si="5"/>
        <v>0.01705845767970847</v>
      </c>
      <c r="N22" s="28">
        <f t="shared" si="6"/>
        <v>6</v>
      </c>
      <c r="O22" s="135"/>
      <c r="P22" s="28">
        <f>SUM(PB!B23)</f>
        <v>478036</v>
      </c>
      <c r="Q22" s="43">
        <f t="shared" si="0"/>
        <v>0.01705845767970847</v>
      </c>
      <c r="R22" s="29">
        <f t="shared" si="7"/>
        <v>52</v>
      </c>
      <c r="T22" s="28">
        <f>+PB!B23</f>
        <v>478036</v>
      </c>
      <c r="U22" s="141">
        <f t="shared" si="8"/>
        <v>0.01705845767970847</v>
      </c>
      <c r="V22" s="28">
        <f t="shared" si="9"/>
        <v>29</v>
      </c>
    </row>
    <row r="23" spans="1:22" ht="12.75">
      <c r="A23" s="4" t="s">
        <v>27</v>
      </c>
      <c r="B23" s="230">
        <f t="shared" si="1"/>
        <v>226.19902234564606</v>
      </c>
      <c r="C23" s="228"/>
      <c r="D23" s="46">
        <f>SUM(Census!H23)</f>
        <v>85</v>
      </c>
      <c r="E23" s="43">
        <f t="shared" si="2"/>
        <v>0.003713736455784691</v>
      </c>
      <c r="F23" s="28">
        <f t="shared" si="10"/>
        <v>51</v>
      </c>
      <c r="H23" s="28">
        <f>+PB!B24</f>
        <v>296526</v>
      </c>
      <c r="I23" s="43">
        <f t="shared" si="3"/>
        <v>0.010581370904980448</v>
      </c>
      <c r="J23" s="28">
        <f t="shared" si="4"/>
        <v>121.19902234564606</v>
      </c>
      <c r="L23" s="116">
        <f>+PB!B24</f>
        <v>296526</v>
      </c>
      <c r="M23" s="141">
        <f t="shared" si="5"/>
        <v>0.010581370904980448</v>
      </c>
      <c r="N23" s="28">
        <f t="shared" si="6"/>
        <v>4</v>
      </c>
      <c r="O23" s="135"/>
      <c r="P23" s="28">
        <f>SUM(PB!B24)</f>
        <v>296526</v>
      </c>
      <c r="Q23" s="43">
        <f t="shared" si="0"/>
        <v>0.010581370904980448</v>
      </c>
      <c r="R23" s="29">
        <f t="shared" si="7"/>
        <v>32</v>
      </c>
      <c r="T23" s="28">
        <f>+PB!B24</f>
        <v>296526</v>
      </c>
      <c r="U23" s="141">
        <f t="shared" si="8"/>
        <v>0.010581370904980448</v>
      </c>
      <c r="V23" s="28">
        <f t="shared" si="9"/>
        <v>18</v>
      </c>
    </row>
    <row r="24" spans="1:22" ht="12.75">
      <c r="A24" s="4" t="s">
        <v>28</v>
      </c>
      <c r="B24" s="230">
        <f t="shared" si="1"/>
        <v>737.6721380463421</v>
      </c>
      <c r="C24" s="228"/>
      <c r="D24" s="46">
        <f>SUM(Census!H24)</f>
        <v>150</v>
      </c>
      <c r="E24" s="43">
        <f t="shared" si="2"/>
        <v>0.006553652569031807</v>
      </c>
      <c r="F24" s="28">
        <f t="shared" si="10"/>
        <v>90</v>
      </c>
      <c r="H24" s="28">
        <f>+PB!B25</f>
        <v>1097723</v>
      </c>
      <c r="I24" s="43">
        <f t="shared" si="3"/>
        <v>0.03917165514635429</v>
      </c>
      <c r="J24" s="28">
        <f t="shared" si="4"/>
        <v>448.672138046342</v>
      </c>
      <c r="L24" s="116">
        <f>+PB!B25</f>
        <v>1097723</v>
      </c>
      <c r="M24" s="141">
        <f t="shared" si="5"/>
        <v>0.03917165514635429</v>
      </c>
      <c r="N24" s="28">
        <f t="shared" si="6"/>
        <v>14</v>
      </c>
      <c r="O24" s="135"/>
      <c r="P24" s="28">
        <f>SUM(PB!B25)</f>
        <v>1097723</v>
      </c>
      <c r="Q24" s="43">
        <f t="shared" si="0"/>
        <v>0.03917165514635429</v>
      </c>
      <c r="R24" s="29">
        <f t="shared" si="7"/>
        <v>118</v>
      </c>
      <c r="T24" s="28">
        <f>+PB!B25</f>
        <v>1097723</v>
      </c>
      <c r="U24" s="141">
        <f t="shared" si="8"/>
        <v>0.03917165514635429</v>
      </c>
      <c r="V24" s="28">
        <f t="shared" si="9"/>
        <v>67</v>
      </c>
    </row>
    <row r="25" spans="1:22" ht="12.75">
      <c r="A25" s="4" t="s">
        <v>29</v>
      </c>
      <c r="B25" s="230">
        <f t="shared" si="1"/>
        <v>146.09172273558087</v>
      </c>
      <c r="C25" s="228"/>
      <c r="D25" s="46">
        <f>SUM(Census!H25)</f>
        <v>124</v>
      </c>
      <c r="E25" s="43">
        <f t="shared" si="2"/>
        <v>0.00541768612373296</v>
      </c>
      <c r="F25" s="28">
        <f t="shared" si="10"/>
        <v>75</v>
      </c>
      <c r="H25" s="28">
        <f>+PB!B26</f>
        <v>120108</v>
      </c>
      <c r="I25" s="43">
        <f t="shared" si="3"/>
        <v>0.004285989412919581</v>
      </c>
      <c r="J25" s="28">
        <f t="shared" si="4"/>
        <v>49.09172273558088</v>
      </c>
      <c r="L25" s="116">
        <f>+PB!B26</f>
        <v>120108</v>
      </c>
      <c r="M25" s="141">
        <f t="shared" si="5"/>
        <v>0.004285989412919581</v>
      </c>
      <c r="N25" s="28">
        <f t="shared" si="6"/>
        <v>2</v>
      </c>
      <c r="O25" s="135"/>
      <c r="P25" s="28">
        <f>SUM(PB!B26)</f>
        <v>120108</v>
      </c>
      <c r="Q25" s="43">
        <f t="shared" si="0"/>
        <v>0.004285989412919581</v>
      </c>
      <c r="R25" s="29">
        <f t="shared" si="7"/>
        <v>13</v>
      </c>
      <c r="T25" s="28">
        <f>+PB!B26</f>
        <v>120108</v>
      </c>
      <c r="U25" s="141">
        <f t="shared" si="8"/>
        <v>0.004285989412919581</v>
      </c>
      <c r="V25" s="28">
        <f t="shared" si="9"/>
        <v>7</v>
      </c>
    </row>
    <row r="26" spans="1:22" ht="12.75">
      <c r="A26" s="4" t="s">
        <v>30</v>
      </c>
      <c r="B26" s="230">
        <f t="shared" si="1"/>
        <v>138.4422032857468</v>
      </c>
      <c r="C26" s="228"/>
      <c r="D26" s="46">
        <f>SUM(Census!H26)</f>
        <v>41</v>
      </c>
      <c r="E26" s="43">
        <f t="shared" si="2"/>
        <v>0.0017913317022020272</v>
      </c>
      <c r="F26" s="28">
        <f t="shared" si="10"/>
        <v>25</v>
      </c>
      <c r="H26" s="28">
        <f>+PB!B27</f>
        <v>191917</v>
      </c>
      <c r="I26" s="43">
        <f t="shared" si="3"/>
        <v>0.006848454975183062</v>
      </c>
      <c r="J26" s="28">
        <f t="shared" si="4"/>
        <v>78.4422032857468</v>
      </c>
      <c r="L26" s="116">
        <f>+PB!B27</f>
        <v>191917</v>
      </c>
      <c r="M26" s="141">
        <f t="shared" si="5"/>
        <v>0.006848454975183062</v>
      </c>
      <c r="N26" s="28">
        <f t="shared" si="6"/>
        <v>2</v>
      </c>
      <c r="O26" s="135"/>
      <c r="P26" s="28">
        <f>SUM(PB!B27)</f>
        <v>191917</v>
      </c>
      <c r="Q26" s="43">
        <f t="shared" si="0"/>
        <v>0.006848454975183062</v>
      </c>
      <c r="R26" s="29">
        <f t="shared" si="7"/>
        <v>21</v>
      </c>
      <c r="T26" s="28">
        <f>+PB!B27</f>
        <v>191917</v>
      </c>
      <c r="U26" s="141">
        <f t="shared" si="8"/>
        <v>0.006848454975183062</v>
      </c>
      <c r="V26" s="28">
        <f t="shared" si="9"/>
        <v>12</v>
      </c>
    </row>
    <row r="27" spans="1:22" ht="12.75">
      <c r="A27" s="4" t="s">
        <v>31</v>
      </c>
      <c r="B27" s="230">
        <f t="shared" si="1"/>
        <v>88.8600896800499</v>
      </c>
      <c r="C27" s="228"/>
      <c r="D27" s="46">
        <f>SUM(Census!H27)</f>
        <v>83</v>
      </c>
      <c r="E27" s="43">
        <f t="shared" si="2"/>
        <v>0.003626354421530933</v>
      </c>
      <c r="F27" s="28">
        <f t="shared" si="10"/>
        <v>50</v>
      </c>
      <c r="H27" s="28">
        <f>+PB!B28</f>
        <v>65716</v>
      </c>
      <c r="I27" s="43">
        <f t="shared" si="3"/>
        <v>0.0023450401327090886</v>
      </c>
      <c r="J27" s="28">
        <f t="shared" si="4"/>
        <v>26.8600896800499</v>
      </c>
      <c r="L27" s="116">
        <f>+PB!B28</f>
        <v>65716</v>
      </c>
      <c r="M27" s="141">
        <f t="shared" si="5"/>
        <v>0.0023450401327090886</v>
      </c>
      <c r="N27" s="28">
        <f t="shared" si="6"/>
        <v>1</v>
      </c>
      <c r="O27" s="135"/>
      <c r="P27" s="28">
        <f>SUM(PB!B28)</f>
        <v>65716</v>
      </c>
      <c r="Q27" s="43">
        <f t="shared" si="0"/>
        <v>0.0023450401327090886</v>
      </c>
      <c r="R27" s="29">
        <f t="shared" si="7"/>
        <v>7</v>
      </c>
      <c r="T27" s="28">
        <f>+PB!B28</f>
        <v>65716</v>
      </c>
      <c r="U27" s="141">
        <f t="shared" si="8"/>
        <v>0.0023450401327090886</v>
      </c>
      <c r="V27" s="28">
        <f t="shared" si="9"/>
        <v>4</v>
      </c>
    </row>
    <row r="28" spans="1:22" ht="12.75">
      <c r="A28" s="4" t="s">
        <v>32</v>
      </c>
      <c r="B28" s="230">
        <f t="shared" si="1"/>
        <v>1070.3634087097423</v>
      </c>
      <c r="C28" s="228"/>
      <c r="D28" s="46">
        <f>SUM(Census!H28)</f>
        <v>1477</v>
      </c>
      <c r="E28" s="43">
        <f t="shared" si="2"/>
        <v>0.06453163229639985</v>
      </c>
      <c r="F28" s="28">
        <f t="shared" si="10"/>
        <v>891</v>
      </c>
      <c r="H28" s="28">
        <f>+PB!B29</f>
        <v>304268</v>
      </c>
      <c r="I28" s="43">
        <f t="shared" si="3"/>
        <v>0.01085764001307336</v>
      </c>
      <c r="J28" s="28">
        <f t="shared" si="4"/>
        <v>124.36340870974227</v>
      </c>
      <c r="L28" s="116">
        <f>+PB!B29</f>
        <v>304268</v>
      </c>
      <c r="M28" s="141">
        <f t="shared" si="5"/>
        <v>0.01085764001307336</v>
      </c>
      <c r="N28" s="28">
        <f t="shared" si="6"/>
        <v>4</v>
      </c>
      <c r="O28" s="135"/>
      <c r="P28" s="28">
        <f>SUM(PB!B29)</f>
        <v>304268</v>
      </c>
      <c r="Q28" s="43">
        <f t="shared" si="0"/>
        <v>0.01085764001307336</v>
      </c>
      <c r="R28" s="29">
        <f t="shared" si="7"/>
        <v>33</v>
      </c>
      <c r="T28" s="28">
        <f>+PB!B29</f>
        <v>304268</v>
      </c>
      <c r="U28" s="141">
        <f t="shared" si="8"/>
        <v>0.01085764001307336</v>
      </c>
      <c r="V28" s="28">
        <f t="shared" si="9"/>
        <v>18</v>
      </c>
    </row>
    <row r="29" spans="1:22" ht="12.75">
      <c r="A29" s="4" t="s">
        <v>33</v>
      </c>
      <c r="B29" s="230">
        <f t="shared" si="1"/>
        <v>0</v>
      </c>
      <c r="C29" s="135"/>
      <c r="D29" s="46"/>
      <c r="E29" s="15"/>
      <c r="F29" s="42"/>
      <c r="H29" s="28">
        <f>+PB!B30</f>
        <v>0</v>
      </c>
      <c r="I29" s="43">
        <f t="shared" si="3"/>
        <v>0</v>
      </c>
      <c r="J29" s="28">
        <f t="shared" si="4"/>
        <v>0</v>
      </c>
      <c r="L29" s="116">
        <f>+PB!B30</f>
        <v>0</v>
      </c>
      <c r="M29" s="141">
        <f t="shared" si="5"/>
        <v>0</v>
      </c>
      <c r="N29" s="116">
        <f>ROUND(M29*$N$44,0)</f>
        <v>0</v>
      </c>
      <c r="O29" s="284"/>
      <c r="P29" s="28">
        <f>SUM(PB!B30)</f>
        <v>0</v>
      </c>
      <c r="Q29" s="43">
        <f t="shared" si="0"/>
        <v>0</v>
      </c>
      <c r="R29" s="29">
        <f t="shared" si="7"/>
        <v>0</v>
      </c>
      <c r="T29" s="28">
        <f>+PB!B30</f>
        <v>0</v>
      </c>
      <c r="U29" s="141">
        <f t="shared" si="8"/>
        <v>0</v>
      </c>
      <c r="V29" s="28">
        <f t="shared" si="9"/>
        <v>0</v>
      </c>
    </row>
    <row r="30" spans="1:22" ht="12.75">
      <c r="A30" s="4" t="s">
        <v>6</v>
      </c>
      <c r="B30" s="230">
        <f t="shared" si="1"/>
        <v>1715.9846169992002</v>
      </c>
      <c r="C30" s="135"/>
      <c r="D30" s="46"/>
      <c r="E30" s="43"/>
      <c r="F30" s="15"/>
      <c r="H30" s="28">
        <f>+PB!B31</f>
        <v>273982</v>
      </c>
      <c r="I30" s="43">
        <f t="shared" si="3"/>
        <v>0.009776900384075438</v>
      </c>
      <c r="J30" s="28">
        <f t="shared" si="4"/>
        <v>111.98461699920007</v>
      </c>
      <c r="L30" s="114">
        <f>+PB!B31</f>
        <v>273982</v>
      </c>
      <c r="M30" s="141">
        <f t="shared" si="5"/>
        <v>0.009776900384075438</v>
      </c>
      <c r="N30" s="116">
        <v>1557</v>
      </c>
      <c r="O30" s="284"/>
      <c r="P30" s="28">
        <f>SUM(PB!B31)</f>
        <v>273982</v>
      </c>
      <c r="Q30" s="43">
        <f t="shared" si="0"/>
        <v>0.009776900384075438</v>
      </c>
      <c r="R30" s="29">
        <f t="shared" si="7"/>
        <v>30</v>
      </c>
      <c r="T30" s="28">
        <f>+PB!B31</f>
        <v>273982</v>
      </c>
      <c r="U30" s="141">
        <f t="shared" si="8"/>
        <v>0.009776900384075438</v>
      </c>
      <c r="V30" s="28">
        <f t="shared" si="9"/>
        <v>17</v>
      </c>
    </row>
    <row r="31" spans="1:22" ht="12.75">
      <c r="A31" s="4" t="s">
        <v>45</v>
      </c>
      <c r="B31" s="230">
        <f t="shared" si="1"/>
        <v>0</v>
      </c>
      <c r="C31" s="84"/>
      <c r="D31" s="46"/>
      <c r="E31" s="15"/>
      <c r="F31" s="15"/>
      <c r="H31" s="28"/>
      <c r="I31" s="43"/>
      <c r="J31" s="28"/>
      <c r="L31" s="114"/>
      <c r="M31" s="112"/>
      <c r="N31" s="116"/>
      <c r="O31" s="284"/>
      <c r="P31" s="28"/>
      <c r="Q31" s="43"/>
      <c r="R31" s="29"/>
      <c r="T31" s="28"/>
      <c r="U31" s="43"/>
      <c r="V31" s="28"/>
    </row>
    <row r="32" spans="1:22" ht="12.75">
      <c r="A32" s="4" t="s">
        <v>34</v>
      </c>
      <c r="B32" s="230">
        <f t="shared" si="1"/>
        <v>0</v>
      </c>
      <c r="C32" s="84"/>
      <c r="D32" s="46"/>
      <c r="E32" s="15"/>
      <c r="F32" s="15"/>
      <c r="H32" s="15"/>
      <c r="I32" s="15"/>
      <c r="J32" s="15"/>
      <c r="L32" s="114"/>
      <c r="M32" s="112"/>
      <c r="N32" s="116"/>
      <c r="O32" s="284"/>
      <c r="P32" s="28"/>
      <c r="Q32" s="15"/>
      <c r="R32" s="51"/>
      <c r="T32" s="15"/>
      <c r="U32" s="15"/>
      <c r="V32" s="15"/>
    </row>
    <row r="33" spans="1:22" ht="12.75">
      <c r="A33" s="4" t="s">
        <v>3</v>
      </c>
      <c r="B33" s="230">
        <f t="shared" si="1"/>
        <v>0</v>
      </c>
      <c r="C33" s="84"/>
      <c r="D33" s="46"/>
      <c r="E33" s="15"/>
      <c r="F33" s="15"/>
      <c r="H33" s="15"/>
      <c r="I33" s="15"/>
      <c r="J33" s="15"/>
      <c r="L33" s="114"/>
      <c r="M33" s="112"/>
      <c r="N33" s="116"/>
      <c r="O33" s="284"/>
      <c r="P33" s="28"/>
      <c r="Q33" s="15"/>
      <c r="R33" s="15"/>
      <c r="T33" s="15"/>
      <c r="U33" s="15"/>
      <c r="V33" s="15"/>
    </row>
    <row r="34" spans="1:22" ht="12.75">
      <c r="A34" s="4" t="s">
        <v>4</v>
      </c>
      <c r="B34" s="230">
        <f t="shared" si="1"/>
        <v>0</v>
      </c>
      <c r="C34" s="84"/>
      <c r="D34" s="46"/>
      <c r="E34" s="15"/>
      <c r="F34" s="15"/>
      <c r="H34" s="15"/>
      <c r="I34" s="15"/>
      <c r="J34" s="15"/>
      <c r="L34" s="114"/>
      <c r="M34" s="112"/>
      <c r="N34" s="116"/>
      <c r="O34" s="284"/>
      <c r="P34" s="28"/>
      <c r="Q34" s="15"/>
      <c r="R34" s="15"/>
      <c r="T34" s="15"/>
      <c r="U34" s="15"/>
      <c r="V34" s="15"/>
    </row>
    <row r="35" spans="1:22" ht="12.75">
      <c r="A35" s="4" t="s">
        <v>7</v>
      </c>
      <c r="B35" s="230">
        <f t="shared" si="1"/>
        <v>0</v>
      </c>
      <c r="C35" s="84"/>
      <c r="D35" s="46"/>
      <c r="E35" s="29"/>
      <c r="F35" s="46"/>
      <c r="H35" s="28"/>
      <c r="I35" s="29"/>
      <c r="J35" s="46"/>
      <c r="L35" s="114"/>
      <c r="M35" s="112"/>
      <c r="N35" s="116"/>
      <c r="O35" s="284"/>
      <c r="P35" s="28"/>
      <c r="Q35" s="29"/>
      <c r="R35" s="46"/>
      <c r="T35" s="28"/>
      <c r="U35" s="29"/>
      <c r="V35" s="46"/>
    </row>
    <row r="36" spans="1:22" ht="12.75">
      <c r="A36" s="4" t="s">
        <v>106</v>
      </c>
      <c r="B36" s="230">
        <f t="shared" si="1"/>
        <v>0</v>
      </c>
      <c r="C36" s="84"/>
      <c r="D36" s="46"/>
      <c r="E36" s="29"/>
      <c r="F36" s="46"/>
      <c r="H36" s="28"/>
      <c r="I36" s="29"/>
      <c r="J36" s="46"/>
      <c r="L36" s="114"/>
      <c r="M36" s="112"/>
      <c r="N36" s="116"/>
      <c r="O36" s="284"/>
      <c r="P36" s="28"/>
      <c r="Q36" s="29"/>
      <c r="R36" s="46"/>
      <c r="T36" s="28"/>
      <c r="U36" s="29"/>
      <c r="V36" s="46"/>
    </row>
    <row r="37" spans="1:22" ht="12.75">
      <c r="A37" s="4" t="s">
        <v>93</v>
      </c>
      <c r="B37" s="230">
        <f t="shared" si="1"/>
        <v>0</v>
      </c>
      <c r="C37" s="84"/>
      <c r="D37" s="40"/>
      <c r="E37" s="15"/>
      <c r="F37" s="16"/>
      <c r="H37" s="16"/>
      <c r="I37" s="15"/>
      <c r="J37" s="16"/>
      <c r="L37" s="115"/>
      <c r="M37" s="111"/>
      <c r="N37" s="117"/>
      <c r="O37" s="284"/>
      <c r="P37" s="16"/>
      <c r="Q37" s="15"/>
      <c r="R37" s="16"/>
      <c r="T37" s="16"/>
      <c r="U37" s="15"/>
      <c r="V37" s="16"/>
    </row>
    <row r="38" spans="1:22" ht="12.75">
      <c r="A38" s="18" t="s">
        <v>35</v>
      </c>
      <c r="B38" s="265">
        <f>SUM(B5:B37)</f>
        <v>31894.999999999996</v>
      </c>
      <c r="C38" s="228"/>
      <c r="D38" s="40">
        <f>SUM(D5:D37)</f>
        <v>22888</v>
      </c>
      <c r="E38" s="197">
        <f>SUM(E5:E37)</f>
        <v>1</v>
      </c>
      <c r="F38" s="50">
        <f>SUM(F5:F37)</f>
        <v>13804</v>
      </c>
      <c r="H38" s="47">
        <f>SUM(H5:H37)</f>
        <v>28023401</v>
      </c>
      <c r="I38" s="197">
        <f>SUM(I5:I37)</f>
        <v>0.9999999999999999</v>
      </c>
      <c r="J38" s="47">
        <f>SUM(J5:J37)</f>
        <v>11454</v>
      </c>
      <c r="L38" s="115">
        <f>SUM(L5:L37)</f>
        <v>28023401</v>
      </c>
      <c r="M38" s="231">
        <f>SUM(M5:M37)</f>
        <v>0.9999999999999999</v>
      </c>
      <c r="N38" s="115">
        <f>SUM(N5:N37)</f>
        <v>1916</v>
      </c>
      <c r="O38" s="285"/>
      <c r="P38" s="47">
        <f>SUM(P5:P37)</f>
        <v>28023401</v>
      </c>
      <c r="Q38" s="197">
        <f>SUM(Q5:Q37)</f>
        <v>0.9999999999999999</v>
      </c>
      <c r="R38" s="47">
        <f>SUM(R5:R30)</f>
        <v>3021</v>
      </c>
      <c r="T38" s="47">
        <f>SUM(T5:T37)</f>
        <v>28023401</v>
      </c>
      <c r="U38" s="197">
        <f>SUM(U5:U37)</f>
        <v>0.9999999999999999</v>
      </c>
      <c r="V38" s="47">
        <f>SUM(V5:V37)</f>
        <v>1700</v>
      </c>
    </row>
    <row r="39" spans="2:21" ht="12.75">
      <c r="B39" s="96"/>
      <c r="C39" s="96"/>
      <c r="D39" s="96" t="s">
        <v>139</v>
      </c>
      <c r="G39" s="143"/>
      <c r="H39" s="96" t="s">
        <v>51</v>
      </c>
      <c r="K39" s="143"/>
      <c r="L39" s="96" t="s">
        <v>297</v>
      </c>
      <c r="P39" s="96" t="s">
        <v>51</v>
      </c>
      <c r="R39" s="53"/>
      <c r="S39" s="143"/>
      <c r="T39" s="96" t="str">
        <f>+P39</f>
        <v>Factor - President's Budget</v>
      </c>
      <c r="U39" s="144"/>
    </row>
    <row r="40" spans="11:12" ht="12.75">
      <c r="K40" s="143"/>
      <c r="L40" s="96" t="s">
        <v>298</v>
      </c>
    </row>
    <row r="41" spans="1:12" ht="12.75">
      <c r="A41" s="96" t="s">
        <v>313</v>
      </c>
      <c r="L41" s="82" t="s">
        <v>299</v>
      </c>
    </row>
    <row r="42" ht="12.75">
      <c r="A42" s="96" t="s">
        <v>315</v>
      </c>
    </row>
    <row r="43" spans="6:22" ht="12.75">
      <c r="F43" s="124">
        <f>15066+500-1762</f>
        <v>13804</v>
      </c>
      <c r="J43" s="124">
        <v>11454</v>
      </c>
      <c r="N43" s="190">
        <f>+N44-N30</f>
        <v>359</v>
      </c>
      <c r="O43" s="286"/>
      <c r="R43" s="124">
        <f>1259+1762</f>
        <v>3021</v>
      </c>
      <c r="V43" s="124">
        <f>1500+200</f>
        <v>1700</v>
      </c>
    </row>
    <row r="44" spans="14:15" ht="12.75">
      <c r="N44" s="70">
        <v>1916</v>
      </c>
      <c r="O44" s="287"/>
    </row>
  </sheetData>
  <mergeCells count="5">
    <mergeCell ref="T3:V3"/>
    <mergeCell ref="P3:R3"/>
    <mergeCell ref="D3:F3"/>
    <mergeCell ref="H3:J3"/>
    <mergeCell ref="L3:N3"/>
  </mergeCells>
  <printOptions/>
  <pageMargins left="0.75" right="0.75" top="0.54" bottom="0.59" header="0.5" footer="0.5"/>
  <pageSetup fitToHeight="1" fitToWidth="1" horizontalDpi="600" verticalDpi="600" orientation="landscape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2:U43"/>
  <sheetViews>
    <sheetView zoomScale="90" zoomScaleNormal="90" workbookViewId="0" topLeftCell="A19">
      <selection activeCell="J5" sqref="J5:J28"/>
    </sheetView>
  </sheetViews>
  <sheetFormatPr defaultColWidth="9.140625" defaultRowHeight="12.75"/>
  <cols>
    <col min="1" max="1" width="9.7109375" style="0" customWidth="1"/>
    <col min="2" max="2" width="10.8515625" style="0" customWidth="1"/>
    <col min="3" max="3" width="2.28125" style="0" customWidth="1"/>
    <col min="4" max="4" width="7.8515625" style="0" customWidth="1"/>
    <col min="5" max="5" width="8.421875" style="0" customWidth="1"/>
    <col min="6" max="6" width="10.7109375" style="0" customWidth="1"/>
    <col min="7" max="7" width="2.140625" style="0" customWidth="1"/>
    <col min="8" max="8" width="8.421875" style="0" customWidth="1"/>
    <col min="9" max="10" width="10.00390625" style="0" customWidth="1"/>
    <col min="11" max="11" width="2.28125" style="0" customWidth="1"/>
    <col min="12" max="12" width="11.140625" style="0" customWidth="1"/>
    <col min="13" max="13" width="8.57421875" style="0" customWidth="1"/>
    <col min="14" max="14" width="13.140625" style="0" customWidth="1"/>
    <col min="15" max="15" width="2.421875" style="0" customWidth="1"/>
    <col min="19" max="19" width="3.140625" style="0" customWidth="1"/>
    <col min="20" max="21" width="10.421875" style="0" customWidth="1"/>
  </cols>
  <sheetData>
    <row r="2" ht="18">
      <c r="A2" s="22" t="s">
        <v>300</v>
      </c>
    </row>
    <row r="3" spans="1:18" ht="12.75">
      <c r="A3" s="11"/>
      <c r="B3" s="193" t="s">
        <v>35</v>
      </c>
      <c r="D3" s="355" t="s">
        <v>303</v>
      </c>
      <c r="E3" s="356"/>
      <c r="F3" s="357"/>
      <c r="H3" s="355" t="s">
        <v>304</v>
      </c>
      <c r="I3" s="356"/>
      <c r="J3" s="357"/>
      <c r="L3" s="355" t="s">
        <v>216</v>
      </c>
      <c r="M3" s="356"/>
      <c r="N3" s="357"/>
      <c r="P3" s="355" t="s">
        <v>217</v>
      </c>
      <c r="Q3" s="356"/>
      <c r="R3" s="357"/>
    </row>
    <row r="4" spans="1:21" ht="12.75">
      <c r="A4" s="12"/>
      <c r="B4" s="98" t="s">
        <v>201</v>
      </c>
      <c r="D4" s="19" t="s">
        <v>36</v>
      </c>
      <c r="E4" s="19" t="s">
        <v>37</v>
      </c>
      <c r="F4" s="20" t="s">
        <v>38</v>
      </c>
      <c r="H4" s="19" t="s">
        <v>36</v>
      </c>
      <c r="I4" s="19" t="s">
        <v>37</v>
      </c>
      <c r="J4" s="20" t="s">
        <v>38</v>
      </c>
      <c r="L4" s="19" t="s">
        <v>36</v>
      </c>
      <c r="M4" s="19" t="s">
        <v>37</v>
      </c>
      <c r="N4" s="20" t="s">
        <v>38</v>
      </c>
      <c r="P4" s="55" t="s">
        <v>36</v>
      </c>
      <c r="Q4" s="19" t="s">
        <v>37</v>
      </c>
      <c r="R4" s="20" t="s">
        <v>38</v>
      </c>
      <c r="T4" s="55" t="s">
        <v>100</v>
      </c>
      <c r="U4" s="55" t="s">
        <v>101</v>
      </c>
    </row>
    <row r="5" spans="1:21" ht="12.75">
      <c r="A5" s="4" t="s">
        <v>0</v>
      </c>
      <c r="B5" s="56">
        <f>+F5+J5+N5+R5</f>
        <v>7000.000804960296</v>
      </c>
      <c r="C5" s="4"/>
      <c r="D5" s="97"/>
      <c r="E5" s="43"/>
      <c r="F5" s="56">
        <v>2749</v>
      </c>
      <c r="H5" s="97">
        <f>SUM(PB!J6)</f>
        <v>6333</v>
      </c>
      <c r="I5" s="43">
        <f>SUM(H5/$H$38)</f>
        <v>0.1377784325445933</v>
      </c>
      <c r="J5" s="56">
        <v>748.0008049602958</v>
      </c>
      <c r="L5" s="156">
        <f>+'FTEs &amp; onbrd'!F5</f>
        <v>2919</v>
      </c>
      <c r="M5" s="133">
        <f>SUM(L5/$L$38)</f>
        <v>0.241439205955335</v>
      </c>
      <c r="N5" s="242">
        <f>ROUND(+M5*$N$43,0)-1</f>
        <v>2529</v>
      </c>
      <c r="P5" s="28">
        <f>+'FTEs &amp; onbrd'!B5</f>
        <v>2875</v>
      </c>
      <c r="Q5" s="54">
        <f>SUM(P5/$P$38)</f>
        <v>0.16476588916270274</v>
      </c>
      <c r="R5" s="32">
        <f>+T5+U5</f>
        <v>974</v>
      </c>
      <c r="T5" s="49">
        <f>ROUND(Q5*$T$43,0)</f>
        <v>895</v>
      </c>
      <c r="U5" s="49">
        <f>ROUND(Q5*$U$43,0)-1</f>
        <v>79</v>
      </c>
    </row>
    <row r="6" spans="1:21" ht="12.75">
      <c r="A6" s="4" t="s">
        <v>10</v>
      </c>
      <c r="B6" s="28">
        <f aca="true" t="shared" si="0" ref="B6:B37">+F6+J6+N6+R6</f>
        <v>3074.58910040248</v>
      </c>
      <c r="C6" s="4"/>
      <c r="D6" s="28"/>
      <c r="E6" s="43"/>
      <c r="F6" s="28">
        <v>1490</v>
      </c>
      <c r="H6" s="28">
        <f>SUM(PB!J7)</f>
        <v>4687</v>
      </c>
      <c r="I6" s="43">
        <f>SUM(H6/$H$38)</f>
        <v>0.10196865835094092</v>
      </c>
      <c r="J6" s="28">
        <v>553.5891004024801</v>
      </c>
      <c r="L6" s="156">
        <f>+'FTEs &amp; onbrd'!F6</f>
        <v>870</v>
      </c>
      <c r="M6" s="133">
        <f aca="true" t="shared" si="1" ref="M6:M30">SUM(L6/$L$38)</f>
        <v>0.07196029776674938</v>
      </c>
      <c r="N6" s="156">
        <f aca="true" t="shared" si="2" ref="N6:N30">ROUND(+M6*$N$43,0)</f>
        <v>754</v>
      </c>
      <c r="P6" s="28">
        <f>+'FTEs &amp; onbrd'!B6</f>
        <v>817</v>
      </c>
      <c r="Q6" s="54">
        <f aca="true" t="shared" si="3" ref="Q6:Q37">SUM(P6/$P$38)</f>
        <v>0.046822167459453265</v>
      </c>
      <c r="R6" s="29">
        <f aca="true" t="shared" si="4" ref="R6:R37">+T6+U6</f>
        <v>277</v>
      </c>
      <c r="T6" s="28">
        <f aca="true" t="shared" si="5" ref="T6:T37">ROUND(Q6*$T$43,0)</f>
        <v>254</v>
      </c>
      <c r="U6" s="29">
        <f aca="true" t="shared" si="6" ref="U6:U37">ROUND(Q6*$U$43,0)</f>
        <v>23</v>
      </c>
    </row>
    <row r="7" spans="1:21" ht="12.75">
      <c r="A7" s="4" t="s">
        <v>11</v>
      </c>
      <c r="B7" s="28">
        <f t="shared" si="0"/>
        <v>630.7962362667247</v>
      </c>
      <c r="C7" s="4"/>
      <c r="D7" s="28"/>
      <c r="E7" s="43"/>
      <c r="F7" s="28">
        <v>250</v>
      </c>
      <c r="H7" s="28">
        <f>SUM(PB!J8)</f>
        <v>701</v>
      </c>
      <c r="I7" s="43">
        <f aca="true" t="shared" si="7" ref="I7:I28">SUM(H7/$H$38)</f>
        <v>0.015250699702156941</v>
      </c>
      <c r="J7" s="28">
        <v>82.79623626672468</v>
      </c>
      <c r="L7" s="156">
        <f>+'FTEs &amp; onbrd'!F7</f>
        <v>244</v>
      </c>
      <c r="M7" s="133">
        <f t="shared" si="1"/>
        <v>0.020181968569065345</v>
      </c>
      <c r="N7" s="156">
        <f t="shared" si="2"/>
        <v>211</v>
      </c>
      <c r="P7" s="28">
        <f>+'FTEs &amp; onbrd'!B7</f>
        <v>256</v>
      </c>
      <c r="Q7" s="54">
        <f t="shared" si="3"/>
        <v>0.014671327869791966</v>
      </c>
      <c r="R7" s="29">
        <f t="shared" si="4"/>
        <v>87</v>
      </c>
      <c r="T7" s="28">
        <f t="shared" si="5"/>
        <v>80</v>
      </c>
      <c r="U7" s="29">
        <f t="shared" si="6"/>
        <v>7</v>
      </c>
    </row>
    <row r="8" spans="1:21" ht="12.75">
      <c r="A8" s="4" t="s">
        <v>12</v>
      </c>
      <c r="B8" s="28">
        <f t="shared" si="0"/>
        <v>2436.6668552159254</v>
      </c>
      <c r="C8" s="4"/>
      <c r="D8" s="28"/>
      <c r="E8" s="43"/>
      <c r="F8" s="28">
        <v>1156</v>
      </c>
      <c r="H8" s="28">
        <f>SUM(PB!J9)</f>
        <v>3968</v>
      </c>
      <c r="I8" s="43">
        <f t="shared" si="7"/>
        <v>0.08632635722989834</v>
      </c>
      <c r="J8" s="28">
        <v>468.6668552159252</v>
      </c>
      <c r="L8" s="156">
        <f>+'FTEs &amp; onbrd'!F8</f>
        <v>681</v>
      </c>
      <c r="M8" s="133">
        <f t="shared" si="1"/>
        <v>0.056327543424317617</v>
      </c>
      <c r="N8" s="156">
        <f t="shared" si="2"/>
        <v>590</v>
      </c>
      <c r="P8" s="28">
        <f>+'FTEs &amp; onbrd'!B8</f>
        <v>655</v>
      </c>
      <c r="Q8" s="54">
        <f t="shared" si="3"/>
        <v>0.037537967791850535</v>
      </c>
      <c r="R8" s="29">
        <f t="shared" si="4"/>
        <v>222</v>
      </c>
      <c r="T8" s="28">
        <f t="shared" si="5"/>
        <v>204</v>
      </c>
      <c r="U8" s="29">
        <f t="shared" si="6"/>
        <v>18</v>
      </c>
    </row>
    <row r="9" spans="1:21" ht="12.75">
      <c r="A9" s="4" t="s">
        <v>13</v>
      </c>
      <c r="B9" s="28">
        <f t="shared" si="0"/>
        <v>1957.7210921353203</v>
      </c>
      <c r="C9" s="4"/>
      <c r="D9" s="28"/>
      <c r="E9" s="43"/>
      <c r="F9" s="28">
        <v>924</v>
      </c>
      <c r="H9" s="28">
        <f>SUM(PB!J10)</f>
        <v>3325</v>
      </c>
      <c r="I9" s="43">
        <f t="shared" si="7"/>
        <v>0.07233748432192842</v>
      </c>
      <c r="J9" s="28">
        <v>392.72109213532036</v>
      </c>
      <c r="L9" s="156">
        <f>+'FTEs &amp; onbrd'!F9</f>
        <v>526</v>
      </c>
      <c r="M9" s="133">
        <f t="shared" si="1"/>
        <v>0.0435070306038048</v>
      </c>
      <c r="N9" s="156">
        <f t="shared" si="2"/>
        <v>456</v>
      </c>
      <c r="P9" s="28">
        <f>+'FTEs &amp; onbrd'!B9</f>
        <v>547</v>
      </c>
      <c r="Q9" s="54">
        <f t="shared" si="3"/>
        <v>0.03134850134678205</v>
      </c>
      <c r="R9" s="29">
        <f t="shared" si="4"/>
        <v>185</v>
      </c>
      <c r="T9" s="28">
        <f t="shared" si="5"/>
        <v>170</v>
      </c>
      <c r="U9" s="29">
        <f t="shared" si="6"/>
        <v>15</v>
      </c>
    </row>
    <row r="10" spans="1:21" ht="12.75">
      <c r="A10" s="4" t="s">
        <v>14</v>
      </c>
      <c r="B10" s="28">
        <f t="shared" si="0"/>
        <v>4662.96730120744</v>
      </c>
      <c r="C10" s="4"/>
      <c r="D10" s="28"/>
      <c r="E10" s="43"/>
      <c r="F10" s="28">
        <v>2089</v>
      </c>
      <c r="H10" s="28">
        <f>SUM(PB!J11)</f>
        <v>4868.104138851802</v>
      </c>
      <c r="I10" s="43">
        <f t="shared" si="7"/>
        <v>0.10590869378096456</v>
      </c>
      <c r="J10" s="28">
        <v>574.9673012074404</v>
      </c>
      <c r="L10" s="156">
        <f>+'FTEs &amp; onbrd'!F10</f>
        <v>1665</v>
      </c>
      <c r="M10" s="133">
        <f t="shared" si="1"/>
        <v>0.13771712158808933</v>
      </c>
      <c r="N10" s="156">
        <f t="shared" si="2"/>
        <v>1443</v>
      </c>
      <c r="P10" s="28">
        <f>+'FTEs &amp; onbrd'!B10</f>
        <v>1639</v>
      </c>
      <c r="Q10" s="54">
        <f t="shared" si="3"/>
        <v>0.0939308842913634</v>
      </c>
      <c r="R10" s="29">
        <f t="shared" si="4"/>
        <v>556</v>
      </c>
      <c r="T10" s="28">
        <f t="shared" si="5"/>
        <v>510</v>
      </c>
      <c r="U10" s="29">
        <f t="shared" si="6"/>
        <v>46</v>
      </c>
    </row>
    <row r="11" spans="1:21" ht="12.75">
      <c r="A11" s="4" t="s">
        <v>15</v>
      </c>
      <c r="B11" s="28">
        <f t="shared" si="0"/>
        <v>1727.1478951376048</v>
      </c>
      <c r="C11" s="4"/>
      <c r="D11" s="28"/>
      <c r="E11" s="43"/>
      <c r="F11" s="28">
        <v>1025</v>
      </c>
      <c r="H11" s="28">
        <f>SUM(PB!J12)</f>
        <v>4497</v>
      </c>
      <c r="I11" s="43">
        <f t="shared" si="7"/>
        <v>0.0978350878182593</v>
      </c>
      <c r="J11" s="28">
        <v>531.1478951376047</v>
      </c>
      <c r="L11" s="156">
        <f>+'FTEs &amp; onbrd'!F11</f>
        <v>147</v>
      </c>
      <c r="M11" s="133">
        <f t="shared" si="1"/>
        <v>0.012158808933002481</v>
      </c>
      <c r="N11" s="156">
        <f t="shared" si="2"/>
        <v>127</v>
      </c>
      <c r="P11" s="28">
        <f>+'FTEs &amp; onbrd'!B11</f>
        <v>129</v>
      </c>
      <c r="Q11" s="54">
        <f t="shared" si="3"/>
        <v>0.007392973809387357</v>
      </c>
      <c r="R11" s="29">
        <f t="shared" si="4"/>
        <v>44</v>
      </c>
      <c r="T11" s="28">
        <f t="shared" si="5"/>
        <v>40</v>
      </c>
      <c r="U11" s="29">
        <f t="shared" si="6"/>
        <v>4</v>
      </c>
    </row>
    <row r="12" spans="1:21" ht="12.75">
      <c r="A12" s="4" t="s">
        <v>16</v>
      </c>
      <c r="B12" s="28">
        <f t="shared" si="0"/>
        <v>1821.3339497443708</v>
      </c>
      <c r="C12" s="4"/>
      <c r="D12" s="28"/>
      <c r="E12" s="43"/>
      <c r="F12" s="28">
        <v>834</v>
      </c>
      <c r="H12" s="28">
        <f>SUM(PB!J13)</f>
        <v>2365</v>
      </c>
      <c r="I12" s="43">
        <f t="shared" si="7"/>
        <v>0.05145207531469496</v>
      </c>
      <c r="J12" s="28">
        <v>279.3339497443707</v>
      </c>
      <c r="L12" s="156">
        <f>+'FTEs &amp; onbrd'!F12</f>
        <v>599</v>
      </c>
      <c r="M12" s="133">
        <f t="shared" si="1"/>
        <v>0.04954507857733664</v>
      </c>
      <c r="N12" s="156">
        <f t="shared" si="2"/>
        <v>519</v>
      </c>
      <c r="P12" s="28">
        <f>+'FTEs &amp; onbrd'!B12</f>
        <v>557</v>
      </c>
      <c r="Q12" s="54">
        <f t="shared" si="3"/>
        <v>0.0319216000916958</v>
      </c>
      <c r="R12" s="29">
        <f t="shared" si="4"/>
        <v>189</v>
      </c>
      <c r="T12" s="28">
        <f t="shared" si="5"/>
        <v>173</v>
      </c>
      <c r="U12" s="29">
        <f t="shared" si="6"/>
        <v>16</v>
      </c>
    </row>
    <row r="13" spans="1:21" ht="12.75">
      <c r="A13" s="4" t="s">
        <v>17</v>
      </c>
      <c r="B13" s="28">
        <f t="shared" si="0"/>
        <v>826.560883280757</v>
      </c>
      <c r="C13" s="4"/>
      <c r="D13" s="28"/>
      <c r="E13" s="43"/>
      <c r="F13" s="28">
        <v>391</v>
      </c>
      <c r="H13" s="28">
        <f>SUM(PB!J14)</f>
        <v>1334</v>
      </c>
      <c r="I13" s="43">
        <f t="shared" si="7"/>
        <v>0.02902201626630151</v>
      </c>
      <c r="J13" s="28">
        <v>157.56088328075708</v>
      </c>
      <c r="L13" s="156">
        <f>+'FTEs &amp; onbrd'!F13</f>
        <v>236</v>
      </c>
      <c r="M13" s="133">
        <f t="shared" si="1"/>
        <v>0.019520264681555006</v>
      </c>
      <c r="N13" s="156">
        <f t="shared" si="2"/>
        <v>205</v>
      </c>
      <c r="P13" s="28">
        <f>+'FTEs &amp; onbrd'!B13</f>
        <v>215</v>
      </c>
      <c r="Q13" s="54">
        <f t="shared" si="3"/>
        <v>0.012321623015645596</v>
      </c>
      <c r="R13" s="29">
        <f t="shared" si="4"/>
        <v>73</v>
      </c>
      <c r="T13" s="28">
        <f t="shared" si="5"/>
        <v>67</v>
      </c>
      <c r="U13" s="29">
        <f t="shared" si="6"/>
        <v>6</v>
      </c>
    </row>
    <row r="14" spans="1:21" ht="12.75">
      <c r="A14" s="4" t="s">
        <v>18</v>
      </c>
      <c r="B14" s="28">
        <f t="shared" si="0"/>
        <v>1342.6072228869793</v>
      </c>
      <c r="C14" s="4"/>
      <c r="D14" s="28"/>
      <c r="E14" s="43"/>
      <c r="F14" s="28">
        <v>445</v>
      </c>
      <c r="H14" s="28">
        <f>SUM(PB!J15)</f>
        <v>674</v>
      </c>
      <c r="I14" s="43">
        <f t="shared" si="7"/>
        <v>0.014663297573828499</v>
      </c>
      <c r="J14" s="28">
        <v>79.60722288697922</v>
      </c>
      <c r="L14" s="156">
        <f>+'FTEs &amp; onbrd'!F14</f>
        <v>679</v>
      </c>
      <c r="M14" s="133">
        <f t="shared" si="1"/>
        <v>0.056162117452440034</v>
      </c>
      <c r="N14" s="156">
        <f t="shared" si="2"/>
        <v>588</v>
      </c>
      <c r="P14" s="28">
        <f>+'FTEs &amp; onbrd'!B14</f>
        <v>677</v>
      </c>
      <c r="Q14" s="54">
        <f t="shared" si="3"/>
        <v>0.03879878503066078</v>
      </c>
      <c r="R14" s="29">
        <f t="shared" si="4"/>
        <v>230</v>
      </c>
      <c r="T14" s="28">
        <f t="shared" si="5"/>
        <v>211</v>
      </c>
      <c r="U14" s="29">
        <f t="shared" si="6"/>
        <v>19</v>
      </c>
    </row>
    <row r="15" spans="1:21" ht="12.75">
      <c r="A15" s="4" t="s">
        <v>19</v>
      </c>
      <c r="B15" s="28">
        <f t="shared" si="0"/>
        <v>1298.4671597954966</v>
      </c>
      <c r="C15" s="4"/>
      <c r="D15" s="28"/>
      <c r="E15" s="43"/>
      <c r="F15" s="28">
        <v>596</v>
      </c>
      <c r="H15" s="28">
        <f>SUM(PB!J16)</f>
        <v>1892</v>
      </c>
      <c r="I15" s="43">
        <f t="shared" si="7"/>
        <v>0.041161660251755966</v>
      </c>
      <c r="J15" s="28">
        <v>223.46715979549657</v>
      </c>
      <c r="L15" s="156">
        <f>+'FTEs &amp; onbrd'!F15</f>
        <v>401</v>
      </c>
      <c r="M15" s="133">
        <f t="shared" si="1"/>
        <v>0.03316790736145575</v>
      </c>
      <c r="N15" s="156">
        <f t="shared" si="2"/>
        <v>348</v>
      </c>
      <c r="P15" s="28">
        <f>+'FTEs &amp; onbrd'!B15</f>
        <v>386</v>
      </c>
      <c r="Q15" s="54">
        <f t="shared" si="3"/>
        <v>0.0221216115536707</v>
      </c>
      <c r="R15" s="29">
        <f t="shared" si="4"/>
        <v>131</v>
      </c>
      <c r="T15" s="28">
        <f t="shared" si="5"/>
        <v>120</v>
      </c>
      <c r="U15" s="29">
        <f t="shared" si="6"/>
        <v>11</v>
      </c>
    </row>
    <row r="16" spans="1:21" ht="12.75">
      <c r="A16" s="4" t="s">
        <v>20</v>
      </c>
      <c r="B16" s="28">
        <f t="shared" si="0"/>
        <v>767.159164581747</v>
      </c>
      <c r="C16" s="4"/>
      <c r="D16" s="28"/>
      <c r="E16" s="43"/>
      <c r="F16" s="28">
        <v>346</v>
      </c>
      <c r="H16" s="28">
        <f>SUM(PB!J17)</f>
        <v>1229</v>
      </c>
      <c r="I16" s="43">
        <f t="shared" si="7"/>
        <v>0.02673767465613535</v>
      </c>
      <c r="J16" s="28">
        <v>145.15916458174698</v>
      </c>
      <c r="L16" s="156">
        <f>+'FTEs &amp; onbrd'!F16</f>
        <v>233</v>
      </c>
      <c r="M16" s="133">
        <f t="shared" si="1"/>
        <v>0.019272125723738626</v>
      </c>
      <c r="N16" s="156">
        <f t="shared" si="2"/>
        <v>202</v>
      </c>
      <c r="P16" s="28">
        <f>+'FTEs &amp; onbrd'!B16</f>
        <v>217</v>
      </c>
      <c r="Q16" s="54">
        <f t="shared" si="3"/>
        <v>0.012436242764628345</v>
      </c>
      <c r="R16" s="29">
        <f t="shared" si="4"/>
        <v>74</v>
      </c>
      <c r="T16" s="28">
        <f t="shared" si="5"/>
        <v>68</v>
      </c>
      <c r="U16" s="29">
        <f t="shared" si="6"/>
        <v>6</v>
      </c>
    </row>
    <row r="17" spans="1:21" ht="12.75">
      <c r="A17" s="4" t="s">
        <v>21</v>
      </c>
      <c r="B17" s="28">
        <f t="shared" si="0"/>
        <v>552.0328075709779</v>
      </c>
      <c r="C17" s="4"/>
      <c r="D17" s="28"/>
      <c r="E17" s="43"/>
      <c r="F17" s="28">
        <v>260</v>
      </c>
      <c r="H17" s="28">
        <f>SUM(PB!J18)</f>
        <v>957</v>
      </c>
      <c r="I17" s="43">
        <f t="shared" si="7"/>
        <v>0.020820142104085865</v>
      </c>
      <c r="J17" s="28">
        <v>113.03280757097792</v>
      </c>
      <c r="L17" s="156">
        <f>+'FTEs &amp; onbrd'!F17</f>
        <v>152</v>
      </c>
      <c r="M17" s="133">
        <f t="shared" si="1"/>
        <v>0.012572373862696443</v>
      </c>
      <c r="N17" s="156">
        <f t="shared" si="2"/>
        <v>132</v>
      </c>
      <c r="P17" s="28">
        <f>+'FTEs &amp; onbrd'!B17</f>
        <v>138</v>
      </c>
      <c r="Q17" s="54">
        <f t="shared" si="3"/>
        <v>0.00790876267980973</v>
      </c>
      <c r="R17" s="29">
        <f t="shared" si="4"/>
        <v>47</v>
      </c>
      <c r="T17" s="28">
        <f t="shared" si="5"/>
        <v>43</v>
      </c>
      <c r="U17" s="29">
        <f t="shared" si="6"/>
        <v>4</v>
      </c>
    </row>
    <row r="18" spans="1:21" ht="12.75">
      <c r="A18" s="4" t="s">
        <v>22</v>
      </c>
      <c r="B18" s="28">
        <f t="shared" si="0"/>
        <v>2054.508038725117</v>
      </c>
      <c r="C18" s="4"/>
      <c r="D18" s="28"/>
      <c r="E18" s="43"/>
      <c r="F18" s="28">
        <v>912</v>
      </c>
      <c r="H18" s="28">
        <f>SUM(PB!J19)</f>
        <v>2993</v>
      </c>
      <c r="I18" s="43">
        <f t="shared" si="7"/>
        <v>0.06511461370692685</v>
      </c>
      <c r="J18" s="28">
        <v>353.50803872511693</v>
      </c>
      <c r="L18" s="156">
        <f>+'FTEs &amp; onbrd'!F18</f>
        <v>655</v>
      </c>
      <c r="M18" s="133">
        <f t="shared" si="1"/>
        <v>0.054177005789909014</v>
      </c>
      <c r="N18" s="156">
        <f t="shared" si="2"/>
        <v>568</v>
      </c>
      <c r="P18" s="28">
        <f>+'FTEs &amp; onbrd'!B18</f>
        <v>651</v>
      </c>
      <c r="Q18" s="54">
        <f t="shared" si="3"/>
        <v>0.037308728293885034</v>
      </c>
      <c r="R18" s="29">
        <f t="shared" si="4"/>
        <v>221</v>
      </c>
      <c r="T18" s="28">
        <f t="shared" si="5"/>
        <v>203</v>
      </c>
      <c r="U18" s="29">
        <f t="shared" si="6"/>
        <v>18</v>
      </c>
    </row>
    <row r="19" spans="1:21" ht="12.75">
      <c r="A19" s="4" t="s">
        <v>23</v>
      </c>
      <c r="B19" s="28">
        <f t="shared" si="0"/>
        <v>1293.6717937561189</v>
      </c>
      <c r="C19" s="4"/>
      <c r="D19" s="28"/>
      <c r="E19" s="43"/>
      <c r="F19" s="28">
        <v>615</v>
      </c>
      <c r="H19" s="28">
        <f>SUM(PB!J20)</f>
        <v>1826</v>
      </c>
      <c r="I19" s="43">
        <f t="shared" si="7"/>
        <v>0.03972578838250866</v>
      </c>
      <c r="J19" s="28">
        <v>215.6717937561188</v>
      </c>
      <c r="L19" s="156">
        <f>+'FTEs &amp; onbrd'!F19</f>
        <v>389</v>
      </c>
      <c r="M19" s="133">
        <f t="shared" si="1"/>
        <v>0.03217535153019024</v>
      </c>
      <c r="N19" s="156">
        <f t="shared" si="2"/>
        <v>337</v>
      </c>
      <c r="P19" s="28">
        <f>+'FTEs &amp; onbrd'!B19</f>
        <v>371</v>
      </c>
      <c r="Q19" s="54">
        <f t="shared" si="3"/>
        <v>0.021261963436300074</v>
      </c>
      <c r="R19" s="29">
        <f t="shared" si="4"/>
        <v>126</v>
      </c>
      <c r="T19" s="28">
        <f t="shared" si="5"/>
        <v>116</v>
      </c>
      <c r="U19" s="29">
        <f t="shared" si="6"/>
        <v>10</v>
      </c>
    </row>
    <row r="20" spans="1:21" ht="12.75">
      <c r="A20" s="4" t="s">
        <v>24</v>
      </c>
      <c r="B20" s="28">
        <f t="shared" si="0"/>
        <v>673.7177852714021</v>
      </c>
      <c r="C20" s="4"/>
      <c r="D20" s="28"/>
      <c r="E20" s="43"/>
      <c r="F20" s="28">
        <v>286</v>
      </c>
      <c r="H20" s="28">
        <f>SUM(PB!J21)</f>
        <v>912</v>
      </c>
      <c r="I20" s="43">
        <f t="shared" si="7"/>
        <v>0.019841138556871796</v>
      </c>
      <c r="J20" s="28">
        <v>107.71778527140216</v>
      </c>
      <c r="L20" s="156">
        <f>+'FTEs &amp; onbrd'!F20</f>
        <v>233</v>
      </c>
      <c r="M20" s="133">
        <f t="shared" si="1"/>
        <v>0.019272125723738626</v>
      </c>
      <c r="N20" s="156">
        <f t="shared" si="2"/>
        <v>202</v>
      </c>
      <c r="P20" s="28">
        <f>+'FTEs &amp; onbrd'!B20</f>
        <v>230</v>
      </c>
      <c r="Q20" s="54">
        <f t="shared" si="3"/>
        <v>0.01318127113301622</v>
      </c>
      <c r="R20" s="29">
        <f t="shared" si="4"/>
        <v>78</v>
      </c>
      <c r="T20" s="28">
        <f t="shared" si="5"/>
        <v>72</v>
      </c>
      <c r="U20" s="29">
        <f t="shared" si="6"/>
        <v>6</v>
      </c>
    </row>
    <row r="21" spans="1:21" ht="12.75">
      <c r="A21" s="4" t="s">
        <v>25</v>
      </c>
      <c r="B21" s="28">
        <f t="shared" si="0"/>
        <v>192.68549983683238</v>
      </c>
      <c r="C21" s="4"/>
      <c r="D21" s="28"/>
      <c r="E21" s="43"/>
      <c r="F21" s="28">
        <v>89</v>
      </c>
      <c r="H21" s="28">
        <f>SUM(PB!J22)</f>
        <v>336</v>
      </c>
      <c r="I21" s="43">
        <f t="shared" si="7"/>
        <v>0.007309893152531715</v>
      </c>
      <c r="J21" s="28">
        <v>39.68549983683237</v>
      </c>
      <c r="L21" s="156">
        <f>+'FTEs &amp; onbrd'!F21</f>
        <v>56</v>
      </c>
      <c r="M21" s="133">
        <f t="shared" si="1"/>
        <v>0.004631927212572374</v>
      </c>
      <c r="N21" s="156">
        <f t="shared" si="2"/>
        <v>49</v>
      </c>
      <c r="P21" s="28">
        <f>+'FTEs &amp; onbrd'!B21</f>
        <v>45</v>
      </c>
      <c r="Q21" s="54">
        <f t="shared" si="3"/>
        <v>0.002578944352111869</v>
      </c>
      <c r="R21" s="29">
        <f t="shared" si="4"/>
        <v>15</v>
      </c>
      <c r="T21" s="28">
        <f t="shared" si="5"/>
        <v>14</v>
      </c>
      <c r="U21" s="29">
        <f t="shared" si="6"/>
        <v>1</v>
      </c>
    </row>
    <row r="22" spans="1:21" ht="12.75">
      <c r="A22" s="4" t="s">
        <v>26</v>
      </c>
      <c r="B22" s="28">
        <f t="shared" si="0"/>
        <v>654.6854998368324</v>
      </c>
      <c r="C22" s="4"/>
      <c r="D22" s="28"/>
      <c r="E22" s="43"/>
      <c r="F22" s="28">
        <v>239</v>
      </c>
      <c r="H22" s="28">
        <f>SUM(PB!J23)</f>
        <v>336</v>
      </c>
      <c r="I22" s="43">
        <f t="shared" si="7"/>
        <v>0.007309893152531715</v>
      </c>
      <c r="J22" s="28">
        <v>39.68549983683237</v>
      </c>
      <c r="L22" s="156">
        <f>+'FTEs &amp; onbrd'!F22</f>
        <v>314</v>
      </c>
      <c r="M22" s="133">
        <f t="shared" si="1"/>
        <v>0.02597187758478081</v>
      </c>
      <c r="N22" s="156">
        <f t="shared" si="2"/>
        <v>272</v>
      </c>
      <c r="P22" s="28">
        <f>+'FTEs &amp; onbrd'!B22</f>
        <v>305</v>
      </c>
      <c r="Q22" s="54">
        <f t="shared" si="3"/>
        <v>0.017479511719869334</v>
      </c>
      <c r="R22" s="29">
        <f t="shared" si="4"/>
        <v>104</v>
      </c>
      <c r="T22" s="28">
        <f t="shared" si="5"/>
        <v>95</v>
      </c>
      <c r="U22" s="29">
        <f t="shared" si="6"/>
        <v>9</v>
      </c>
    </row>
    <row r="23" spans="1:21" ht="12.75">
      <c r="A23" s="4" t="s">
        <v>27</v>
      </c>
      <c r="B23" s="28">
        <f t="shared" si="0"/>
        <v>354.1742630262156</v>
      </c>
      <c r="C23" s="4"/>
      <c r="D23" s="28"/>
      <c r="E23" s="43"/>
      <c r="F23" s="28">
        <v>186</v>
      </c>
      <c r="H23" s="28">
        <f>SUM(PB!J24)</f>
        <v>755</v>
      </c>
      <c r="I23" s="43">
        <f t="shared" si="7"/>
        <v>0.016425503958813824</v>
      </c>
      <c r="J23" s="28">
        <v>89.17426302621558</v>
      </c>
      <c r="L23" s="156">
        <f>+'FTEs &amp; onbrd'!F23</f>
        <v>72</v>
      </c>
      <c r="M23" s="133">
        <f t="shared" si="1"/>
        <v>0.005955334987593052</v>
      </c>
      <c r="N23" s="156">
        <f t="shared" si="2"/>
        <v>62</v>
      </c>
      <c r="P23" s="28">
        <f>+'FTEs &amp; onbrd'!B23</f>
        <v>51</v>
      </c>
      <c r="Q23" s="54">
        <f t="shared" si="3"/>
        <v>0.002922803599060118</v>
      </c>
      <c r="R23" s="29">
        <f t="shared" si="4"/>
        <v>17</v>
      </c>
      <c r="T23" s="28">
        <f t="shared" si="5"/>
        <v>16</v>
      </c>
      <c r="U23" s="29">
        <f t="shared" si="6"/>
        <v>1</v>
      </c>
    </row>
    <row r="24" spans="1:21" ht="12.75">
      <c r="A24" s="4" t="s">
        <v>28</v>
      </c>
      <c r="B24" s="28">
        <f t="shared" si="0"/>
        <v>635.3241379310346</v>
      </c>
      <c r="C24" s="4"/>
      <c r="D24" s="28"/>
      <c r="E24" s="43"/>
      <c r="F24" s="28">
        <v>382</v>
      </c>
      <c r="H24" s="28">
        <f>SUM(PB!J25)</f>
        <v>951</v>
      </c>
      <c r="I24" s="43">
        <f t="shared" si="7"/>
        <v>0.02068960829779066</v>
      </c>
      <c r="J24" s="28">
        <v>112.32413793103449</v>
      </c>
      <c r="L24" s="156">
        <f>+'FTEs &amp; onbrd'!F24</f>
        <v>120</v>
      </c>
      <c r="M24" s="133">
        <f t="shared" si="1"/>
        <v>0.009925558312655087</v>
      </c>
      <c r="N24" s="156">
        <f t="shared" si="2"/>
        <v>104</v>
      </c>
      <c r="P24" s="28">
        <f>+'FTEs &amp; onbrd'!B24</f>
        <v>109</v>
      </c>
      <c r="Q24" s="54">
        <f t="shared" si="3"/>
        <v>0.00624677631955986</v>
      </c>
      <c r="R24" s="29">
        <f t="shared" si="4"/>
        <v>37</v>
      </c>
      <c r="T24" s="28">
        <f t="shared" si="5"/>
        <v>34</v>
      </c>
      <c r="U24" s="29">
        <f t="shared" si="6"/>
        <v>3</v>
      </c>
    </row>
    <row r="25" spans="1:21" ht="12.75">
      <c r="A25" s="4" t="s">
        <v>29</v>
      </c>
      <c r="B25" s="28">
        <f t="shared" si="0"/>
        <v>229.0398346568041</v>
      </c>
      <c r="C25" s="4"/>
      <c r="D25" s="28"/>
      <c r="E25" s="43"/>
      <c r="F25" s="28">
        <v>96</v>
      </c>
      <c r="H25" s="28">
        <f>SUM(PB!J26)</f>
        <v>339</v>
      </c>
      <c r="I25" s="43">
        <f t="shared" si="7"/>
        <v>0.007375160055679319</v>
      </c>
      <c r="J25" s="28">
        <v>40.03983465680409</v>
      </c>
      <c r="L25" s="156">
        <f>+'FTEs &amp; onbrd'!F25</f>
        <v>77</v>
      </c>
      <c r="M25" s="133">
        <f t="shared" si="1"/>
        <v>0.0063688999172870145</v>
      </c>
      <c r="N25" s="156">
        <f t="shared" si="2"/>
        <v>67</v>
      </c>
      <c r="P25" s="28">
        <f>+'FTEs &amp; onbrd'!B25</f>
        <v>77</v>
      </c>
      <c r="Q25" s="54">
        <f t="shared" si="3"/>
        <v>0.0044128603358358645</v>
      </c>
      <c r="R25" s="29">
        <f t="shared" si="4"/>
        <v>26</v>
      </c>
      <c r="T25" s="28">
        <f t="shared" si="5"/>
        <v>24</v>
      </c>
      <c r="U25" s="29">
        <f t="shared" si="6"/>
        <v>2</v>
      </c>
    </row>
    <row r="26" spans="1:21" ht="12.75">
      <c r="A26" s="4" t="s">
        <v>30</v>
      </c>
      <c r="B26" s="28">
        <f t="shared" si="0"/>
        <v>161.37030349178724</v>
      </c>
      <c r="C26" s="4"/>
      <c r="D26" s="28"/>
      <c r="E26" s="43"/>
      <c r="F26" s="28">
        <v>102</v>
      </c>
      <c r="H26" s="28">
        <f>SUM(PB!J27)</f>
        <v>164</v>
      </c>
      <c r="I26" s="43">
        <f t="shared" si="7"/>
        <v>0.003567924038735718</v>
      </c>
      <c r="J26" s="28">
        <v>19.37030349178723</v>
      </c>
      <c r="L26" s="156">
        <f>+'FTEs &amp; onbrd'!F26</f>
        <v>33</v>
      </c>
      <c r="M26" s="133">
        <f t="shared" si="1"/>
        <v>0.002729528535980149</v>
      </c>
      <c r="N26" s="156">
        <f t="shared" si="2"/>
        <v>29</v>
      </c>
      <c r="P26" s="28">
        <f>+'FTEs &amp; onbrd'!B26</f>
        <v>31</v>
      </c>
      <c r="Q26" s="54">
        <f t="shared" si="3"/>
        <v>0.0017766061092326208</v>
      </c>
      <c r="R26" s="29">
        <f t="shared" si="4"/>
        <v>11</v>
      </c>
      <c r="T26" s="28">
        <f t="shared" si="5"/>
        <v>10</v>
      </c>
      <c r="U26" s="29">
        <f t="shared" si="6"/>
        <v>1</v>
      </c>
    </row>
    <row r="27" spans="1:21" ht="12.75">
      <c r="A27" s="4" t="s">
        <v>31</v>
      </c>
      <c r="B27" s="28">
        <f t="shared" si="0"/>
        <v>196.1658435766344</v>
      </c>
      <c r="C27" s="4"/>
      <c r="D27" s="28"/>
      <c r="E27" s="43"/>
      <c r="F27" s="28">
        <v>81</v>
      </c>
      <c r="H27" s="28">
        <f>SUM(PB!J28)</f>
        <v>357</v>
      </c>
      <c r="I27" s="43">
        <f t="shared" si="7"/>
        <v>0.007766761474564947</v>
      </c>
      <c r="J27" s="28">
        <v>42.165843576634394</v>
      </c>
      <c r="L27" s="156">
        <f>+'FTEs &amp; onbrd'!F27</f>
        <v>62</v>
      </c>
      <c r="M27" s="133">
        <f t="shared" si="1"/>
        <v>0.005128205128205128</v>
      </c>
      <c r="N27" s="156">
        <f t="shared" si="2"/>
        <v>54</v>
      </c>
      <c r="P27" s="28">
        <f>+'FTEs &amp; onbrd'!B27</f>
        <v>55</v>
      </c>
      <c r="Q27" s="54">
        <f t="shared" si="3"/>
        <v>0.0031520430970256173</v>
      </c>
      <c r="R27" s="29">
        <f t="shared" si="4"/>
        <v>19</v>
      </c>
      <c r="T27" s="28">
        <f t="shared" si="5"/>
        <v>17</v>
      </c>
      <c r="U27" s="29">
        <f t="shared" si="6"/>
        <v>2</v>
      </c>
    </row>
    <row r="28" spans="1:21" ht="12.75">
      <c r="A28" s="4" t="s">
        <v>32</v>
      </c>
      <c r="B28" s="28">
        <f t="shared" si="0"/>
        <v>1197.6065267051017</v>
      </c>
      <c r="C28" s="4"/>
      <c r="D28" s="28"/>
      <c r="E28" s="43"/>
      <c r="F28" s="28">
        <v>320</v>
      </c>
      <c r="H28" s="28">
        <f>SUM(PB!J29)</f>
        <v>166</v>
      </c>
      <c r="I28" s="43">
        <f t="shared" si="7"/>
        <v>0.0036114353075007875</v>
      </c>
      <c r="J28" s="28">
        <v>19.606526705101707</v>
      </c>
      <c r="L28" s="156">
        <f>+'FTEs &amp; onbrd'!F28</f>
        <v>727</v>
      </c>
      <c r="M28" s="133">
        <f t="shared" si="1"/>
        <v>0.06013234077750207</v>
      </c>
      <c r="N28" s="156">
        <f t="shared" si="2"/>
        <v>630</v>
      </c>
      <c r="P28" s="28">
        <f>+'FTEs &amp; onbrd'!B28</f>
        <v>671</v>
      </c>
      <c r="Q28" s="54">
        <f t="shared" si="3"/>
        <v>0.03845492578371253</v>
      </c>
      <c r="R28" s="29">
        <f t="shared" si="4"/>
        <v>228</v>
      </c>
      <c r="T28" s="28">
        <f t="shared" si="5"/>
        <v>209</v>
      </c>
      <c r="U28" s="29">
        <f t="shared" si="6"/>
        <v>19</v>
      </c>
    </row>
    <row r="29" spans="1:21" ht="12.75">
      <c r="A29" s="4" t="s">
        <v>33</v>
      </c>
      <c r="B29" s="28">
        <f t="shared" si="0"/>
        <v>0</v>
      </c>
      <c r="C29" s="4"/>
      <c r="D29" s="15"/>
      <c r="E29" s="15"/>
      <c r="F29" s="28">
        <v>0</v>
      </c>
      <c r="H29" s="15"/>
      <c r="I29" s="15"/>
      <c r="J29" s="28"/>
      <c r="L29" s="156">
        <f>+'FTEs &amp; onbrd'!F29</f>
        <v>0</v>
      </c>
      <c r="M29" s="133">
        <f t="shared" si="1"/>
        <v>0</v>
      </c>
      <c r="N29" s="148">
        <f t="shared" si="2"/>
        <v>0</v>
      </c>
      <c r="P29" s="28">
        <f>+'FTEs &amp; onbrd'!B29</f>
        <v>0</v>
      </c>
      <c r="Q29" s="54">
        <f t="shared" si="3"/>
        <v>0</v>
      </c>
      <c r="R29" s="29">
        <f t="shared" si="4"/>
        <v>0</v>
      </c>
      <c r="T29" s="28">
        <f t="shared" si="5"/>
        <v>0</v>
      </c>
      <c r="U29" s="29">
        <f t="shared" si="6"/>
        <v>0</v>
      </c>
    </row>
    <row r="30" spans="1:21" ht="12.75">
      <c r="A30" s="4" t="s">
        <v>6</v>
      </c>
      <c r="B30" s="28">
        <f t="shared" si="0"/>
        <v>215</v>
      </c>
      <c r="C30" s="4"/>
      <c r="D30" s="15"/>
      <c r="E30" s="15"/>
      <c r="F30" s="28">
        <v>0</v>
      </c>
      <c r="H30" s="15"/>
      <c r="I30" s="15"/>
      <c r="J30" s="28"/>
      <c r="L30" s="156"/>
      <c r="M30" s="133">
        <f t="shared" si="1"/>
        <v>0</v>
      </c>
      <c r="N30" s="156">
        <f t="shared" si="2"/>
        <v>0</v>
      </c>
      <c r="P30" s="28">
        <f>+'FTEs &amp; onbrd'!B30</f>
        <v>634</v>
      </c>
      <c r="Q30" s="54">
        <f t="shared" si="3"/>
        <v>0.03633446042753166</v>
      </c>
      <c r="R30" s="29">
        <f t="shared" si="4"/>
        <v>215</v>
      </c>
      <c r="T30" s="28">
        <f t="shared" si="5"/>
        <v>197</v>
      </c>
      <c r="U30" s="29">
        <f t="shared" si="6"/>
        <v>18</v>
      </c>
    </row>
    <row r="31" spans="1:21" ht="12.75">
      <c r="A31" s="4" t="s">
        <v>45</v>
      </c>
      <c r="B31" s="28">
        <f t="shared" si="0"/>
        <v>368</v>
      </c>
      <c r="C31" s="4"/>
      <c r="D31" s="15"/>
      <c r="E31" s="15"/>
      <c r="F31" s="28">
        <v>0</v>
      </c>
      <c r="H31" s="15"/>
      <c r="I31" s="15"/>
      <c r="J31" s="28"/>
      <c r="L31" s="156"/>
      <c r="M31" s="15"/>
      <c r="N31" s="148"/>
      <c r="P31" s="28">
        <f>+'FTEs &amp; onbrd'!B31</f>
        <v>1084</v>
      </c>
      <c r="Q31" s="54">
        <f t="shared" si="3"/>
        <v>0.062123903948650354</v>
      </c>
      <c r="R31" s="29">
        <f t="shared" si="4"/>
        <v>368</v>
      </c>
      <c r="T31" s="28">
        <f t="shared" si="5"/>
        <v>338</v>
      </c>
      <c r="U31" s="29">
        <f t="shared" si="6"/>
        <v>30</v>
      </c>
    </row>
    <row r="32" spans="1:21" ht="12.75">
      <c r="A32" s="4" t="s">
        <v>34</v>
      </c>
      <c r="B32" s="28">
        <f t="shared" si="0"/>
        <v>639</v>
      </c>
      <c r="C32" s="4"/>
      <c r="D32" s="15"/>
      <c r="E32" s="15"/>
      <c r="F32" s="28">
        <v>0</v>
      </c>
      <c r="H32" s="15"/>
      <c r="I32" s="15"/>
      <c r="J32" s="28"/>
      <c r="L32" s="156"/>
      <c r="M32" s="15"/>
      <c r="N32" s="15"/>
      <c r="P32" s="28">
        <f>+'FTEs &amp; onbrd'!B32</f>
        <v>1883</v>
      </c>
      <c r="Q32" s="54">
        <f t="shared" si="3"/>
        <v>0.10791449366725887</v>
      </c>
      <c r="R32" s="29">
        <f t="shared" si="4"/>
        <v>639</v>
      </c>
      <c r="T32" s="28">
        <f t="shared" si="5"/>
        <v>586</v>
      </c>
      <c r="U32" s="29">
        <f t="shared" si="6"/>
        <v>53</v>
      </c>
    </row>
    <row r="33" spans="1:21" ht="12.75">
      <c r="A33" s="4" t="s">
        <v>3</v>
      </c>
      <c r="B33" s="28">
        <f t="shared" si="0"/>
        <v>102</v>
      </c>
      <c r="C33" s="4"/>
      <c r="D33" s="15"/>
      <c r="E33" s="15"/>
      <c r="F33" s="28">
        <v>0</v>
      </c>
      <c r="H33" s="15"/>
      <c r="I33" s="15"/>
      <c r="J33" s="28"/>
      <c r="L33" s="156"/>
      <c r="M33" s="15"/>
      <c r="N33" s="15"/>
      <c r="P33" s="28">
        <f>+'FTEs &amp; onbrd'!B33</f>
        <v>301</v>
      </c>
      <c r="Q33" s="54">
        <f t="shared" si="3"/>
        <v>0.017250272221903833</v>
      </c>
      <c r="R33" s="29">
        <f t="shared" si="4"/>
        <v>102</v>
      </c>
      <c r="T33" s="28">
        <f t="shared" si="5"/>
        <v>94</v>
      </c>
      <c r="U33" s="29">
        <f t="shared" si="6"/>
        <v>8</v>
      </c>
    </row>
    <row r="34" spans="1:21" ht="12.75">
      <c r="A34" s="4" t="s">
        <v>4</v>
      </c>
      <c r="B34" s="28">
        <f t="shared" si="0"/>
        <v>119</v>
      </c>
      <c r="C34" s="4"/>
      <c r="D34" s="15"/>
      <c r="E34" s="15"/>
      <c r="F34" s="28">
        <v>0</v>
      </c>
      <c r="H34" s="15"/>
      <c r="I34" s="15"/>
      <c r="J34" s="28"/>
      <c r="L34" s="156"/>
      <c r="M34" s="15"/>
      <c r="N34" s="15"/>
      <c r="P34" s="28">
        <f>+'FTEs &amp; onbrd'!B34</f>
        <v>350</v>
      </c>
      <c r="Q34" s="54">
        <f t="shared" si="3"/>
        <v>0.0200584560719812</v>
      </c>
      <c r="R34" s="29">
        <f t="shared" si="4"/>
        <v>119</v>
      </c>
      <c r="T34" s="28">
        <f t="shared" si="5"/>
        <v>109</v>
      </c>
      <c r="U34" s="29">
        <f t="shared" si="6"/>
        <v>10</v>
      </c>
    </row>
    <row r="35" spans="1:21" ht="12.75">
      <c r="A35" s="4" t="s">
        <v>7</v>
      </c>
      <c r="B35" s="28">
        <f t="shared" si="0"/>
        <v>215</v>
      </c>
      <c r="C35" s="84"/>
      <c r="D35" s="15"/>
      <c r="E35" s="15"/>
      <c r="F35" s="28">
        <v>0</v>
      </c>
      <c r="H35" s="15"/>
      <c r="I35" s="15"/>
      <c r="J35" s="28"/>
      <c r="L35" s="156"/>
      <c r="M35" s="148"/>
      <c r="N35" s="46"/>
      <c r="P35" s="28">
        <f>+'FTEs &amp; onbrd'!B35</f>
        <v>633</v>
      </c>
      <c r="Q35" s="54">
        <f t="shared" si="3"/>
        <v>0.03627715055304029</v>
      </c>
      <c r="R35" s="29">
        <f t="shared" si="4"/>
        <v>215</v>
      </c>
      <c r="T35" s="28">
        <f t="shared" si="5"/>
        <v>197</v>
      </c>
      <c r="U35" s="29">
        <f t="shared" si="6"/>
        <v>18</v>
      </c>
    </row>
    <row r="36" spans="1:21" ht="12.75">
      <c r="A36" s="4" t="s">
        <v>106</v>
      </c>
      <c r="B36" s="28">
        <f t="shared" si="0"/>
        <v>174</v>
      </c>
      <c r="C36" s="84"/>
      <c r="D36" s="15"/>
      <c r="E36" s="15"/>
      <c r="F36" s="28">
        <v>0</v>
      </c>
      <c r="H36" s="15"/>
      <c r="I36" s="15"/>
      <c r="J36" s="28"/>
      <c r="L36" s="156"/>
      <c r="M36" s="148"/>
      <c r="N36" s="46"/>
      <c r="P36" s="28">
        <f>+'FTEs &amp; onbrd'!B36</f>
        <v>514</v>
      </c>
      <c r="Q36" s="54">
        <f t="shared" si="3"/>
        <v>0.02945727548856668</v>
      </c>
      <c r="R36" s="29">
        <f t="shared" si="4"/>
        <v>174</v>
      </c>
      <c r="T36" s="28">
        <f t="shared" si="5"/>
        <v>160</v>
      </c>
      <c r="U36" s="29">
        <f t="shared" si="6"/>
        <v>14</v>
      </c>
    </row>
    <row r="37" spans="1:21" ht="12.75">
      <c r="A37" s="4" t="s">
        <v>93</v>
      </c>
      <c r="B37" s="28">
        <f t="shared" si="0"/>
        <v>118</v>
      </c>
      <c r="D37" s="16"/>
      <c r="E37" s="15"/>
      <c r="F37" s="92">
        <v>0</v>
      </c>
      <c r="H37" s="16"/>
      <c r="I37" s="15"/>
      <c r="J37" s="16"/>
      <c r="L37" s="218">
        <v>0</v>
      </c>
      <c r="M37" s="133"/>
      <c r="N37" s="40"/>
      <c r="P37" s="28">
        <f>+'FTEs &amp; onbrd'!B37</f>
        <v>346</v>
      </c>
      <c r="Q37" s="54">
        <f t="shared" si="3"/>
        <v>0.019829216574015703</v>
      </c>
      <c r="R37" s="33">
        <f t="shared" si="4"/>
        <v>118</v>
      </c>
      <c r="T37" s="33">
        <f t="shared" si="5"/>
        <v>108</v>
      </c>
      <c r="U37" s="34">
        <f t="shared" si="6"/>
        <v>10</v>
      </c>
    </row>
    <row r="38" spans="1:21" ht="12.75">
      <c r="A38" s="18" t="s">
        <v>35</v>
      </c>
      <c r="B38" s="50">
        <f>SUM(B5:B37)</f>
        <v>37690.99999999999</v>
      </c>
      <c r="D38" s="40">
        <f>SUM(D5:D37)</f>
        <v>0</v>
      </c>
      <c r="E38" s="132"/>
      <c r="F38" s="57">
        <f>SUM(F5:F37)</f>
        <v>15863</v>
      </c>
      <c r="H38" s="40">
        <f>SUM(H5:H37)</f>
        <v>45965.104138851806</v>
      </c>
      <c r="I38" s="197">
        <f>SUM(I5:I37)</f>
        <v>0.9999999999999997</v>
      </c>
      <c r="J38" s="57">
        <f>SUM(J5:J37)</f>
        <v>5429</v>
      </c>
      <c r="L38" s="218">
        <f>SUM(L5:L37)</f>
        <v>12090</v>
      </c>
      <c r="M38" s="245">
        <f>SUM(M5:M37)</f>
        <v>1</v>
      </c>
      <c r="N38" s="219">
        <f>SUM(N5:N37)</f>
        <v>10478</v>
      </c>
      <c r="P38" s="265">
        <f>SUM(P5:P37)</f>
        <v>17449</v>
      </c>
      <c r="Q38" s="199">
        <f>SUM(Q5:Q37)</f>
        <v>0.9999999999999999</v>
      </c>
      <c r="R38" s="50">
        <f>SUM(R5:R37)</f>
        <v>5921</v>
      </c>
      <c r="T38" s="50">
        <f>SUM(T5:T37)</f>
        <v>5434</v>
      </c>
      <c r="U38" s="50">
        <f>SUM(U5:U37)</f>
        <v>487</v>
      </c>
    </row>
    <row r="39" spans="1:21" ht="12.75">
      <c r="A39" s="96" t="s">
        <v>301</v>
      </c>
      <c r="C39" s="143"/>
      <c r="D39" s="96" t="s">
        <v>117</v>
      </c>
      <c r="G39" s="143"/>
      <c r="H39" s="96" t="s">
        <v>116</v>
      </c>
      <c r="K39" s="143"/>
      <c r="L39" s="96" t="s">
        <v>67</v>
      </c>
      <c r="O39" s="143"/>
      <c r="P39" s="96" t="s">
        <v>226</v>
      </c>
      <c r="T39" s="53"/>
      <c r="U39" s="53"/>
    </row>
    <row r="40" spans="1:4" ht="12.75">
      <c r="A40" s="96" t="s">
        <v>302</v>
      </c>
      <c r="C40" s="143"/>
      <c r="D40" s="96" t="s">
        <v>264</v>
      </c>
    </row>
    <row r="42" ht="12.75">
      <c r="A42" s="96"/>
    </row>
    <row r="43" spans="6:21" ht="12.75">
      <c r="F43" s="124">
        <v>15863</v>
      </c>
      <c r="J43" s="124">
        <v>5429</v>
      </c>
      <c r="N43" s="124">
        <v>10478</v>
      </c>
      <c r="T43" s="124">
        <v>5434</v>
      </c>
      <c r="U43" s="70">
        <v>487</v>
      </c>
    </row>
  </sheetData>
  <mergeCells count="4">
    <mergeCell ref="P3:R3"/>
    <mergeCell ref="D3:F3"/>
    <mergeCell ref="H3:J3"/>
    <mergeCell ref="L3:N3"/>
  </mergeCells>
  <printOptions/>
  <pageMargins left="0.75" right="0.75" top="0.54" bottom="0.59" header="0.5" footer="0.5"/>
  <pageSetup fitToHeight="1" fitToWidth="1" horizontalDpi="600" verticalDpi="600" orientation="landscape" scale="73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N49"/>
  <sheetViews>
    <sheetView zoomScale="90" zoomScaleNormal="90" workbookViewId="0" topLeftCell="A1">
      <selection activeCell="O42" sqref="O42"/>
    </sheetView>
  </sheetViews>
  <sheetFormatPr defaultColWidth="9.140625" defaultRowHeight="12.75"/>
  <cols>
    <col min="2" max="2" width="2.00390625" style="0" customWidth="1"/>
    <col min="3" max="4" width="9.28125" style="0" bestFit="1" customWidth="1"/>
    <col min="8" max="8" width="9.28125" style="0" bestFit="1" customWidth="1"/>
    <col min="9" max="9" width="10.00390625" style="0" customWidth="1"/>
    <col min="10" max="10" width="10.28125" style="0" customWidth="1"/>
    <col min="11" max="11" width="5.140625" style="0" customWidth="1"/>
    <col min="12" max="13" width="0" style="0" hidden="1" customWidth="1"/>
  </cols>
  <sheetData>
    <row r="1" spans="1:10" ht="12.75">
      <c r="A1" s="370" t="s">
        <v>186</v>
      </c>
      <c r="B1" s="370"/>
      <c r="C1" s="370"/>
      <c r="D1" s="370"/>
      <c r="E1" s="370"/>
      <c r="F1" s="370"/>
      <c r="G1" s="370"/>
      <c r="H1" s="370"/>
      <c r="I1" s="370"/>
      <c r="J1" s="370"/>
    </row>
    <row r="2" ht="12.75">
      <c r="L2" t="s">
        <v>187</v>
      </c>
    </row>
    <row r="3" spans="4:13" ht="12.75">
      <c r="D3" s="36"/>
      <c r="E3" s="36"/>
      <c r="F3" s="36" t="s">
        <v>43</v>
      </c>
      <c r="G3" s="36"/>
      <c r="H3" s="36"/>
      <c r="I3" s="36" t="s">
        <v>74</v>
      </c>
      <c r="J3" s="36" t="s">
        <v>78</v>
      </c>
      <c r="L3" s="86" t="str">
        <f>+J3</f>
        <v>% of Total</v>
      </c>
      <c r="M3" t="s">
        <v>189</v>
      </c>
    </row>
    <row r="4" spans="3:13" ht="12.75">
      <c r="C4" s="14" t="s">
        <v>40</v>
      </c>
      <c r="D4" s="23" t="s">
        <v>41</v>
      </c>
      <c r="E4" s="23" t="s">
        <v>82</v>
      </c>
      <c r="F4" s="23" t="s">
        <v>44</v>
      </c>
      <c r="G4" s="23" t="s">
        <v>145</v>
      </c>
      <c r="H4" s="23" t="s">
        <v>35</v>
      </c>
      <c r="I4" s="23" t="s">
        <v>77</v>
      </c>
      <c r="J4" s="67" t="s">
        <v>79</v>
      </c>
      <c r="L4" t="str">
        <f>+J4</f>
        <v>w/o CS</v>
      </c>
      <c r="M4" s="86" t="s">
        <v>188</v>
      </c>
    </row>
    <row r="5" spans="1:13" ht="12.75">
      <c r="A5" t="s">
        <v>0</v>
      </c>
      <c r="C5" s="208">
        <v>3338</v>
      </c>
      <c r="D5" s="208">
        <v>1146</v>
      </c>
      <c r="E5" s="209">
        <v>62</v>
      </c>
      <c r="F5" s="209">
        <v>771</v>
      </c>
      <c r="G5" s="209">
        <v>-98</v>
      </c>
      <c r="H5" s="30">
        <f>SUM(C5:G5)</f>
        <v>5219</v>
      </c>
      <c r="I5" s="52">
        <f aca="true" t="shared" si="0" ref="I5:I30">SUM(H5/$H$43,0)</f>
        <v>0.1678296941827186</v>
      </c>
      <c r="J5" s="52">
        <f aca="true" t="shared" si="1" ref="J5:J30">SUM(H5/$H$31)</f>
        <v>0.21561660813881428</v>
      </c>
      <c r="K5" s="66"/>
      <c r="L5" s="61">
        <v>0.21730977581465122</v>
      </c>
      <c r="M5" s="169">
        <f aca="true" t="shared" si="2" ref="M5:M30">+L5-J5</f>
        <v>0.0016931676758369374</v>
      </c>
    </row>
    <row r="6" spans="1:13" ht="12.75">
      <c r="A6" t="s">
        <v>10</v>
      </c>
      <c r="C6" s="208">
        <v>830</v>
      </c>
      <c r="D6" s="208">
        <v>505</v>
      </c>
      <c r="E6" s="209"/>
      <c r="F6" s="209"/>
      <c r="G6" s="209">
        <v>-48</v>
      </c>
      <c r="H6" s="30">
        <f aca="true" t="shared" si="3" ref="H6:H30">SUM(C6:G6)</f>
        <v>1287</v>
      </c>
      <c r="I6" s="52">
        <f t="shared" si="0"/>
        <v>0.04138662893526707</v>
      </c>
      <c r="J6" s="52">
        <f t="shared" si="1"/>
        <v>0.053170832472629624</v>
      </c>
      <c r="L6" s="61">
        <v>0.05275439619968331</v>
      </c>
      <c r="M6" s="169">
        <f t="shared" si="2"/>
        <v>-0.0004164362729463175</v>
      </c>
    </row>
    <row r="7" spans="1:13" ht="12.75">
      <c r="A7" t="s">
        <v>11</v>
      </c>
      <c r="C7" s="208">
        <v>397</v>
      </c>
      <c r="D7" s="208">
        <v>160</v>
      </c>
      <c r="E7" s="209"/>
      <c r="F7" s="209"/>
      <c r="G7" s="209">
        <v>-12</v>
      </c>
      <c r="H7" s="30">
        <f t="shared" si="3"/>
        <v>545</v>
      </c>
      <c r="I7" s="52">
        <f t="shared" si="0"/>
        <v>0.017525806347879216</v>
      </c>
      <c r="J7" s="52">
        <f t="shared" si="1"/>
        <v>0.022516009089031192</v>
      </c>
      <c r="L7" s="61">
        <v>0.021335111259271605</v>
      </c>
      <c r="M7" s="169">
        <f t="shared" si="2"/>
        <v>-0.0011808978297595876</v>
      </c>
    </row>
    <row r="8" spans="1:13" ht="12.75">
      <c r="A8" t="s">
        <v>12</v>
      </c>
      <c r="C8" s="208">
        <v>846</v>
      </c>
      <c r="D8" s="208">
        <v>348</v>
      </c>
      <c r="E8" s="209"/>
      <c r="F8" s="209"/>
      <c r="G8" s="209">
        <v>-35</v>
      </c>
      <c r="H8" s="30">
        <f t="shared" si="3"/>
        <v>1159</v>
      </c>
      <c r="I8" s="52">
        <f t="shared" si="0"/>
        <v>0.03727047625172846</v>
      </c>
      <c r="J8" s="52">
        <f t="shared" si="1"/>
        <v>0.04788266887006817</v>
      </c>
      <c r="L8" s="61">
        <v>0.048379031585965494</v>
      </c>
      <c r="M8" s="169">
        <f t="shared" si="2"/>
        <v>0.0004963627158973277</v>
      </c>
    </row>
    <row r="9" spans="1:13" ht="12.75">
      <c r="A9" t="s">
        <v>13</v>
      </c>
      <c r="C9" s="208">
        <v>851</v>
      </c>
      <c r="D9" s="208">
        <v>266</v>
      </c>
      <c r="E9" s="209"/>
      <c r="F9" s="209"/>
      <c r="G9" s="209">
        <v>-26</v>
      </c>
      <c r="H9" s="30">
        <f t="shared" si="3"/>
        <v>1091</v>
      </c>
      <c r="I9" s="52">
        <f t="shared" si="0"/>
        <v>0.03508377013859858</v>
      </c>
      <c r="J9" s="52">
        <f t="shared" si="1"/>
        <v>0.04507333195620739</v>
      </c>
      <c r="L9" s="61">
        <v>0.04571214267855655</v>
      </c>
      <c r="M9" s="169">
        <f t="shared" si="2"/>
        <v>0.0006388107223491563</v>
      </c>
    </row>
    <row r="10" spans="1:13" ht="12.75">
      <c r="A10" t="s">
        <v>14</v>
      </c>
      <c r="C10" s="208">
        <v>1957</v>
      </c>
      <c r="D10" s="208">
        <v>1522</v>
      </c>
      <c r="E10" s="209"/>
      <c r="F10" s="209"/>
      <c r="G10" s="209">
        <v>-72</v>
      </c>
      <c r="H10" s="30">
        <f t="shared" si="3"/>
        <v>3407</v>
      </c>
      <c r="I10" s="52">
        <f t="shared" si="0"/>
        <v>0.10956040775637521</v>
      </c>
      <c r="J10" s="52">
        <f t="shared" si="1"/>
        <v>0.14075604214005372</v>
      </c>
      <c r="L10" s="61">
        <v>0.13513626135511292</v>
      </c>
      <c r="M10" s="169">
        <f t="shared" si="2"/>
        <v>-0.005619780784940798</v>
      </c>
    </row>
    <row r="11" spans="1:13" ht="12.75">
      <c r="A11" t="s">
        <v>15</v>
      </c>
      <c r="C11" s="208">
        <v>18</v>
      </c>
      <c r="D11" s="208">
        <v>218</v>
      </c>
      <c r="E11" s="209"/>
      <c r="F11" s="209"/>
      <c r="G11" s="209">
        <v>-26</v>
      </c>
      <c r="H11" s="30">
        <f t="shared" si="3"/>
        <v>210</v>
      </c>
      <c r="I11" s="52">
        <f t="shared" si="0"/>
        <v>0.006753062996430524</v>
      </c>
      <c r="J11" s="52">
        <f t="shared" si="1"/>
        <v>0.008675893410452386</v>
      </c>
      <c r="L11" s="61">
        <v>0.008250687557296441</v>
      </c>
      <c r="M11" s="169">
        <f t="shared" si="2"/>
        <v>-0.0004252058531559449</v>
      </c>
    </row>
    <row r="12" spans="1:13" ht="12.75">
      <c r="A12" t="s">
        <v>16</v>
      </c>
      <c r="C12" s="208">
        <v>1083</v>
      </c>
      <c r="D12" s="208">
        <v>259</v>
      </c>
      <c r="E12" s="209"/>
      <c r="F12" s="209"/>
      <c r="G12" s="209">
        <v>-33</v>
      </c>
      <c r="H12" s="30">
        <f t="shared" si="3"/>
        <v>1309</v>
      </c>
      <c r="I12" s="52">
        <f t="shared" si="0"/>
        <v>0.042094092677750265</v>
      </c>
      <c r="J12" s="52">
        <f t="shared" si="1"/>
        <v>0.054079735591819875</v>
      </c>
      <c r="L12" s="61">
        <v>0.05637969830819235</v>
      </c>
      <c r="M12" s="169">
        <f t="shared" si="2"/>
        <v>0.002299962716372478</v>
      </c>
    </row>
    <row r="13" spans="1:13" ht="12.75">
      <c r="A13" t="s">
        <v>17</v>
      </c>
      <c r="C13" s="208">
        <v>401</v>
      </c>
      <c r="D13" s="208">
        <v>114</v>
      </c>
      <c r="E13" s="209"/>
      <c r="F13" s="209"/>
      <c r="G13" s="209">
        <v>-8</v>
      </c>
      <c r="H13" s="30">
        <f t="shared" si="3"/>
        <v>507</v>
      </c>
      <c r="I13" s="52">
        <f t="shared" si="0"/>
        <v>0.016303823519953693</v>
      </c>
      <c r="J13" s="52">
        <f t="shared" si="1"/>
        <v>0.02094608551952076</v>
      </c>
      <c r="L13" s="61">
        <v>0.02121010084173681</v>
      </c>
      <c r="M13" s="169">
        <f t="shared" si="2"/>
        <v>0.00026401532221605184</v>
      </c>
    </row>
    <row r="14" spans="1:13" ht="12.75">
      <c r="A14" t="s">
        <v>18</v>
      </c>
      <c r="C14" s="208">
        <v>1327</v>
      </c>
      <c r="D14" s="208">
        <v>107</v>
      </c>
      <c r="E14" s="209">
        <v>11</v>
      </c>
      <c r="F14" s="209"/>
      <c r="G14" s="209">
        <v>-12</v>
      </c>
      <c r="H14" s="30">
        <f t="shared" si="3"/>
        <v>1433</v>
      </c>
      <c r="I14" s="52">
        <f t="shared" si="0"/>
        <v>0.046081615589928286</v>
      </c>
      <c r="J14" s="52">
        <f t="shared" si="1"/>
        <v>0.05920264408180128</v>
      </c>
      <c r="L14" s="61">
        <v>0.06042170180848404</v>
      </c>
      <c r="M14" s="169">
        <f t="shared" si="2"/>
        <v>0.0012190577266827582</v>
      </c>
    </row>
    <row r="15" spans="1:13" ht="12.75">
      <c r="A15" t="s">
        <v>19</v>
      </c>
      <c r="C15" s="208">
        <v>783</v>
      </c>
      <c r="D15" s="208">
        <v>196</v>
      </c>
      <c r="E15" s="209"/>
      <c r="F15" s="209"/>
      <c r="G15" s="209">
        <v>-24</v>
      </c>
      <c r="H15" s="30">
        <f t="shared" si="3"/>
        <v>955</v>
      </c>
      <c r="I15" s="52">
        <f t="shared" si="0"/>
        <v>0.03071035791233881</v>
      </c>
      <c r="J15" s="52">
        <f t="shared" si="1"/>
        <v>0.03945465812848585</v>
      </c>
      <c r="L15" s="61">
        <v>0.04004500375031252</v>
      </c>
      <c r="M15" s="169">
        <f t="shared" si="2"/>
        <v>0.0005903456218266726</v>
      </c>
    </row>
    <row r="16" spans="1:13" ht="12.75">
      <c r="A16" t="s">
        <v>20</v>
      </c>
      <c r="C16" s="208">
        <v>283</v>
      </c>
      <c r="D16" s="208">
        <v>150</v>
      </c>
      <c r="E16" s="209"/>
      <c r="F16" s="209"/>
      <c r="G16" s="209">
        <v>-12</v>
      </c>
      <c r="H16" s="30">
        <f t="shared" si="3"/>
        <v>421</v>
      </c>
      <c r="I16" s="52">
        <f t="shared" si="0"/>
        <v>0.013538283435701194</v>
      </c>
      <c r="J16" s="52">
        <f t="shared" si="1"/>
        <v>0.017393100599049784</v>
      </c>
      <c r="L16" s="61">
        <v>0.017709809150762562</v>
      </c>
      <c r="M16" s="169">
        <f t="shared" si="2"/>
        <v>0.0003167085517127785</v>
      </c>
    </row>
    <row r="17" spans="1:13" ht="12.75">
      <c r="A17" t="s">
        <v>21</v>
      </c>
      <c r="C17" s="208">
        <v>178</v>
      </c>
      <c r="D17" s="208">
        <v>111</v>
      </c>
      <c r="E17" s="209"/>
      <c r="F17" s="209"/>
      <c r="G17" s="209">
        <v>-7</v>
      </c>
      <c r="H17" s="30">
        <f t="shared" si="3"/>
        <v>282</v>
      </c>
      <c r="I17" s="52">
        <f t="shared" si="0"/>
        <v>0.009068398880920989</v>
      </c>
      <c r="J17" s="52">
        <f t="shared" si="1"/>
        <v>0.011650485436893204</v>
      </c>
      <c r="L17" s="61">
        <v>0.011750979248270689</v>
      </c>
      <c r="M17" s="169">
        <f t="shared" si="2"/>
        <v>0.00010049381137748441</v>
      </c>
    </row>
    <row r="18" spans="1:13" ht="12.75">
      <c r="A18" t="s">
        <v>22</v>
      </c>
      <c r="C18" s="208">
        <v>952</v>
      </c>
      <c r="D18" s="208">
        <v>387</v>
      </c>
      <c r="E18" s="209"/>
      <c r="F18" s="209"/>
      <c r="G18" s="209">
        <v>-30</v>
      </c>
      <c r="H18" s="30">
        <f t="shared" si="3"/>
        <v>1309</v>
      </c>
      <c r="I18" s="52">
        <f t="shared" si="0"/>
        <v>0.042094092677750265</v>
      </c>
      <c r="J18" s="52">
        <f t="shared" si="1"/>
        <v>0.054079735591819875</v>
      </c>
      <c r="L18" s="61">
        <v>0.05408784065338778</v>
      </c>
      <c r="M18" s="169">
        <f t="shared" si="2"/>
        <v>8.105061567904859E-06</v>
      </c>
    </row>
    <row r="19" spans="1:13" ht="12.75">
      <c r="A19" t="s">
        <v>23</v>
      </c>
      <c r="C19" s="208">
        <v>446</v>
      </c>
      <c r="D19" s="208">
        <v>364</v>
      </c>
      <c r="E19" s="209"/>
      <c r="F19" s="209"/>
      <c r="G19" s="209">
        <v>-25</v>
      </c>
      <c r="H19" s="30">
        <f t="shared" si="3"/>
        <v>785</v>
      </c>
      <c r="I19" s="52">
        <f t="shared" si="0"/>
        <v>0.025243592629514103</v>
      </c>
      <c r="J19" s="52">
        <f t="shared" si="1"/>
        <v>0.03243131584383392</v>
      </c>
      <c r="L19" s="61">
        <v>0.03354446203850321</v>
      </c>
      <c r="M19" s="169">
        <f t="shared" si="2"/>
        <v>0.00111314619466929</v>
      </c>
    </row>
    <row r="20" spans="1:13" ht="12.75">
      <c r="A20" t="s">
        <v>24</v>
      </c>
      <c r="C20" s="208">
        <v>226</v>
      </c>
      <c r="D20" s="208">
        <v>127</v>
      </c>
      <c r="E20" s="209"/>
      <c r="F20" s="209"/>
      <c r="G20" s="209">
        <v>-14</v>
      </c>
      <c r="H20" s="30">
        <f t="shared" si="3"/>
        <v>339</v>
      </c>
      <c r="I20" s="52">
        <f t="shared" si="0"/>
        <v>0.010901373122809274</v>
      </c>
      <c r="J20" s="52">
        <f t="shared" si="1"/>
        <v>0.014005370791158852</v>
      </c>
      <c r="L20" s="61">
        <v>0.013792816068005666</v>
      </c>
      <c r="M20" s="169">
        <f t="shared" si="2"/>
        <v>-0.00021255472315318512</v>
      </c>
    </row>
    <row r="21" spans="1:13" ht="12.75">
      <c r="A21" t="s">
        <v>25</v>
      </c>
      <c r="C21" s="208">
        <v>17</v>
      </c>
      <c r="D21" s="208">
        <v>56</v>
      </c>
      <c r="E21" s="209"/>
      <c r="F21" s="209"/>
      <c r="G21" s="209">
        <v>-7</v>
      </c>
      <c r="H21" s="30">
        <f t="shared" si="3"/>
        <v>66</v>
      </c>
      <c r="I21" s="52">
        <f t="shared" si="0"/>
        <v>0.0021223912274495934</v>
      </c>
      <c r="J21" s="52">
        <f t="shared" si="1"/>
        <v>0.00272670935757075</v>
      </c>
      <c r="L21" s="61">
        <v>0.0030002500208350697</v>
      </c>
      <c r="M21" s="169">
        <f t="shared" si="2"/>
        <v>0.00027354066326431984</v>
      </c>
    </row>
    <row r="22" spans="1:13" ht="12.75">
      <c r="A22" t="s">
        <v>26</v>
      </c>
      <c r="C22" s="208">
        <v>473</v>
      </c>
      <c r="D22" s="208">
        <v>140</v>
      </c>
      <c r="E22" s="209"/>
      <c r="F22" s="209"/>
      <c r="G22" s="209">
        <v>-9</v>
      </c>
      <c r="H22" s="30">
        <f t="shared" si="3"/>
        <v>604</v>
      </c>
      <c r="I22" s="52">
        <f t="shared" si="0"/>
        <v>0.019423095475447794</v>
      </c>
      <c r="J22" s="52">
        <f t="shared" si="1"/>
        <v>0.02495352199958686</v>
      </c>
      <c r="L22" s="61">
        <v>0.024585382115176264</v>
      </c>
      <c r="M22" s="169">
        <f t="shared" si="2"/>
        <v>-0.0003681398844105968</v>
      </c>
    </row>
    <row r="23" spans="1:13" ht="12.75">
      <c r="A23" t="s">
        <v>27</v>
      </c>
      <c r="C23" s="209"/>
      <c r="D23" s="208">
        <v>96</v>
      </c>
      <c r="E23" s="209"/>
      <c r="F23" s="209"/>
      <c r="G23" s="209">
        <v>-11</v>
      </c>
      <c r="H23" s="30">
        <f t="shared" si="3"/>
        <v>85</v>
      </c>
      <c r="I23" s="52">
        <f t="shared" si="0"/>
        <v>0.002733382641412355</v>
      </c>
      <c r="J23" s="52">
        <f t="shared" si="1"/>
        <v>0.0035116711423259657</v>
      </c>
      <c r="L23" s="61">
        <v>0.003791982665222102</v>
      </c>
      <c r="M23" s="169">
        <f t="shared" si="2"/>
        <v>0.0002803115228961362</v>
      </c>
    </row>
    <row r="24" spans="1:13" ht="12.75">
      <c r="A24" t="s">
        <v>28</v>
      </c>
      <c r="C24" s="209"/>
      <c r="D24" s="208">
        <v>166</v>
      </c>
      <c r="E24" s="209"/>
      <c r="F24" s="209"/>
      <c r="G24" s="209">
        <v>-16</v>
      </c>
      <c r="H24" s="30">
        <f t="shared" si="3"/>
        <v>150</v>
      </c>
      <c r="I24" s="52">
        <f t="shared" si="0"/>
        <v>0.004823616426021803</v>
      </c>
      <c r="J24" s="52">
        <f t="shared" si="1"/>
        <v>0.006197066721751705</v>
      </c>
      <c r="L24" s="61">
        <v>0.005167097258104842</v>
      </c>
      <c r="M24" s="169">
        <f t="shared" si="2"/>
        <v>-0.0010299694636468626</v>
      </c>
    </row>
    <row r="25" spans="1:13" ht="12.75">
      <c r="A25" t="s">
        <v>29</v>
      </c>
      <c r="C25" s="209">
        <v>35</v>
      </c>
      <c r="D25" s="208">
        <v>97</v>
      </c>
      <c r="E25" s="209"/>
      <c r="F25" s="209"/>
      <c r="G25" s="209">
        <v>-8</v>
      </c>
      <c r="H25" s="30">
        <f t="shared" si="3"/>
        <v>124</v>
      </c>
      <c r="I25" s="52">
        <f t="shared" si="0"/>
        <v>0.0039875229121780235</v>
      </c>
      <c r="J25" s="52">
        <f t="shared" si="1"/>
        <v>0.0051229084899814085</v>
      </c>
      <c r="L25" s="61">
        <v>0.005167097258104842</v>
      </c>
      <c r="M25" s="169">
        <f t="shared" si="2"/>
        <v>4.4188768123433475E-05</v>
      </c>
    </row>
    <row r="26" spans="1:13" ht="12.75">
      <c r="A26" t="s">
        <v>30</v>
      </c>
      <c r="C26" s="209"/>
      <c r="D26" s="208">
        <v>46</v>
      </c>
      <c r="E26" s="209"/>
      <c r="F26" s="209"/>
      <c r="G26" s="209">
        <v>-5</v>
      </c>
      <c r="H26" s="30">
        <f t="shared" si="3"/>
        <v>41</v>
      </c>
      <c r="I26" s="52">
        <f t="shared" si="0"/>
        <v>0.0013184551564459593</v>
      </c>
      <c r="J26" s="52">
        <f t="shared" si="1"/>
        <v>0.0016938649039454658</v>
      </c>
      <c r="L26" s="61">
        <v>0.0016251354279523294</v>
      </c>
      <c r="M26" s="169">
        <f t="shared" si="2"/>
        <v>-6.872947599313641E-05</v>
      </c>
    </row>
    <row r="27" spans="1:13" ht="12.75">
      <c r="A27" t="s">
        <v>31</v>
      </c>
      <c r="C27" s="209"/>
      <c r="D27" s="208">
        <v>90</v>
      </c>
      <c r="E27" s="209"/>
      <c r="F27" s="209"/>
      <c r="G27" s="209">
        <v>-7</v>
      </c>
      <c r="H27" s="30">
        <f t="shared" si="3"/>
        <v>83</v>
      </c>
      <c r="I27" s="52">
        <f t="shared" si="0"/>
        <v>0.0026690677557320644</v>
      </c>
      <c r="J27" s="52">
        <f t="shared" si="1"/>
        <v>0.003429043586035943</v>
      </c>
      <c r="L27" s="61">
        <v>0.003083590299191599</v>
      </c>
      <c r="M27" s="169">
        <f t="shared" si="2"/>
        <v>-0.00034545328684434376</v>
      </c>
    </row>
    <row r="28" spans="1:13" ht="12.75">
      <c r="A28" t="s">
        <v>32</v>
      </c>
      <c r="C28" s="209"/>
      <c r="D28" s="208">
        <v>1481</v>
      </c>
      <c r="E28" s="209"/>
      <c r="F28" s="209"/>
      <c r="G28" s="209">
        <v>-4</v>
      </c>
      <c r="H28" s="30">
        <f t="shared" si="3"/>
        <v>1477</v>
      </c>
      <c r="I28" s="52">
        <f t="shared" si="0"/>
        <v>0.04749654307489468</v>
      </c>
      <c r="J28" s="52">
        <f t="shared" si="1"/>
        <v>0.06102045032018178</v>
      </c>
      <c r="L28" s="61">
        <v>0.06021335111259272</v>
      </c>
      <c r="M28" s="169">
        <f t="shared" si="2"/>
        <v>-0.0008070992075890626</v>
      </c>
    </row>
    <row r="29" spans="1:13" ht="12.75">
      <c r="A29" t="s">
        <v>33</v>
      </c>
      <c r="C29" s="209"/>
      <c r="D29" s="208">
        <v>330</v>
      </c>
      <c r="E29" s="209"/>
      <c r="F29" s="209"/>
      <c r="G29" s="209"/>
      <c r="H29" s="30">
        <f t="shared" si="3"/>
        <v>330</v>
      </c>
      <c r="I29" s="52">
        <f t="shared" si="0"/>
        <v>0.010611956137247965</v>
      </c>
      <c r="J29" s="52">
        <f t="shared" si="1"/>
        <v>0.013633546787853749</v>
      </c>
      <c r="L29" s="61">
        <v>0.01783481956829736</v>
      </c>
      <c r="M29" s="169">
        <f t="shared" si="2"/>
        <v>0.00420127278044361</v>
      </c>
    </row>
    <row r="30" spans="1:14" ht="12.75">
      <c r="A30" t="s">
        <v>6</v>
      </c>
      <c r="C30" s="210"/>
      <c r="D30" s="210">
        <v>987</v>
      </c>
      <c r="E30" s="210"/>
      <c r="F30" s="210"/>
      <c r="G30" s="210"/>
      <c r="H30" s="37">
        <f t="shared" si="3"/>
        <v>987</v>
      </c>
      <c r="I30" s="52">
        <f t="shared" si="0"/>
        <v>0.03173939608322346</v>
      </c>
      <c r="J30" s="52">
        <f t="shared" si="1"/>
        <v>0.040776699029126215</v>
      </c>
      <c r="L30" s="61">
        <v>0.0377114759563297</v>
      </c>
      <c r="M30" s="169">
        <f t="shared" si="2"/>
        <v>-0.0030652230727965177</v>
      </c>
      <c r="N30" s="346"/>
    </row>
    <row r="31" spans="3:10" ht="12.75">
      <c r="C31" s="30">
        <f aca="true" t="shared" si="4" ref="C31:H31">SUM(C5:C30)</f>
        <v>14441</v>
      </c>
      <c r="D31" s="30">
        <f t="shared" si="4"/>
        <v>9469</v>
      </c>
      <c r="E31" s="30">
        <f t="shared" si="4"/>
        <v>73</v>
      </c>
      <c r="F31" s="30">
        <f t="shared" si="4"/>
        <v>771</v>
      </c>
      <c r="G31" s="30">
        <f t="shared" si="4"/>
        <v>-549</v>
      </c>
      <c r="H31" s="30">
        <f t="shared" si="4"/>
        <v>24205</v>
      </c>
      <c r="J31" s="61">
        <f>SUM(J5:J30)</f>
        <v>0.9999999999999999</v>
      </c>
    </row>
    <row r="33" spans="3:8" ht="12.75">
      <c r="C33" s="23" t="s">
        <v>46</v>
      </c>
      <c r="D33" s="23" t="s">
        <v>47</v>
      </c>
      <c r="E33" s="23" t="s">
        <v>82</v>
      </c>
      <c r="F33" s="23"/>
      <c r="G33" s="23"/>
      <c r="H33" s="23" t="s">
        <v>35</v>
      </c>
    </row>
    <row r="34" spans="1:14" ht="12.75">
      <c r="A34" t="s">
        <v>45</v>
      </c>
      <c r="C34" s="209">
        <v>193</v>
      </c>
      <c r="D34" s="209">
        <v>870</v>
      </c>
      <c r="E34" s="209"/>
      <c r="F34" s="209"/>
      <c r="G34" s="209"/>
      <c r="H34" s="30">
        <f aca="true" t="shared" si="5" ref="H34:H40">SUM(C34:G34)</f>
        <v>1063</v>
      </c>
      <c r="I34" s="52">
        <f aca="true" t="shared" si="6" ref="I34:I40">SUM(H34/$H$43,0)</f>
        <v>0.034183361739074505</v>
      </c>
      <c r="N34" s="346"/>
    </row>
    <row r="35" spans="1:14" ht="12.75">
      <c r="A35" t="s">
        <v>149</v>
      </c>
      <c r="C35" s="209"/>
      <c r="D35" s="209">
        <v>357</v>
      </c>
      <c r="E35" s="209"/>
      <c r="F35" s="209"/>
      <c r="G35" s="209"/>
      <c r="H35" s="30">
        <f t="shared" si="5"/>
        <v>357</v>
      </c>
      <c r="I35" s="52">
        <f t="shared" si="6"/>
        <v>0.011480207093931891</v>
      </c>
      <c r="N35" s="38"/>
    </row>
    <row r="36" spans="1:9" ht="12.75">
      <c r="A36" t="s">
        <v>34</v>
      </c>
      <c r="C36" s="209">
        <v>2273</v>
      </c>
      <c r="D36" s="209">
        <v>1</v>
      </c>
      <c r="E36" s="209"/>
      <c r="F36" s="209"/>
      <c r="G36" s="209"/>
      <c r="H36" s="30">
        <f t="shared" si="5"/>
        <v>2274</v>
      </c>
      <c r="I36" s="52">
        <f t="shared" si="6"/>
        <v>0.07312602501849053</v>
      </c>
    </row>
    <row r="37" spans="1:9" ht="12.75">
      <c r="A37" t="s">
        <v>3</v>
      </c>
      <c r="C37" s="209">
        <v>447</v>
      </c>
      <c r="D37" s="209"/>
      <c r="E37" s="209"/>
      <c r="F37" s="209"/>
      <c r="G37" s="209">
        <v>-93</v>
      </c>
      <c r="H37" s="30">
        <f t="shared" si="5"/>
        <v>354</v>
      </c>
      <c r="I37" s="52">
        <f t="shared" si="6"/>
        <v>0.011383734765411454</v>
      </c>
    </row>
    <row r="38" spans="1:10" ht="12.75">
      <c r="A38" t="s">
        <v>4</v>
      </c>
      <c r="C38" s="209">
        <v>244</v>
      </c>
      <c r="D38" s="343">
        <v>710</v>
      </c>
      <c r="E38" s="209"/>
      <c r="F38" s="209"/>
      <c r="G38" s="209"/>
      <c r="H38" s="30">
        <f t="shared" si="5"/>
        <v>954</v>
      </c>
      <c r="I38" s="52">
        <f t="shared" si="6"/>
        <v>0.030678200469498665</v>
      </c>
      <c r="J38" s="38"/>
    </row>
    <row r="39" spans="1:9" ht="12.75">
      <c r="A39" t="s">
        <v>7</v>
      </c>
      <c r="C39" s="209">
        <v>444</v>
      </c>
      <c r="D39" s="209">
        <v>774</v>
      </c>
      <c r="E39" s="209"/>
      <c r="F39" s="209"/>
      <c r="G39" s="209"/>
      <c r="H39" s="30">
        <f t="shared" si="5"/>
        <v>1218</v>
      </c>
      <c r="I39" s="52">
        <f t="shared" si="6"/>
        <v>0.03916776537929704</v>
      </c>
    </row>
    <row r="40" spans="1:9" ht="12.75">
      <c r="A40" t="s">
        <v>125</v>
      </c>
      <c r="C40" s="210">
        <v>58</v>
      </c>
      <c r="D40" s="210">
        <v>614</v>
      </c>
      <c r="E40" s="210"/>
      <c r="F40" s="210"/>
      <c r="G40" s="210"/>
      <c r="H40" s="37">
        <f t="shared" si="5"/>
        <v>672</v>
      </c>
      <c r="I40" s="52">
        <f t="shared" si="6"/>
        <v>0.021609801588577678</v>
      </c>
    </row>
    <row r="41" spans="3:8" ht="12.75">
      <c r="C41" s="38">
        <f aca="true" t="shared" si="7" ref="C41:H41">SUM(C34:C40)</f>
        <v>3659</v>
      </c>
      <c r="D41" s="38">
        <f t="shared" si="7"/>
        <v>3326</v>
      </c>
      <c r="E41" s="38">
        <f t="shared" si="7"/>
        <v>0</v>
      </c>
      <c r="F41" s="38">
        <f t="shared" si="7"/>
        <v>0</v>
      </c>
      <c r="G41" s="38">
        <f t="shared" si="7"/>
        <v>-93</v>
      </c>
      <c r="H41" s="38">
        <f t="shared" si="7"/>
        <v>6892</v>
      </c>
    </row>
    <row r="42" spans="3:9" ht="12.75">
      <c r="C42" s="38"/>
      <c r="D42" s="38"/>
      <c r="E42" s="38"/>
      <c r="F42" s="38"/>
      <c r="G42" s="38"/>
      <c r="H42" s="38"/>
      <c r="I42" s="14"/>
    </row>
    <row r="43" spans="1:9" ht="12.75">
      <c r="A43" t="s">
        <v>75</v>
      </c>
      <c r="C43" s="38">
        <f aca="true" t="shared" si="8" ref="C43:H43">SUM(C41+C31)</f>
        <v>18100</v>
      </c>
      <c r="D43" s="38">
        <f t="shared" si="8"/>
        <v>12795</v>
      </c>
      <c r="E43" s="38">
        <f t="shared" si="8"/>
        <v>73</v>
      </c>
      <c r="F43" s="38">
        <f t="shared" si="8"/>
        <v>771</v>
      </c>
      <c r="G43" s="38">
        <f t="shared" si="8"/>
        <v>-642</v>
      </c>
      <c r="H43" s="38">
        <f t="shared" si="8"/>
        <v>31097</v>
      </c>
      <c r="I43" s="61">
        <f>SUM(I5:I42)</f>
        <v>0.9999999999999999</v>
      </c>
    </row>
    <row r="44" spans="3:9" ht="12.75">
      <c r="C44" s="38"/>
      <c r="D44" s="38"/>
      <c r="E44" s="38"/>
      <c r="F44" s="38"/>
      <c r="G44" s="38"/>
      <c r="H44" s="38"/>
      <c r="I44" s="61"/>
    </row>
    <row r="45" spans="1:9" ht="12.75">
      <c r="A45" t="s">
        <v>48</v>
      </c>
      <c r="D45" s="38">
        <v>0</v>
      </c>
      <c r="H45" s="30">
        <f>SUM(C45:F45)</f>
        <v>0</v>
      </c>
      <c r="I45" s="122">
        <f>SUM(H45/$H$43,0)</f>
        <v>0</v>
      </c>
    </row>
    <row r="46" spans="1:9" ht="13.5" thickBot="1">
      <c r="A46" t="s">
        <v>76</v>
      </c>
      <c r="C46" s="39">
        <f aca="true" t="shared" si="9" ref="C46:H46">SUM(C43:C45)</f>
        <v>18100</v>
      </c>
      <c r="D46" s="39">
        <f t="shared" si="9"/>
        <v>12795</v>
      </c>
      <c r="E46" s="39">
        <f t="shared" si="9"/>
        <v>73</v>
      </c>
      <c r="F46" s="39">
        <f t="shared" si="9"/>
        <v>771</v>
      </c>
      <c r="G46" s="39">
        <f t="shared" si="9"/>
        <v>-642</v>
      </c>
      <c r="H46" s="39">
        <f t="shared" si="9"/>
        <v>31097</v>
      </c>
      <c r="I46" s="123">
        <v>1</v>
      </c>
    </row>
    <row r="47" ht="13.5" thickTop="1">
      <c r="D47" s="38"/>
    </row>
    <row r="48" spans="1:8" ht="12.75">
      <c r="A48" t="s">
        <v>73</v>
      </c>
      <c r="H48" s="38"/>
    </row>
    <row r="49" ht="12.75">
      <c r="A49" s="201"/>
    </row>
  </sheetData>
  <mergeCells count="1">
    <mergeCell ref="A1:J1"/>
  </mergeCells>
  <printOptions/>
  <pageMargins left="0.75" right="0.75" top="0.54" bottom="0.59" header="0.5" footer="0.5"/>
  <pageSetup fitToHeight="1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5"/>
  <sheetViews>
    <sheetView zoomScale="80" zoomScaleNormal="80" workbookViewId="0" topLeftCell="A1">
      <pane xSplit="1" ySplit="4" topLeftCell="B15" activePane="bottomRight" state="frozen"/>
      <selection pane="topLeft" activeCell="B42" sqref="B42"/>
      <selection pane="topRight" activeCell="B42" sqref="B42"/>
      <selection pane="bottomLeft" activeCell="B42" sqref="B42"/>
      <selection pane="bottomRight" activeCell="E41" sqref="E41:G45"/>
    </sheetView>
  </sheetViews>
  <sheetFormatPr defaultColWidth="9.140625" defaultRowHeight="12.75"/>
  <cols>
    <col min="2" max="4" width="15.57421875" style="0" customWidth="1"/>
    <col min="5" max="5" width="16.7109375" style="0" customWidth="1"/>
    <col min="6" max="8" width="15.57421875" style="0" customWidth="1"/>
    <col min="9" max="9" width="15.7109375" style="0" customWidth="1"/>
    <col min="10" max="10" width="26.57421875" style="0" customWidth="1"/>
  </cols>
  <sheetData>
    <row r="1" spans="1:9" ht="18">
      <c r="A1" s="349" t="s">
        <v>99</v>
      </c>
      <c r="B1" s="350"/>
      <c r="C1" s="350"/>
      <c r="D1" s="350"/>
      <c r="E1" s="350"/>
      <c r="F1" s="350"/>
      <c r="G1" s="350"/>
      <c r="H1" s="350"/>
      <c r="I1" s="351"/>
    </row>
    <row r="2" spans="1:9" ht="15.75">
      <c r="A2" s="352" t="s">
        <v>175</v>
      </c>
      <c r="B2" s="353"/>
      <c r="C2" s="353"/>
      <c r="D2" s="353"/>
      <c r="E2" s="353"/>
      <c r="F2" s="353"/>
      <c r="G2" s="353"/>
      <c r="H2" s="353"/>
      <c r="I2" s="354"/>
    </row>
    <row r="3" spans="1:9" ht="15">
      <c r="A3" s="1"/>
      <c r="B3" s="2"/>
      <c r="C3" s="2"/>
      <c r="D3" s="2" t="s">
        <v>202</v>
      </c>
      <c r="E3" s="2" t="s">
        <v>199</v>
      </c>
      <c r="F3" s="2"/>
      <c r="G3" s="2"/>
      <c r="H3" s="2"/>
      <c r="I3" s="106" t="s">
        <v>2</v>
      </c>
    </row>
    <row r="4" spans="1:9" ht="15">
      <c r="A4" s="3"/>
      <c r="B4" s="9" t="s">
        <v>6</v>
      </c>
      <c r="C4" s="9" t="s">
        <v>220</v>
      </c>
      <c r="D4" s="9" t="s">
        <v>136</v>
      </c>
      <c r="E4" s="9" t="s">
        <v>312</v>
      </c>
      <c r="F4" s="9" t="s">
        <v>87</v>
      </c>
      <c r="G4" s="9" t="s">
        <v>1</v>
      </c>
      <c r="H4" s="9" t="s">
        <v>201</v>
      </c>
      <c r="I4" s="107" t="s">
        <v>47</v>
      </c>
    </row>
    <row r="5" spans="1:9" ht="15">
      <c r="A5" s="4" t="s">
        <v>0</v>
      </c>
      <c r="B5" s="5">
        <f>+'OD(SSF)'!B5</f>
        <v>17051</v>
      </c>
      <c r="C5" s="5">
        <f>SUM(Telecom!D5)</f>
        <v>1876</v>
      </c>
      <c r="D5" s="5">
        <f>SUM('IT Software Dev'!D5)</f>
        <v>4845</v>
      </c>
      <c r="E5" s="5">
        <f>+'IT Ongoing'!B5</f>
        <v>8783</v>
      </c>
      <c r="F5" s="5">
        <f>SUM('CIT (SSF)'!D5)</f>
        <v>11502</v>
      </c>
      <c r="G5" s="5">
        <f>+'DHHS '!B5</f>
        <v>5934.77523488316</v>
      </c>
      <c r="H5" s="5">
        <f>+'PSC '!B5</f>
        <v>7000.000804960296</v>
      </c>
      <c r="I5" s="108">
        <f>SUM(B5:H5)</f>
        <v>56991.776039843455</v>
      </c>
    </row>
    <row r="6" spans="1:9" ht="15">
      <c r="A6" s="4" t="s">
        <v>10</v>
      </c>
      <c r="B6" s="323">
        <f>+'OD(SSF)'!B6</f>
        <v>4462</v>
      </c>
      <c r="C6" s="323">
        <f>SUM(Telecom!D6)</f>
        <v>514</v>
      </c>
      <c r="D6" s="323">
        <f>SUM('IT Software Dev'!D6)</f>
        <v>2964</v>
      </c>
      <c r="E6" s="323">
        <f>+'IT Ongoing'!B6</f>
        <v>5521</v>
      </c>
      <c r="F6" s="323">
        <f>SUM('CIT (SSF)'!D6)</f>
        <v>2847</v>
      </c>
      <c r="G6" s="323">
        <f>+'DHHS '!B6</f>
        <v>2478.9821815346395</v>
      </c>
      <c r="H6" s="323">
        <f>+'PSC '!B6</f>
        <v>3074.58910040248</v>
      </c>
      <c r="I6" s="109">
        <f aca="true" t="shared" si="0" ref="I6:I37">SUM(B6:H6)</f>
        <v>21861.571281937122</v>
      </c>
    </row>
    <row r="7" spans="1:9" ht="15">
      <c r="A7" s="4" t="s">
        <v>11</v>
      </c>
      <c r="B7" s="323">
        <f>+'OD(SSF)'!B7</f>
        <v>1585</v>
      </c>
      <c r="C7" s="323">
        <f>SUM(Telecom!D7)</f>
        <v>173</v>
      </c>
      <c r="D7" s="323">
        <f>SUM('IT Software Dev'!D7)</f>
        <v>395</v>
      </c>
      <c r="E7" s="323">
        <f>+'IT Ongoing'!B7</f>
        <v>769</v>
      </c>
      <c r="F7" s="323">
        <f>SUM('CIT (SSF)'!D7)</f>
        <v>1226</v>
      </c>
      <c r="G7" s="323">
        <f>+'DHHS '!B7</f>
        <v>555.1938150547822</v>
      </c>
      <c r="H7" s="323">
        <f>+'PSC '!B7</f>
        <v>630.7962362667247</v>
      </c>
      <c r="I7" s="109">
        <f t="shared" si="0"/>
        <v>5333.990051321507</v>
      </c>
    </row>
    <row r="8" spans="1:9" ht="15">
      <c r="A8" s="4" t="s">
        <v>12</v>
      </c>
      <c r="B8" s="323">
        <f>+'OD(SSF)'!B8</f>
        <v>3730</v>
      </c>
      <c r="C8" s="323">
        <f>SUM(Telecom!D8)</f>
        <v>416</v>
      </c>
      <c r="D8" s="323">
        <f>SUM('IT Software Dev'!D8)</f>
        <v>1884</v>
      </c>
      <c r="E8" s="323">
        <f>+'IT Ongoing'!B8</f>
        <v>3537</v>
      </c>
      <c r="F8" s="323">
        <f>SUM('CIT (SSF)'!D8)</f>
        <v>3122</v>
      </c>
      <c r="G8" s="323">
        <f>+'DHHS '!B8</f>
        <v>1782.2567148791113</v>
      </c>
      <c r="H8" s="323">
        <f>+'PSC '!B8</f>
        <v>2436.6668552159254</v>
      </c>
      <c r="I8" s="109">
        <f t="shared" si="0"/>
        <v>16907.923570095038</v>
      </c>
    </row>
    <row r="9" spans="1:9" ht="15">
      <c r="A9" s="4" t="s">
        <v>13</v>
      </c>
      <c r="B9" s="323">
        <f>+'OD(SSF)'!B9</f>
        <v>3261</v>
      </c>
      <c r="C9" s="323">
        <f>SUM(Telecom!D9)</f>
        <v>411</v>
      </c>
      <c r="D9" s="323">
        <f>SUM('IT Software Dev'!D9)</f>
        <v>1557</v>
      </c>
      <c r="E9" s="323">
        <f>+'IT Ongoing'!B9</f>
        <v>2910</v>
      </c>
      <c r="F9" s="323">
        <f>SUM('CIT (SSF)'!D9)</f>
        <v>2639</v>
      </c>
      <c r="G9" s="323">
        <f>+'DHHS '!B9</f>
        <v>1552.9675410561338</v>
      </c>
      <c r="H9" s="323">
        <f>+'PSC '!B9</f>
        <v>1957.7210921353203</v>
      </c>
      <c r="I9" s="109">
        <f t="shared" si="0"/>
        <v>14288.688633191454</v>
      </c>
    </row>
    <row r="10" spans="1:9" ht="15">
      <c r="A10" s="4" t="s">
        <v>14</v>
      </c>
      <c r="B10" s="323">
        <f>+'OD(SSF)'!B10</f>
        <v>9583</v>
      </c>
      <c r="C10" s="323">
        <f>SUM(Telecom!D10)</f>
        <v>1091</v>
      </c>
      <c r="D10" s="323">
        <f>SUM('IT Software Dev'!D10)</f>
        <v>4657</v>
      </c>
      <c r="E10" s="323">
        <f>+'IT Ongoing'!B10</f>
        <v>8583</v>
      </c>
      <c r="F10" s="323">
        <f>SUM('CIT (SSF)'!D10)</f>
        <v>8728</v>
      </c>
      <c r="G10" s="323">
        <f>+'DHHS '!B10</f>
        <v>4730.953151724874</v>
      </c>
      <c r="H10" s="323">
        <f>+'PSC '!B10</f>
        <v>4662.96730120744</v>
      </c>
      <c r="I10" s="109">
        <f t="shared" si="0"/>
        <v>42035.92045293232</v>
      </c>
    </row>
    <row r="11" spans="1:9" ht="15">
      <c r="A11" s="4" t="s">
        <v>15</v>
      </c>
      <c r="B11" s="323">
        <f>+'OD(SSF)'!B11</f>
        <v>784</v>
      </c>
      <c r="C11" s="323">
        <f>SUM(Telecom!D11)</f>
        <v>63</v>
      </c>
      <c r="D11" s="323">
        <f>SUM('IT Software Dev'!D11)</f>
        <v>1967</v>
      </c>
      <c r="E11" s="323">
        <f>+'IT Ongoing'!B11</f>
        <v>3571</v>
      </c>
      <c r="F11" s="323">
        <f>SUM('CIT (SSF)'!D11)</f>
        <v>410</v>
      </c>
      <c r="G11" s="323">
        <f>+'DHHS '!B11</f>
        <v>1258.1014267682926</v>
      </c>
      <c r="H11" s="323">
        <f>+'PSC '!B11</f>
        <v>1727.1478951376048</v>
      </c>
      <c r="I11" s="109">
        <f t="shared" si="0"/>
        <v>9780.249321905898</v>
      </c>
    </row>
    <row r="12" spans="1:9" ht="15">
      <c r="A12" s="4" t="s">
        <v>16</v>
      </c>
      <c r="B12" s="323">
        <f>+'OD(SSF)'!B12</f>
        <v>3391</v>
      </c>
      <c r="C12" s="323">
        <f>SUM(Telecom!D12)</f>
        <v>435</v>
      </c>
      <c r="D12" s="323">
        <f>SUM('IT Software Dev'!D12)</f>
        <v>1282</v>
      </c>
      <c r="E12" s="323">
        <f>+'IT Ongoing'!B12</f>
        <v>2433</v>
      </c>
      <c r="F12" s="323">
        <f>SUM('CIT (SSF)'!D12)</f>
        <v>3448</v>
      </c>
      <c r="G12" s="323">
        <f>+'DHHS '!B12</f>
        <v>1526.2027357778593</v>
      </c>
      <c r="H12" s="323">
        <f>+'PSC '!B12</f>
        <v>1821.3339497443708</v>
      </c>
      <c r="I12" s="109">
        <f t="shared" si="0"/>
        <v>14336.53668552223</v>
      </c>
    </row>
    <row r="13" spans="1:9" ht="15">
      <c r="A13" s="4" t="s">
        <v>17</v>
      </c>
      <c r="B13" s="323">
        <f>+'OD(SSF)'!B13</f>
        <v>1302</v>
      </c>
      <c r="C13" s="323">
        <f>SUM(Telecom!D13)</f>
        <v>209</v>
      </c>
      <c r="D13" s="323">
        <f>SUM('IT Software Dev'!D13)</f>
        <v>677</v>
      </c>
      <c r="E13" s="323">
        <f>+'IT Ongoing'!B13</f>
        <v>1266</v>
      </c>
      <c r="F13" s="323">
        <f>SUM('CIT (SSF)'!D13)</f>
        <v>1138</v>
      </c>
      <c r="G13" s="323">
        <f>+'DHHS '!B13</f>
        <v>694.3672652366499</v>
      </c>
      <c r="H13" s="323">
        <f>+'PSC '!B13</f>
        <v>826.560883280757</v>
      </c>
      <c r="I13" s="109">
        <f t="shared" si="0"/>
        <v>6112.928148517407</v>
      </c>
    </row>
    <row r="14" spans="1:9" ht="15">
      <c r="A14" s="4" t="s">
        <v>18</v>
      </c>
      <c r="B14" s="323">
        <f>+'OD(SSF)'!B14</f>
        <v>3483</v>
      </c>
      <c r="C14" s="323">
        <f>SUM(Telecom!D14)</f>
        <v>11</v>
      </c>
      <c r="D14" s="323">
        <f>SUM('IT Software Dev'!D14)</f>
        <v>646</v>
      </c>
      <c r="E14" s="323">
        <f>+'IT Ongoing'!B14</f>
        <v>1343</v>
      </c>
      <c r="F14" s="323">
        <f>SUM('CIT (SSF)'!D14)</f>
        <v>3122</v>
      </c>
      <c r="G14" s="323">
        <f>+'DHHS '!B14</f>
        <v>1235.0820726577763</v>
      </c>
      <c r="H14" s="323">
        <f>+'PSC '!B14</f>
        <v>1342.6072228869793</v>
      </c>
      <c r="I14" s="109">
        <f t="shared" si="0"/>
        <v>11182.689295544757</v>
      </c>
    </row>
    <row r="15" spans="1:9" ht="15">
      <c r="A15" s="4" t="s">
        <v>19</v>
      </c>
      <c r="B15" s="323">
        <f>+'OD(SSF)'!B15</f>
        <v>2391</v>
      </c>
      <c r="C15" s="323">
        <f>SUM(Telecom!D15)</f>
        <v>116</v>
      </c>
      <c r="D15" s="323">
        <f>SUM('IT Software Dev'!D15)</f>
        <v>1061</v>
      </c>
      <c r="E15" s="323">
        <f>+'IT Ongoing'!B15</f>
        <v>1959</v>
      </c>
      <c r="F15" s="323">
        <f>SUM('CIT (SSF)'!D15)</f>
        <v>2131</v>
      </c>
      <c r="G15" s="323">
        <f>+'DHHS '!B15</f>
        <v>1185.3671034789818</v>
      </c>
      <c r="H15" s="323">
        <f>+'PSC '!B15</f>
        <v>1298.4671597954966</v>
      </c>
      <c r="I15" s="109">
        <f t="shared" si="0"/>
        <v>10141.834263274479</v>
      </c>
    </row>
    <row r="16" spans="1:9" ht="15">
      <c r="A16" s="4" t="s">
        <v>20</v>
      </c>
      <c r="B16" s="323">
        <f>+'OD(SSF)'!B16</f>
        <v>1202</v>
      </c>
      <c r="C16" s="323">
        <f>SUM(Telecom!D16)</f>
        <v>176</v>
      </c>
      <c r="D16" s="323">
        <f>SUM('IT Software Dev'!D16)</f>
        <v>515</v>
      </c>
      <c r="E16" s="323">
        <f>+'IT Ongoing'!B16</f>
        <v>977</v>
      </c>
      <c r="F16" s="323">
        <f>SUM('CIT (SSF)'!D16)</f>
        <v>982</v>
      </c>
      <c r="G16" s="323">
        <f>+'DHHS '!B16</f>
        <v>548.9355031532397</v>
      </c>
      <c r="H16" s="323">
        <f>+'PSC '!B16</f>
        <v>767.159164581747</v>
      </c>
      <c r="I16" s="109">
        <f t="shared" si="0"/>
        <v>5168.094667734987</v>
      </c>
    </row>
    <row r="17" spans="1:9" ht="15">
      <c r="A17" s="4" t="s">
        <v>21</v>
      </c>
      <c r="B17" s="323">
        <f>+'OD(SSF)'!B17</f>
        <v>797</v>
      </c>
      <c r="C17" s="323">
        <f>SUM(Telecom!D17)</f>
        <v>114</v>
      </c>
      <c r="D17" s="323">
        <f>SUM('IT Software Dev'!D17)</f>
        <v>399</v>
      </c>
      <c r="E17" s="323">
        <f>+'IT Ongoing'!B17</f>
        <v>746</v>
      </c>
      <c r="F17" s="323">
        <f>SUM('CIT (SSF)'!D17)</f>
        <v>638</v>
      </c>
      <c r="G17" s="323">
        <f>+'DHHS '!B17</f>
        <v>399.794401079298</v>
      </c>
      <c r="H17" s="323">
        <f>+'PSC '!B17</f>
        <v>552.0328075709779</v>
      </c>
      <c r="I17" s="109">
        <f t="shared" si="0"/>
        <v>3645.8272086502757</v>
      </c>
    </row>
    <row r="18" spans="1:9" ht="15">
      <c r="A18" s="4" t="s">
        <v>22</v>
      </c>
      <c r="B18" s="323">
        <f>+'OD(SSF)'!B18</f>
        <v>3483</v>
      </c>
      <c r="C18" s="323">
        <f>SUM(Telecom!D18)</f>
        <v>480</v>
      </c>
      <c r="D18" s="323">
        <f>SUM('IT Software Dev'!D18)</f>
        <v>1424</v>
      </c>
      <c r="E18" s="323">
        <f>+'IT Ongoing'!B18</f>
        <v>2698</v>
      </c>
      <c r="F18" s="323">
        <f>SUM('CIT (SSF)'!D18)</f>
        <v>2883</v>
      </c>
      <c r="G18" s="323">
        <f>+'DHHS '!B18</f>
        <v>1607.8755794487615</v>
      </c>
      <c r="H18" s="323">
        <f>+'PSC '!B18</f>
        <v>2054.508038725117</v>
      </c>
      <c r="I18" s="109">
        <f t="shared" si="0"/>
        <v>14630.383618173879</v>
      </c>
    </row>
    <row r="19" spans="1:9" ht="15">
      <c r="A19" s="4" t="s">
        <v>23</v>
      </c>
      <c r="B19" s="323">
        <f>+'OD(SSF)'!B19</f>
        <v>1936</v>
      </c>
      <c r="C19" s="323">
        <f>SUM(Telecom!D19)</f>
        <v>122</v>
      </c>
      <c r="D19" s="323">
        <f>SUM('IT Software Dev'!D19)</f>
        <v>1013</v>
      </c>
      <c r="E19" s="323">
        <f>+'IT Ongoing'!B19</f>
        <v>1861</v>
      </c>
      <c r="F19" s="323">
        <f>SUM('CIT (SSF)'!D19)</f>
        <v>1701</v>
      </c>
      <c r="G19" s="323">
        <f>+'DHHS '!B19</f>
        <v>1055.4960471072015</v>
      </c>
      <c r="H19" s="323">
        <f>+'PSC '!B19</f>
        <v>1293.6717937561189</v>
      </c>
      <c r="I19" s="109">
        <f t="shared" si="0"/>
        <v>8982.16784086332</v>
      </c>
    </row>
    <row r="20" spans="1:9" ht="15">
      <c r="A20" s="4" t="s">
        <v>24</v>
      </c>
      <c r="B20" s="323">
        <f>+'OD(SSF)'!B20</f>
        <v>1075</v>
      </c>
      <c r="C20" s="323">
        <f>SUM(Telecom!D20)</f>
        <v>142</v>
      </c>
      <c r="D20" s="323">
        <f>SUM('IT Software Dev'!D20)</f>
        <v>442</v>
      </c>
      <c r="E20" s="323">
        <f>+'IT Ongoing'!B20</f>
        <v>844</v>
      </c>
      <c r="F20" s="323">
        <f>SUM('CIT (SSF)'!D20)</f>
        <v>748</v>
      </c>
      <c r="G20" s="323">
        <f>+'DHHS '!B20</f>
        <v>458.0644626967298</v>
      </c>
      <c r="H20" s="323">
        <f>+'PSC '!B20</f>
        <v>673.7177852714021</v>
      </c>
      <c r="I20" s="109">
        <f t="shared" si="0"/>
        <v>4382.782247968132</v>
      </c>
    </row>
    <row r="21" spans="1:9" ht="15">
      <c r="A21" s="4" t="s">
        <v>25</v>
      </c>
      <c r="B21" s="323">
        <f>+'OD(SSF)'!B21</f>
        <v>230</v>
      </c>
      <c r="C21" s="323">
        <f>SUM(Telecom!D21)</f>
        <v>25</v>
      </c>
      <c r="D21" s="323">
        <f>SUM('IT Software Dev'!D21)</f>
        <v>140</v>
      </c>
      <c r="E21" s="323">
        <f>+'IT Ongoing'!B21</f>
        <v>263</v>
      </c>
      <c r="F21" s="323">
        <f>SUM('CIT (SSF)'!D21)</f>
        <v>153</v>
      </c>
      <c r="G21" s="323">
        <f>+'DHHS '!B21</f>
        <v>120.58398739681883</v>
      </c>
      <c r="H21" s="323">
        <f>+'PSC '!B21</f>
        <v>192.68549983683238</v>
      </c>
      <c r="I21" s="109">
        <f t="shared" si="0"/>
        <v>1124.2694872336513</v>
      </c>
    </row>
    <row r="22" spans="1:9" ht="15">
      <c r="A22" s="4" t="s">
        <v>26</v>
      </c>
      <c r="B22" s="323">
        <f>+'OD(SSF)'!B22</f>
        <v>1758</v>
      </c>
      <c r="C22" s="323">
        <f>SUM(Telecom!D22)</f>
        <v>205</v>
      </c>
      <c r="D22" s="323">
        <f>SUM('IT Software Dev'!D22)</f>
        <v>491</v>
      </c>
      <c r="E22" s="323">
        <f>+'IT Ongoing'!B22</f>
        <v>946</v>
      </c>
      <c r="F22" s="323">
        <f>SUM('CIT (SSF)'!D22)</f>
        <v>1396</v>
      </c>
      <c r="G22" s="323">
        <f>+'DHHS '!B22</f>
        <v>646.3875742633808</v>
      </c>
      <c r="H22" s="323">
        <f>+'PSC '!B22</f>
        <v>654.6854998368324</v>
      </c>
      <c r="I22" s="109">
        <f t="shared" si="0"/>
        <v>6097.0730741002135</v>
      </c>
    </row>
    <row r="23" spans="1:9" ht="15">
      <c r="A23" s="4" t="s">
        <v>27</v>
      </c>
      <c r="B23" s="323">
        <f>+'OD(SSF)'!B23</f>
        <v>274</v>
      </c>
      <c r="C23" s="323">
        <f>SUM(Telecom!D23)</f>
        <v>48</v>
      </c>
      <c r="D23" s="323">
        <f>SUM('IT Software Dev'!D23)</f>
        <v>304</v>
      </c>
      <c r="E23" s="323">
        <f>+'IT Ongoing'!B23</f>
        <v>557</v>
      </c>
      <c r="F23" s="323">
        <f>SUM('CIT (SSF)'!D23)</f>
        <v>188</v>
      </c>
      <c r="G23" s="323">
        <f>+'DHHS '!B23</f>
        <v>226.19902234564606</v>
      </c>
      <c r="H23" s="323">
        <f>+'PSC '!B23</f>
        <v>354.1742630262156</v>
      </c>
      <c r="I23" s="109">
        <f t="shared" si="0"/>
        <v>1951.3732853718616</v>
      </c>
    </row>
    <row r="24" spans="1:9" ht="15">
      <c r="A24" s="4" t="s">
        <v>28</v>
      </c>
      <c r="B24" s="323">
        <f>+'OD(SSF)'!B24</f>
        <v>520</v>
      </c>
      <c r="C24" s="323">
        <f>SUM(Telecom!D24)</f>
        <v>45</v>
      </c>
      <c r="D24" s="323">
        <f>SUM('IT Software Dev'!D24)</f>
        <v>1127</v>
      </c>
      <c r="E24" s="323">
        <f>+'IT Ongoing'!B24</f>
        <v>2062</v>
      </c>
      <c r="F24" s="323">
        <f>SUM('CIT (SSF)'!D24)</f>
        <v>275</v>
      </c>
      <c r="G24" s="323">
        <f>+'DHHS '!B24</f>
        <v>737.6721380463421</v>
      </c>
      <c r="H24" s="323">
        <f>+'PSC '!B24</f>
        <v>635.3241379310346</v>
      </c>
      <c r="I24" s="109">
        <f t="shared" si="0"/>
        <v>5401.996275977377</v>
      </c>
    </row>
    <row r="25" spans="1:9" ht="15">
      <c r="A25" s="4" t="s">
        <v>29</v>
      </c>
      <c r="B25" s="323">
        <f>+'OD(SSF)'!B25</f>
        <v>359</v>
      </c>
      <c r="C25" s="323">
        <f>SUM(Telecom!D25)</f>
        <v>55</v>
      </c>
      <c r="D25" s="323">
        <f>SUM('IT Software Dev'!D25)</f>
        <v>123</v>
      </c>
      <c r="E25" s="323">
        <f>+'IT Ongoing'!B25</f>
        <v>236</v>
      </c>
      <c r="F25" s="323">
        <f>SUM('CIT (SSF)'!D25)</f>
        <v>260</v>
      </c>
      <c r="G25" s="323">
        <f>+'DHHS '!B25</f>
        <v>146.09172273558087</v>
      </c>
      <c r="H25" s="323">
        <f>+'PSC '!B25</f>
        <v>229.0398346568041</v>
      </c>
      <c r="I25" s="109">
        <f t="shared" si="0"/>
        <v>1408.1315573923848</v>
      </c>
    </row>
    <row r="26" spans="1:9" ht="15">
      <c r="A26" s="4" t="s">
        <v>30</v>
      </c>
      <c r="B26" s="323">
        <f>+'OD(SSF)'!B26</f>
        <v>145</v>
      </c>
      <c r="C26" s="323">
        <f>SUM(Telecom!D26)</f>
        <v>16</v>
      </c>
      <c r="D26" s="323">
        <f>SUM('IT Software Dev'!D26)</f>
        <v>197</v>
      </c>
      <c r="E26" s="323">
        <f>+'IT Ongoing'!B26</f>
        <v>357</v>
      </c>
      <c r="F26" s="323">
        <f>SUM('CIT (SSF)'!D26)</f>
        <v>135</v>
      </c>
      <c r="G26" s="323">
        <f>+'DHHS '!B26</f>
        <v>138.4422032857468</v>
      </c>
      <c r="H26" s="323">
        <f>+'PSC '!B26</f>
        <v>161.37030349178724</v>
      </c>
      <c r="I26" s="109">
        <f t="shared" si="0"/>
        <v>1149.812506777534</v>
      </c>
    </row>
    <row r="27" spans="1:9" ht="15">
      <c r="A27" s="4" t="s">
        <v>31</v>
      </c>
      <c r="B27" s="323">
        <f>+'OD(SSF)'!B27</f>
        <v>254</v>
      </c>
      <c r="C27" s="323">
        <f>SUM(Telecom!D27)</f>
        <v>27</v>
      </c>
      <c r="D27" s="323">
        <f>SUM('IT Software Dev'!D27)</f>
        <v>67</v>
      </c>
      <c r="E27" s="323">
        <f>+'IT Ongoing'!B27</f>
        <v>134</v>
      </c>
      <c r="F27" s="323">
        <f>SUM('CIT (SSF)'!D27)</f>
        <v>159</v>
      </c>
      <c r="G27" s="323">
        <f>+'DHHS '!B27</f>
        <v>88.8600896800499</v>
      </c>
      <c r="H27" s="323">
        <f>+'PSC '!B27</f>
        <v>196.1658435766344</v>
      </c>
      <c r="I27" s="109">
        <f t="shared" si="0"/>
        <v>926.0259332566843</v>
      </c>
    </row>
    <row r="28" spans="1:9" ht="15">
      <c r="A28" s="4" t="s">
        <v>32</v>
      </c>
      <c r="B28" s="323">
        <f>+'OD(SSF)'!B28</f>
        <v>3102</v>
      </c>
      <c r="C28" s="323">
        <f>SUM(Telecom!D28)</f>
        <v>433</v>
      </c>
      <c r="D28" s="323">
        <f>SUM('IT Software Dev'!D28)</f>
        <v>312</v>
      </c>
      <c r="E28" s="323">
        <f>+'IT Ongoing'!B28</f>
        <v>921</v>
      </c>
      <c r="F28" s="323">
        <f>SUM('CIT (SSF)'!D28)</f>
        <v>3019</v>
      </c>
      <c r="G28" s="323">
        <f>+'DHHS '!B28</f>
        <v>1070.3634087097423</v>
      </c>
      <c r="H28" s="323">
        <f>+'PSC '!B28</f>
        <v>1197.6065267051017</v>
      </c>
      <c r="I28" s="109">
        <f t="shared" si="0"/>
        <v>10054.969935414843</v>
      </c>
    </row>
    <row r="29" spans="1:9" ht="15">
      <c r="A29" s="4" t="s">
        <v>33</v>
      </c>
      <c r="B29" s="323">
        <f>+'OD(SSF)'!B29</f>
        <v>497</v>
      </c>
      <c r="C29" s="323">
        <f>SUM(Telecom!D29)</f>
        <v>0</v>
      </c>
      <c r="D29" s="323">
        <f>SUM('IT Software Dev'!D29)</f>
        <v>0</v>
      </c>
      <c r="E29" s="323">
        <f>+'IT Ongoing'!B29</f>
        <v>0</v>
      </c>
      <c r="F29" s="323">
        <f>SUM('CIT (SSF)'!D29)</f>
        <v>830</v>
      </c>
      <c r="G29" s="323">
        <f>+'DHHS '!B29</f>
        <v>0</v>
      </c>
      <c r="H29" s="323">
        <f>+'PSC '!B29</f>
        <v>0</v>
      </c>
      <c r="I29" s="109">
        <f t="shared" si="0"/>
        <v>1327</v>
      </c>
    </row>
    <row r="30" spans="1:9" ht="15">
      <c r="A30" s="4" t="s">
        <v>6</v>
      </c>
      <c r="B30" s="323">
        <f>+'OD(SSF)'!B30</f>
        <v>2068</v>
      </c>
      <c r="C30" s="323">
        <f>SUM(Telecom!D30)</f>
        <v>527</v>
      </c>
      <c r="D30" s="323">
        <f>SUM('IT Software Dev'!D30)</f>
        <v>281</v>
      </c>
      <c r="E30" s="323">
        <f>+'IT Ongoing'!B30</f>
        <v>583</v>
      </c>
      <c r="F30" s="323">
        <f>SUM('CIT (SSF)'!D30)</f>
        <v>2066</v>
      </c>
      <c r="G30" s="323">
        <f>+'DHHS '!B30</f>
        <v>1715.9846169992002</v>
      </c>
      <c r="H30" s="323">
        <f>+'PSC '!B30</f>
        <v>215</v>
      </c>
      <c r="I30" s="109">
        <f t="shared" si="0"/>
        <v>7455.9846169992</v>
      </c>
    </row>
    <row r="31" spans="1:9" ht="15">
      <c r="A31" s="4" t="s">
        <v>45</v>
      </c>
      <c r="B31" s="323">
        <f>+'OD(SSF)'!B31</f>
        <v>3385</v>
      </c>
      <c r="C31" s="323">
        <f>SUM(Telecom!D31)</f>
        <v>353</v>
      </c>
      <c r="D31" s="323">
        <f>SUM('IT Software Dev'!D31)</f>
        <v>0</v>
      </c>
      <c r="E31" s="323">
        <f>+'IT Ongoing'!B31</f>
        <v>65</v>
      </c>
      <c r="F31" s="323">
        <f>SUM('CIT (SSF)'!D31)</f>
        <v>2128</v>
      </c>
      <c r="G31" s="323">
        <f>+'DHHS '!B31</f>
        <v>0</v>
      </c>
      <c r="H31" s="323">
        <f>+'PSC '!B31</f>
        <v>368</v>
      </c>
      <c r="I31" s="109">
        <f t="shared" si="0"/>
        <v>6299</v>
      </c>
    </row>
    <row r="32" spans="1:9" ht="15">
      <c r="A32" s="4" t="s">
        <v>34</v>
      </c>
      <c r="B32" s="323">
        <f>+'OD(SSF)'!B32</f>
        <v>5811</v>
      </c>
      <c r="C32" s="323">
        <f>SUM(Telecom!D32)</f>
        <v>1154</v>
      </c>
      <c r="D32" s="323">
        <f>SUM('IT Software Dev'!D32)</f>
        <v>0</v>
      </c>
      <c r="E32" s="323">
        <f>+'IT Ongoing'!B32</f>
        <v>138</v>
      </c>
      <c r="F32" s="323">
        <f>SUM('CIT (SSF)'!D32)</f>
        <v>4977</v>
      </c>
      <c r="G32" s="323">
        <f>+'DHHS '!B32</f>
        <v>0</v>
      </c>
      <c r="H32" s="323">
        <f>+'PSC '!B32</f>
        <v>639</v>
      </c>
      <c r="I32" s="109">
        <f t="shared" si="0"/>
        <v>12719</v>
      </c>
    </row>
    <row r="33" spans="1:9" ht="15">
      <c r="A33" s="4" t="s">
        <v>3</v>
      </c>
      <c r="B33" s="323">
        <f>+'OD(SSF)'!B33</f>
        <v>944</v>
      </c>
      <c r="C33" s="323">
        <f>SUM(Telecom!D33)</f>
        <v>148</v>
      </c>
      <c r="D33" s="323">
        <f>SUM('IT Software Dev'!D33)</f>
        <v>0</v>
      </c>
      <c r="E33" s="323">
        <f>+'IT Ongoing'!B33</f>
        <v>22</v>
      </c>
      <c r="F33" s="323">
        <f>SUM('CIT (SSF)'!D33)</f>
        <v>761</v>
      </c>
      <c r="G33" s="323">
        <f>+'DHHS '!B33</f>
        <v>0</v>
      </c>
      <c r="H33" s="323">
        <f>+'PSC '!B33</f>
        <v>102</v>
      </c>
      <c r="I33" s="109">
        <f t="shared" si="0"/>
        <v>1977</v>
      </c>
    </row>
    <row r="34" spans="1:9" ht="15">
      <c r="A34" s="4" t="s">
        <v>4</v>
      </c>
      <c r="B34" s="323">
        <f>+'OD(SSF)'!B34</f>
        <v>1135</v>
      </c>
      <c r="C34" s="323">
        <f>SUM(Telecom!D34)</f>
        <v>573</v>
      </c>
      <c r="D34" s="323">
        <f>SUM('IT Software Dev'!D34)</f>
        <v>0</v>
      </c>
      <c r="E34" s="323">
        <f>+'IT Ongoing'!B34</f>
        <v>58</v>
      </c>
      <c r="F34" s="323">
        <f>SUM('CIT (SSF)'!D34)</f>
        <v>1832</v>
      </c>
      <c r="G34" s="323">
        <f>+'DHHS '!B34</f>
        <v>0</v>
      </c>
      <c r="H34" s="323">
        <f>+'PSC '!B34</f>
        <v>119</v>
      </c>
      <c r="I34" s="109">
        <f t="shared" si="0"/>
        <v>3717</v>
      </c>
    </row>
    <row r="35" spans="1:9" ht="15">
      <c r="A35" s="4" t="s">
        <v>7</v>
      </c>
      <c r="B35" s="323">
        <f>+'OD(SSF)'!B35</f>
        <v>2136</v>
      </c>
      <c r="C35" s="323">
        <f>SUM(Telecom!D35)</f>
        <v>542</v>
      </c>
      <c r="D35" s="323">
        <f>SUM('IT Software Dev'!D35)</f>
        <v>0</v>
      </c>
      <c r="E35" s="323">
        <f>+'IT Ongoing'!B35</f>
        <v>74</v>
      </c>
      <c r="F35" s="323">
        <f>SUM('CIT (SSF)'!D35)</f>
        <v>2400</v>
      </c>
      <c r="G35" s="323">
        <f>+'DHHS '!B35</f>
        <v>0</v>
      </c>
      <c r="H35" s="323">
        <f>+'PSC '!B35</f>
        <v>215</v>
      </c>
      <c r="I35" s="109">
        <f t="shared" si="0"/>
        <v>5367</v>
      </c>
    </row>
    <row r="36" spans="1:9" ht="15">
      <c r="A36" s="4" t="s">
        <v>106</v>
      </c>
      <c r="B36" s="323">
        <f>+'OD(SSF)'!B36</f>
        <v>1594</v>
      </c>
      <c r="C36" s="323">
        <f>SUM(Telecom!D36)</f>
        <v>437</v>
      </c>
      <c r="D36" s="323">
        <f>SUM('IT Software Dev'!D36)</f>
        <v>0</v>
      </c>
      <c r="E36" s="323">
        <f>+'IT Ongoing'!B36</f>
        <v>41</v>
      </c>
      <c r="F36" s="323">
        <f>SUM('CIT (SSF)'!D36)</f>
        <v>1254</v>
      </c>
      <c r="G36" s="323">
        <f>+'DHHS '!B36</f>
        <v>0</v>
      </c>
      <c r="H36" s="323">
        <f>+'PSC '!B36</f>
        <v>174</v>
      </c>
      <c r="I36" s="109">
        <f t="shared" si="0"/>
        <v>3500</v>
      </c>
    </row>
    <row r="37" spans="1:9" ht="15">
      <c r="A37" s="10" t="s">
        <v>93</v>
      </c>
      <c r="B37" s="324">
        <f>+'OD(SSF)'!B37</f>
        <v>974</v>
      </c>
      <c r="C37" s="324">
        <f>SUM(Telecom!D37)</f>
        <v>70</v>
      </c>
      <c r="D37" s="324">
        <f>SUM('IT Software Dev'!D37)</f>
        <v>0</v>
      </c>
      <c r="E37" s="324">
        <f>+'IT Ongoing'!B37</f>
        <v>22</v>
      </c>
      <c r="F37" s="324">
        <f>SUM('CIT (SSF)'!D37)</f>
        <v>1293</v>
      </c>
      <c r="G37" s="324">
        <f>+'DHHS '!B37</f>
        <v>0</v>
      </c>
      <c r="H37" s="323">
        <f>+'PSC '!B37</f>
        <v>118</v>
      </c>
      <c r="I37" s="109">
        <f t="shared" si="0"/>
        <v>2477</v>
      </c>
    </row>
    <row r="38" spans="1:9" ht="15.75">
      <c r="A38" s="238"/>
      <c r="B38" s="239"/>
      <c r="C38" s="1"/>
      <c r="D38" s="1"/>
      <c r="E38" s="1"/>
      <c r="F38" s="1"/>
      <c r="G38" s="1"/>
      <c r="H38" s="1"/>
      <c r="I38" s="240"/>
    </row>
    <row r="39" spans="1:9" ht="15.75">
      <c r="A39" s="7" t="s">
        <v>35</v>
      </c>
      <c r="B39" s="8">
        <f>SUM(B5:B38)</f>
        <v>84702</v>
      </c>
      <c r="C39" s="8">
        <f aca="true" t="shared" si="1" ref="C39:H39">SUM(C5:C38)</f>
        <v>11007</v>
      </c>
      <c r="D39" s="8">
        <f t="shared" si="1"/>
        <v>28770</v>
      </c>
      <c r="E39" s="8">
        <f t="shared" si="1"/>
        <v>54280</v>
      </c>
      <c r="F39" s="325">
        <f t="shared" si="1"/>
        <v>70391</v>
      </c>
      <c r="G39" s="8">
        <f t="shared" si="1"/>
        <v>31894.999999999996</v>
      </c>
      <c r="H39" s="8">
        <f t="shared" si="1"/>
        <v>37690.99999999999</v>
      </c>
      <c r="I39" s="110">
        <f>SUM(I5:I38)</f>
        <v>318736.00000000006</v>
      </c>
    </row>
    <row r="40" spans="1:9" s="143" customFormat="1" ht="12.75">
      <c r="A40" s="140" t="s">
        <v>72</v>
      </c>
      <c r="H40" s="237"/>
      <c r="I40" s="237"/>
    </row>
    <row r="41" ht="12.75">
      <c r="I41" s="340"/>
    </row>
    <row r="42" spans="6:9" ht="12.75">
      <c r="F42" s="83"/>
      <c r="I42" s="30"/>
    </row>
    <row r="43" ht="15">
      <c r="I43" s="341"/>
    </row>
    <row r="44" ht="12.75">
      <c r="I44" s="30"/>
    </row>
    <row r="45" spans="5:6" ht="12.75">
      <c r="E45" s="83"/>
      <c r="F45" s="83"/>
    </row>
  </sheetData>
  <mergeCells count="2">
    <mergeCell ref="A1:I1"/>
    <mergeCell ref="A2:I2"/>
  </mergeCells>
  <printOptions/>
  <pageMargins left="0.75" right="0.75" top="0.54" bottom="0.59" header="0.5" footer="0.5"/>
  <pageSetup fitToHeight="1" fitToWidth="1" horizontalDpi="600" verticalDpi="600" orientation="landscape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L54"/>
  <sheetViews>
    <sheetView zoomScale="90" zoomScaleNormal="90" workbookViewId="0" topLeftCell="A1">
      <selection activeCell="F29" sqref="F5:F29"/>
    </sheetView>
  </sheetViews>
  <sheetFormatPr defaultColWidth="9.140625" defaultRowHeight="12.75"/>
  <cols>
    <col min="1" max="1" width="12.421875" style="0" customWidth="1"/>
    <col min="2" max="2" width="16.28125" style="0" customWidth="1"/>
    <col min="3" max="3" width="12.00390625" style="0" customWidth="1"/>
    <col min="4" max="4" width="14.00390625" style="0" customWidth="1"/>
    <col min="5" max="5" width="2.28125" style="0" customWidth="1"/>
    <col min="6" max="6" width="15.00390625" style="0" customWidth="1"/>
    <col min="7" max="7" width="2.57421875" style="0" hidden="1" customWidth="1"/>
    <col min="8" max="8" width="14.140625" style="0" hidden="1" customWidth="1"/>
    <col min="9" max="9" width="11.28125" style="0" hidden="1" customWidth="1"/>
    <col min="10" max="10" width="0" style="0" hidden="1" customWidth="1"/>
  </cols>
  <sheetData>
    <row r="1" spans="1:6" ht="12.75">
      <c r="A1" s="371" t="s">
        <v>150</v>
      </c>
      <c r="B1" s="371"/>
      <c r="C1" s="371"/>
      <c r="D1" s="371"/>
      <c r="E1" s="371"/>
      <c r="F1" s="371"/>
    </row>
    <row r="3" spans="2:9" ht="12.75">
      <c r="B3" s="372" t="s">
        <v>191</v>
      </c>
      <c r="C3" s="373"/>
      <c r="D3" s="221" t="s">
        <v>206</v>
      </c>
      <c r="F3" s="68" t="s">
        <v>107</v>
      </c>
      <c r="H3" s="127" t="s">
        <v>65</v>
      </c>
      <c r="I3" s="17"/>
    </row>
    <row r="4" spans="2:9" ht="12.75">
      <c r="B4" s="72" t="s">
        <v>192</v>
      </c>
      <c r="C4" s="125" t="s">
        <v>207</v>
      </c>
      <c r="D4" s="125" t="s">
        <v>167</v>
      </c>
      <c r="F4" s="72" t="s">
        <v>108</v>
      </c>
      <c r="H4" s="128" t="s">
        <v>168</v>
      </c>
      <c r="I4" s="128" t="s">
        <v>107</v>
      </c>
    </row>
    <row r="5" spans="1:9" ht="12.75">
      <c r="A5" s="11" t="s">
        <v>0</v>
      </c>
      <c r="B5" s="41">
        <v>2875</v>
      </c>
      <c r="C5" s="29">
        <v>5</v>
      </c>
      <c r="D5" s="29">
        <f>SUM(B5-C5)</f>
        <v>2870</v>
      </c>
      <c r="F5" s="41">
        <v>2919</v>
      </c>
      <c r="G5" s="43"/>
      <c r="H5" s="43">
        <f>SUM(D5/$D$38)</f>
        <v>0.16521789188878014</v>
      </c>
      <c r="I5" s="43">
        <f>SUM(F5/$F$38)</f>
        <v>0.16299977663614026</v>
      </c>
    </row>
    <row r="6" spans="1:9" ht="12.75">
      <c r="A6" s="12" t="s">
        <v>10</v>
      </c>
      <c r="B6" s="28">
        <v>817</v>
      </c>
      <c r="C6" s="29">
        <v>6</v>
      </c>
      <c r="D6" s="29">
        <f aca="true" t="shared" si="0" ref="D6:D37">SUM(B6-C6)</f>
        <v>811</v>
      </c>
      <c r="F6" s="28">
        <v>870</v>
      </c>
      <c r="G6" s="43"/>
      <c r="H6" s="43">
        <f aca="true" t="shared" si="1" ref="H6:H37">SUM(D6/$D$38)</f>
        <v>0.0466870070807668</v>
      </c>
      <c r="I6" s="43">
        <f>SUM(F6/$F$38)</f>
        <v>0.0485816394907304</v>
      </c>
    </row>
    <row r="7" spans="1:9" ht="12.75">
      <c r="A7" s="12" t="s">
        <v>11</v>
      </c>
      <c r="B7" s="28">
        <v>256</v>
      </c>
      <c r="C7" s="29">
        <v>0</v>
      </c>
      <c r="D7" s="29">
        <f t="shared" si="0"/>
        <v>256</v>
      </c>
      <c r="F7" s="28">
        <v>244</v>
      </c>
      <c r="G7" s="43"/>
      <c r="H7" s="43">
        <f t="shared" si="1"/>
        <v>0.01473720568764032</v>
      </c>
      <c r="I7" s="43">
        <f aca="true" t="shared" si="2" ref="I7:I37">SUM(F7/$F$38)</f>
        <v>0.013625195443377262</v>
      </c>
    </row>
    <row r="8" spans="1:9" ht="12.75">
      <c r="A8" s="12" t="s">
        <v>12</v>
      </c>
      <c r="B8" s="28">
        <v>655</v>
      </c>
      <c r="C8" s="29">
        <v>3</v>
      </c>
      <c r="D8" s="29">
        <f t="shared" si="0"/>
        <v>652</v>
      </c>
      <c r="F8" s="28">
        <v>681</v>
      </c>
      <c r="G8" s="43"/>
      <c r="H8" s="43">
        <f t="shared" si="1"/>
        <v>0.03753382073570894</v>
      </c>
      <c r="I8" s="43">
        <f t="shared" si="2"/>
        <v>0.03802769711860621</v>
      </c>
    </row>
    <row r="9" spans="1:9" ht="12.75">
      <c r="A9" s="12" t="s">
        <v>13</v>
      </c>
      <c r="B9" s="28">
        <v>547</v>
      </c>
      <c r="C9" s="29">
        <v>2</v>
      </c>
      <c r="D9" s="29">
        <f t="shared" si="0"/>
        <v>545</v>
      </c>
      <c r="F9" s="28">
        <v>526</v>
      </c>
      <c r="G9" s="43"/>
      <c r="H9" s="43">
        <f t="shared" si="1"/>
        <v>0.03137412929595303</v>
      </c>
      <c r="I9" s="43">
        <f t="shared" si="2"/>
        <v>0.029372347554165738</v>
      </c>
    </row>
    <row r="10" spans="1:9" ht="12.75">
      <c r="A10" s="12" t="s">
        <v>14</v>
      </c>
      <c r="B10" s="28">
        <v>1639</v>
      </c>
      <c r="C10" s="29">
        <v>0</v>
      </c>
      <c r="D10" s="29">
        <f t="shared" si="0"/>
        <v>1639</v>
      </c>
      <c r="F10" s="28">
        <v>1665</v>
      </c>
      <c r="G10" s="43"/>
      <c r="H10" s="43">
        <f t="shared" si="1"/>
        <v>0.09435265672672846</v>
      </c>
      <c r="I10" s="43">
        <f t="shared" si="2"/>
        <v>0.09297520661157024</v>
      </c>
    </row>
    <row r="11" spans="1:9" ht="12.75">
      <c r="A11" s="12" t="s">
        <v>15</v>
      </c>
      <c r="B11" s="28">
        <v>129</v>
      </c>
      <c r="C11" s="29">
        <v>2</v>
      </c>
      <c r="D11" s="29">
        <f t="shared" si="0"/>
        <v>127</v>
      </c>
      <c r="F11" s="28">
        <v>147</v>
      </c>
      <c r="G11" s="43"/>
      <c r="H11" s="43">
        <f t="shared" si="1"/>
        <v>0.007311035634102815</v>
      </c>
      <c r="I11" s="43">
        <f t="shared" si="2"/>
        <v>0.008208621844985482</v>
      </c>
    </row>
    <row r="12" spans="1:9" ht="12.75">
      <c r="A12" s="12" t="s">
        <v>16</v>
      </c>
      <c r="B12" s="28">
        <v>557</v>
      </c>
      <c r="C12" s="29">
        <v>0</v>
      </c>
      <c r="D12" s="29">
        <f t="shared" si="0"/>
        <v>557</v>
      </c>
      <c r="F12" s="28">
        <v>599</v>
      </c>
      <c r="G12" s="43"/>
      <c r="H12" s="43">
        <f t="shared" si="1"/>
        <v>0.03206493581256117</v>
      </c>
      <c r="I12" s="43">
        <f t="shared" si="2"/>
        <v>0.03344873799419254</v>
      </c>
    </row>
    <row r="13" spans="1:9" ht="12.75">
      <c r="A13" s="12" t="s">
        <v>17</v>
      </c>
      <c r="B13" s="28">
        <v>215</v>
      </c>
      <c r="C13" s="29">
        <v>2</v>
      </c>
      <c r="D13" s="29">
        <f t="shared" si="0"/>
        <v>213</v>
      </c>
      <c r="F13" s="28">
        <v>236</v>
      </c>
      <c r="G13" s="43"/>
      <c r="H13" s="43">
        <f t="shared" si="1"/>
        <v>0.012261815669794484</v>
      </c>
      <c r="I13" s="43">
        <f t="shared" si="2"/>
        <v>0.013178467723922269</v>
      </c>
    </row>
    <row r="14" spans="1:9" ht="12.75">
      <c r="A14" s="12" t="s">
        <v>18</v>
      </c>
      <c r="B14" s="28">
        <v>677</v>
      </c>
      <c r="C14" s="29">
        <v>0</v>
      </c>
      <c r="D14" s="29">
        <f t="shared" si="0"/>
        <v>677</v>
      </c>
      <c r="F14" s="28">
        <v>679</v>
      </c>
      <c r="G14" s="43"/>
      <c r="H14" s="43">
        <f t="shared" si="1"/>
        <v>0.038973000978642564</v>
      </c>
      <c r="I14" s="43">
        <f t="shared" si="2"/>
        <v>0.03791601518874246</v>
      </c>
    </row>
    <row r="15" spans="1:9" ht="12.75">
      <c r="A15" s="12" t="s">
        <v>19</v>
      </c>
      <c r="B15" s="28">
        <v>386</v>
      </c>
      <c r="C15" s="29">
        <v>0</v>
      </c>
      <c r="D15" s="29">
        <f t="shared" si="0"/>
        <v>386</v>
      </c>
      <c r="F15" s="28">
        <v>401</v>
      </c>
      <c r="G15" s="43"/>
      <c r="H15" s="43">
        <f t="shared" si="1"/>
        <v>0.02222094295089517</v>
      </c>
      <c r="I15" s="43">
        <f t="shared" si="2"/>
        <v>0.022392226937681482</v>
      </c>
    </row>
    <row r="16" spans="1:9" ht="12.75">
      <c r="A16" s="12" t="s">
        <v>20</v>
      </c>
      <c r="B16" s="28">
        <v>217</v>
      </c>
      <c r="C16" s="29">
        <v>1</v>
      </c>
      <c r="D16" s="29">
        <f t="shared" si="0"/>
        <v>216</v>
      </c>
      <c r="F16" s="28">
        <v>233</v>
      </c>
      <c r="G16" s="43"/>
      <c r="H16" s="43">
        <f t="shared" si="1"/>
        <v>0.01243451729894652</v>
      </c>
      <c r="I16" s="43">
        <f t="shared" si="2"/>
        <v>0.013010944829126648</v>
      </c>
    </row>
    <row r="17" spans="1:9" ht="12.75">
      <c r="A17" s="12" t="s">
        <v>21</v>
      </c>
      <c r="B17" s="28">
        <v>138</v>
      </c>
      <c r="C17" s="29">
        <v>0</v>
      </c>
      <c r="D17" s="29">
        <f t="shared" si="0"/>
        <v>138</v>
      </c>
      <c r="F17" s="28">
        <v>152</v>
      </c>
      <c r="G17" s="43"/>
      <c r="H17" s="43">
        <f t="shared" si="1"/>
        <v>0.00794427494099361</v>
      </c>
      <c r="I17" s="43">
        <f t="shared" si="2"/>
        <v>0.008487826669644852</v>
      </c>
    </row>
    <row r="18" spans="1:9" ht="12.75">
      <c r="A18" s="12" t="s">
        <v>22</v>
      </c>
      <c r="B18" s="28">
        <v>651</v>
      </c>
      <c r="C18" s="29">
        <v>4</v>
      </c>
      <c r="D18" s="29">
        <f t="shared" si="0"/>
        <v>647</v>
      </c>
      <c r="F18" s="28">
        <v>655</v>
      </c>
      <c r="G18" s="43"/>
      <c r="H18" s="43">
        <f t="shared" si="1"/>
        <v>0.037245984687122216</v>
      </c>
      <c r="I18" s="43">
        <f t="shared" si="2"/>
        <v>0.03657583203037749</v>
      </c>
    </row>
    <row r="19" spans="1:9" ht="12.75">
      <c r="A19" s="12" t="s">
        <v>23</v>
      </c>
      <c r="B19" s="28">
        <v>371</v>
      </c>
      <c r="C19" s="29">
        <v>1</v>
      </c>
      <c r="D19" s="29">
        <f t="shared" si="0"/>
        <v>370</v>
      </c>
      <c r="F19" s="28">
        <v>389</v>
      </c>
      <c r="G19" s="43"/>
      <c r="H19" s="43">
        <f t="shared" si="1"/>
        <v>0.02129986759541765</v>
      </c>
      <c r="I19" s="43">
        <f t="shared" si="2"/>
        <v>0.021722135358498994</v>
      </c>
    </row>
    <row r="20" spans="1:9" ht="12.75">
      <c r="A20" s="12" t="s">
        <v>24</v>
      </c>
      <c r="B20" s="28">
        <v>230</v>
      </c>
      <c r="C20" s="29">
        <v>0</v>
      </c>
      <c r="D20" s="29">
        <f t="shared" si="0"/>
        <v>230</v>
      </c>
      <c r="F20" s="28">
        <v>233</v>
      </c>
      <c r="G20" s="43"/>
      <c r="H20" s="43">
        <f t="shared" si="1"/>
        <v>0.01324045823498935</v>
      </c>
      <c r="I20" s="43">
        <f t="shared" si="2"/>
        <v>0.013010944829126648</v>
      </c>
    </row>
    <row r="21" spans="1:9" ht="12.75">
      <c r="A21" s="12" t="s">
        <v>25</v>
      </c>
      <c r="B21" s="28">
        <v>45</v>
      </c>
      <c r="C21" s="29">
        <v>0</v>
      </c>
      <c r="D21" s="29">
        <f t="shared" si="0"/>
        <v>45</v>
      </c>
      <c r="F21" s="28">
        <v>56</v>
      </c>
      <c r="G21" s="43"/>
      <c r="H21" s="43">
        <f t="shared" si="1"/>
        <v>0.002590524437280525</v>
      </c>
      <c r="I21" s="43">
        <f t="shared" si="2"/>
        <v>0.003127094036184945</v>
      </c>
    </row>
    <row r="22" spans="1:9" ht="12.75">
      <c r="A22" s="12" t="s">
        <v>26</v>
      </c>
      <c r="B22" s="28">
        <v>305</v>
      </c>
      <c r="C22" s="29">
        <v>23</v>
      </c>
      <c r="D22" s="29">
        <f t="shared" si="0"/>
        <v>282</v>
      </c>
      <c r="F22" s="28">
        <v>314</v>
      </c>
      <c r="G22" s="43"/>
      <c r="H22" s="43">
        <f t="shared" si="1"/>
        <v>0.01623395314029129</v>
      </c>
      <c r="I22" s="43">
        <f t="shared" si="2"/>
        <v>0.017534062988608445</v>
      </c>
    </row>
    <row r="23" spans="1:9" ht="12.75">
      <c r="A23" s="12" t="s">
        <v>27</v>
      </c>
      <c r="B23" s="28">
        <v>51</v>
      </c>
      <c r="C23" s="29">
        <v>2</v>
      </c>
      <c r="D23" s="29">
        <f t="shared" si="0"/>
        <v>49</v>
      </c>
      <c r="F23" s="28">
        <v>72</v>
      </c>
      <c r="G23" s="43"/>
      <c r="H23" s="43">
        <f t="shared" si="1"/>
        <v>0.002820793276149905</v>
      </c>
      <c r="I23" s="43">
        <f t="shared" si="2"/>
        <v>0.0040205494750949295</v>
      </c>
    </row>
    <row r="24" spans="1:9" ht="12.75">
      <c r="A24" s="12" t="s">
        <v>28</v>
      </c>
      <c r="B24" s="28">
        <v>109</v>
      </c>
      <c r="C24" s="29">
        <v>10</v>
      </c>
      <c r="D24" s="29">
        <f t="shared" si="0"/>
        <v>99</v>
      </c>
      <c r="F24" s="28">
        <v>120</v>
      </c>
      <c r="G24" s="43"/>
      <c r="H24" s="43">
        <f t="shared" si="1"/>
        <v>0.005699153762017155</v>
      </c>
      <c r="I24" s="43">
        <f t="shared" si="2"/>
        <v>0.006700915791824883</v>
      </c>
    </row>
    <row r="25" spans="1:9" ht="12.75">
      <c r="A25" s="12" t="s">
        <v>29</v>
      </c>
      <c r="B25" s="28">
        <v>77</v>
      </c>
      <c r="C25" s="29">
        <v>0</v>
      </c>
      <c r="D25" s="29">
        <f t="shared" si="0"/>
        <v>77</v>
      </c>
      <c r="F25" s="28">
        <v>77</v>
      </c>
      <c r="G25" s="43"/>
      <c r="H25" s="43">
        <f t="shared" si="1"/>
        <v>0.004432675148235565</v>
      </c>
      <c r="I25" s="43">
        <f t="shared" si="2"/>
        <v>0.0042997542997543</v>
      </c>
    </row>
    <row r="26" spans="1:9" ht="12.75">
      <c r="A26" s="12" t="s">
        <v>30</v>
      </c>
      <c r="B26" s="28">
        <v>31</v>
      </c>
      <c r="C26" s="29">
        <v>0</v>
      </c>
      <c r="D26" s="29">
        <f t="shared" si="0"/>
        <v>31</v>
      </c>
      <c r="F26" s="28">
        <v>33</v>
      </c>
      <c r="G26" s="43"/>
      <c r="H26" s="43">
        <f t="shared" si="1"/>
        <v>0.001784583501237695</v>
      </c>
      <c r="I26" s="43">
        <f t="shared" si="2"/>
        <v>0.0018427518427518428</v>
      </c>
    </row>
    <row r="27" spans="1:9" ht="12.75">
      <c r="A27" s="12" t="s">
        <v>31</v>
      </c>
      <c r="B27" s="28">
        <v>55</v>
      </c>
      <c r="C27" s="29">
        <v>0</v>
      </c>
      <c r="D27" s="29">
        <f t="shared" si="0"/>
        <v>55</v>
      </c>
      <c r="F27" s="28">
        <v>62</v>
      </c>
      <c r="G27" s="43"/>
      <c r="H27" s="43">
        <f t="shared" si="1"/>
        <v>0.003166196534453975</v>
      </c>
      <c r="I27" s="43">
        <f t="shared" si="2"/>
        <v>0.0034621398257761895</v>
      </c>
    </row>
    <row r="28" spans="1:9" ht="12.75">
      <c r="A28" s="12" t="s">
        <v>32</v>
      </c>
      <c r="B28" s="28">
        <v>671</v>
      </c>
      <c r="C28" s="29">
        <v>7</v>
      </c>
      <c r="D28" s="29">
        <f t="shared" si="0"/>
        <v>664</v>
      </c>
      <c r="F28" s="28">
        <v>727</v>
      </c>
      <c r="G28" s="43"/>
      <c r="H28" s="43">
        <f t="shared" si="1"/>
        <v>0.03822462725231708</v>
      </c>
      <c r="I28" s="43">
        <f t="shared" si="2"/>
        <v>0.040596381505472415</v>
      </c>
    </row>
    <row r="29" spans="1:9" ht="12.75">
      <c r="A29" s="12" t="s">
        <v>33</v>
      </c>
      <c r="B29" s="28">
        <v>0</v>
      </c>
      <c r="C29" s="29">
        <v>0</v>
      </c>
      <c r="D29" s="29">
        <f t="shared" si="0"/>
        <v>0</v>
      </c>
      <c r="F29" s="28">
        <v>0</v>
      </c>
      <c r="G29" s="43"/>
      <c r="H29" s="43">
        <f t="shared" si="1"/>
        <v>0</v>
      </c>
      <c r="I29" s="43">
        <f t="shared" si="2"/>
        <v>0</v>
      </c>
    </row>
    <row r="30" spans="1:9" ht="12.75">
      <c r="A30" s="12" t="s">
        <v>6</v>
      </c>
      <c r="B30" s="28">
        <v>634</v>
      </c>
      <c r="C30" s="29">
        <v>10</v>
      </c>
      <c r="D30" s="29">
        <f t="shared" si="0"/>
        <v>624</v>
      </c>
      <c r="F30" s="28">
        <v>640</v>
      </c>
      <c r="G30" s="43"/>
      <c r="H30" s="43">
        <f t="shared" si="1"/>
        <v>0.03592193886362328</v>
      </c>
      <c r="I30" s="43">
        <f t="shared" si="2"/>
        <v>0.035738217556399374</v>
      </c>
    </row>
    <row r="31" spans="1:9" ht="12.75">
      <c r="A31" s="12" t="s">
        <v>174</v>
      </c>
      <c r="B31" s="64">
        <f>1392-B37+38</f>
        <v>1084</v>
      </c>
      <c r="C31" s="29">
        <v>0</v>
      </c>
      <c r="D31" s="29">
        <f t="shared" si="0"/>
        <v>1084</v>
      </c>
      <c r="F31" s="28">
        <f>730+761+38</f>
        <v>1529</v>
      </c>
      <c r="G31" s="43"/>
      <c r="H31" s="43">
        <f t="shared" si="1"/>
        <v>0.06240285533360198</v>
      </c>
      <c r="I31" s="43">
        <f t="shared" si="2"/>
        <v>0.08538083538083538</v>
      </c>
    </row>
    <row r="32" spans="1:9" ht="12.75">
      <c r="A32" s="12" t="s">
        <v>34</v>
      </c>
      <c r="B32" s="28">
        <v>1883</v>
      </c>
      <c r="C32" s="29">
        <v>0</v>
      </c>
      <c r="D32" s="29">
        <f t="shared" si="0"/>
        <v>1883</v>
      </c>
      <c r="F32" s="28">
        <v>1901</v>
      </c>
      <c r="G32" s="43"/>
      <c r="H32" s="43">
        <f t="shared" si="1"/>
        <v>0.10839905589776064</v>
      </c>
      <c r="I32" s="43">
        <f t="shared" si="2"/>
        <v>0.10615367433549251</v>
      </c>
    </row>
    <row r="33" spans="1:9" ht="12.75">
      <c r="A33" s="12" t="s">
        <v>3</v>
      </c>
      <c r="B33" s="28">
        <v>301</v>
      </c>
      <c r="C33" s="29">
        <v>0</v>
      </c>
      <c r="D33" s="29">
        <f t="shared" si="0"/>
        <v>301</v>
      </c>
      <c r="F33" s="28">
        <v>303</v>
      </c>
      <c r="G33" s="43"/>
      <c r="H33" s="43">
        <f t="shared" si="1"/>
        <v>0.017327730124920844</v>
      </c>
      <c r="I33" s="43">
        <f t="shared" si="2"/>
        <v>0.01691981237435783</v>
      </c>
    </row>
    <row r="34" spans="1:9" ht="12.75">
      <c r="A34" s="12" t="s">
        <v>4</v>
      </c>
      <c r="B34" s="28">
        <f>388-38</f>
        <v>350</v>
      </c>
      <c r="C34" s="29">
        <v>0</v>
      </c>
      <c r="D34" s="29">
        <f t="shared" si="0"/>
        <v>350</v>
      </c>
      <c r="F34" s="28">
        <f>377-38</f>
        <v>339</v>
      </c>
      <c r="G34" s="43"/>
      <c r="H34" s="43">
        <f t="shared" si="1"/>
        <v>0.02014852340107075</v>
      </c>
      <c r="I34" s="43">
        <f t="shared" si="2"/>
        <v>0.018930087111905292</v>
      </c>
    </row>
    <row r="35" spans="1:9" ht="12.75">
      <c r="A35" s="12" t="s">
        <v>7</v>
      </c>
      <c r="B35" s="28">
        <v>633</v>
      </c>
      <c r="C35" s="29">
        <v>0</v>
      </c>
      <c r="D35" s="29">
        <f t="shared" si="0"/>
        <v>633</v>
      </c>
      <c r="F35" s="28">
        <v>604</v>
      </c>
      <c r="G35" s="43"/>
      <c r="H35" s="43">
        <f t="shared" si="1"/>
        <v>0.036440043751079385</v>
      </c>
      <c r="I35" s="43">
        <f t="shared" si="2"/>
        <v>0.03372794281885191</v>
      </c>
    </row>
    <row r="36" spans="1:9" ht="12.75">
      <c r="A36" s="12" t="s">
        <v>106</v>
      </c>
      <c r="B36" s="28">
        <v>514</v>
      </c>
      <c r="C36" s="29">
        <v>0</v>
      </c>
      <c r="D36" s="29">
        <f t="shared" si="0"/>
        <v>514</v>
      </c>
      <c r="F36" s="28">
        <v>502</v>
      </c>
      <c r="G36" s="43"/>
      <c r="H36" s="43">
        <f t="shared" si="1"/>
        <v>0.02958954579471533</v>
      </c>
      <c r="I36" s="43">
        <f t="shared" si="2"/>
        <v>0.02803216439580076</v>
      </c>
    </row>
    <row r="37" spans="1:12" ht="12.75">
      <c r="A37" s="12" t="s">
        <v>50</v>
      </c>
      <c r="B37" s="222">
        <v>346</v>
      </c>
      <c r="C37" s="222">
        <v>0</v>
      </c>
      <c r="D37" s="223">
        <f t="shared" si="0"/>
        <v>346</v>
      </c>
      <c r="E37" s="144"/>
      <c r="F37" s="222">
        <v>0</v>
      </c>
      <c r="G37" s="224"/>
      <c r="H37" s="224">
        <f t="shared" si="1"/>
        <v>0.01991825456220137</v>
      </c>
      <c r="I37" s="224">
        <f t="shared" si="2"/>
        <v>0</v>
      </c>
      <c r="J37" s="144"/>
      <c r="K37" s="144"/>
      <c r="L37" s="144"/>
    </row>
    <row r="38" spans="1:9" ht="12.75">
      <c r="A38" s="70" t="s">
        <v>80</v>
      </c>
      <c r="B38" s="69">
        <f>SUM(B5:B37)</f>
        <v>17449</v>
      </c>
      <c r="C38" s="69">
        <f>SUM(C5:C37)</f>
        <v>78</v>
      </c>
      <c r="D38" s="69">
        <f>SUM(D5:D37)</f>
        <v>17371</v>
      </c>
      <c r="F38" s="69">
        <f>SUM(F5:F37)</f>
        <v>17908</v>
      </c>
      <c r="H38" s="44">
        <f>SUM(H5:H37)</f>
        <v>0.9999999999999999</v>
      </c>
      <c r="I38" s="44">
        <f>SUM(I5:I37)</f>
        <v>1</v>
      </c>
    </row>
    <row r="39" spans="1:6" ht="12.75">
      <c r="A39" s="206" t="s">
        <v>193</v>
      </c>
      <c r="B39" s="206"/>
      <c r="C39" s="206"/>
      <c r="D39" s="126"/>
      <c r="E39" s="126"/>
      <c r="F39" s="126" t="s">
        <v>190</v>
      </c>
    </row>
    <row r="40" spans="1:7" ht="12.75">
      <c r="A40" s="227"/>
      <c r="C40" s="38"/>
      <c r="G40" s="38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spans="1:2" ht="12.75">
      <c r="A48" s="12"/>
      <c r="B48" s="135"/>
    </row>
    <row r="49" spans="1:2" ht="12.75">
      <c r="A49" s="12"/>
      <c r="B49" s="135"/>
    </row>
    <row r="50" spans="1:2" ht="12.75">
      <c r="A50" s="12"/>
      <c r="B50" s="135"/>
    </row>
    <row r="51" spans="1:2" ht="12.75">
      <c r="A51" s="12"/>
      <c r="B51" s="135"/>
    </row>
    <row r="52" spans="1:2" ht="12.75">
      <c r="A52" s="12"/>
      <c r="B52" s="135"/>
    </row>
    <row r="53" spans="1:2" ht="12.75">
      <c r="A53" s="12"/>
      <c r="B53" s="135"/>
    </row>
    <row r="54" spans="1:2" ht="12.75">
      <c r="A54" s="89"/>
      <c r="B54" s="88"/>
    </row>
  </sheetData>
  <mergeCells count="2">
    <mergeCell ref="A1:F1"/>
    <mergeCell ref="B3:C3"/>
  </mergeCells>
  <printOptions/>
  <pageMargins left="0.75" right="0.75" top="0.54" bottom="0.59" header="0.5" footer="0.5"/>
  <pageSetup fitToHeight="1" fitToWidth="1"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I39"/>
  <sheetViews>
    <sheetView zoomScale="90" zoomScaleNormal="90" workbookViewId="0" topLeftCell="A1">
      <selection activeCell="O42" sqref="O42"/>
    </sheetView>
  </sheetViews>
  <sheetFormatPr defaultColWidth="9.140625" defaultRowHeight="12.75"/>
  <cols>
    <col min="1" max="1" width="18.8515625" style="170" customWidth="1"/>
    <col min="2" max="2" width="14.421875" style="170" customWidth="1"/>
    <col min="3" max="3" width="2.7109375" style="170" customWidth="1"/>
    <col min="4" max="4" width="12.7109375" style="170" customWidth="1"/>
    <col min="5" max="5" width="2.8515625" style="170" customWidth="1"/>
    <col min="6" max="6" width="13.28125" style="170" customWidth="1"/>
    <col min="7" max="7" width="9.140625" style="170" customWidth="1"/>
    <col min="8" max="8" width="15.00390625" style="170" customWidth="1"/>
    <col min="9" max="16384" width="9.140625" style="170" customWidth="1"/>
  </cols>
  <sheetData>
    <row r="1" spans="1:6" ht="12.75">
      <c r="A1" s="374" t="s">
        <v>57</v>
      </c>
      <c r="B1" s="374"/>
      <c r="C1" s="374"/>
      <c r="D1" s="374"/>
      <c r="E1" s="374"/>
      <c r="F1" s="374"/>
    </row>
    <row r="2" spans="1:6" ht="12.75">
      <c r="A2" s="374" t="s">
        <v>58</v>
      </c>
      <c r="B2" s="374"/>
      <c r="C2" s="374"/>
      <c r="D2" s="374"/>
      <c r="E2" s="374"/>
      <c r="F2" s="374"/>
    </row>
    <row r="3" spans="1:6" ht="12.75">
      <c r="A3" s="374" t="s">
        <v>265</v>
      </c>
      <c r="B3" s="374"/>
      <c r="C3" s="374"/>
      <c r="D3" s="374"/>
      <c r="E3" s="374"/>
      <c r="F3" s="374"/>
    </row>
    <row r="4" spans="1:6" ht="12.75">
      <c r="A4" s="375" t="s">
        <v>97</v>
      </c>
      <c r="B4" s="375"/>
      <c r="C4" s="375"/>
      <c r="D4" s="375"/>
      <c r="E4" s="375"/>
      <c r="F4" s="375"/>
    </row>
    <row r="5" ht="12.75">
      <c r="A5" s="173"/>
    </row>
    <row r="6" ht="12.75">
      <c r="A6" s="174"/>
    </row>
    <row r="7" spans="2:8" ht="12.75">
      <c r="B7" s="174" t="s">
        <v>198</v>
      </c>
      <c r="H7" s="82"/>
    </row>
    <row r="8" spans="1:6" ht="12.75">
      <c r="A8" s="175"/>
      <c r="B8" s="174" t="s">
        <v>59</v>
      </c>
      <c r="F8" s="174" t="s">
        <v>198</v>
      </c>
    </row>
    <row r="9" spans="1:6" ht="12.75">
      <c r="A9" s="175"/>
      <c r="B9" s="174" t="s">
        <v>40</v>
      </c>
      <c r="C9" s="174"/>
      <c r="D9" s="174" t="s">
        <v>37</v>
      </c>
      <c r="E9" s="174"/>
      <c r="F9" s="174" t="s">
        <v>96</v>
      </c>
    </row>
    <row r="10" spans="1:6" ht="12.75">
      <c r="A10" s="175"/>
      <c r="B10" s="176" t="s">
        <v>95</v>
      </c>
      <c r="C10" s="177"/>
      <c r="D10" s="176" t="s">
        <v>305</v>
      </c>
      <c r="E10" s="177"/>
      <c r="F10" s="176" t="s">
        <v>60</v>
      </c>
    </row>
    <row r="11" spans="1:6" ht="12.75">
      <c r="A11" s="175" t="s">
        <v>0</v>
      </c>
      <c r="B11" s="178">
        <f>SUM(PB!D6)</f>
        <v>696729</v>
      </c>
      <c r="C11" s="178"/>
      <c r="D11" s="179">
        <f aca="true" t="shared" si="0" ref="D11:D16">SUM(B11/$H$38)</f>
        <v>0.27479143027186537</v>
      </c>
      <c r="E11" s="179"/>
      <c r="F11" s="178">
        <f>ROUND(D11*$H$37,0)-1</f>
        <v>93223</v>
      </c>
    </row>
    <row r="12" spans="1:6" ht="12.75">
      <c r="A12" s="175" t="s">
        <v>10</v>
      </c>
      <c r="B12" s="180">
        <f>SUM(PB!D7)</f>
        <v>168515</v>
      </c>
      <c r="C12" s="180"/>
      <c r="D12" s="179">
        <f t="shared" si="0"/>
        <v>0.06646268186377112</v>
      </c>
      <c r="E12" s="179"/>
      <c r="F12" s="180">
        <f>ROUND(D12*$H$37,0)</f>
        <v>22548</v>
      </c>
    </row>
    <row r="13" spans="1:6" ht="12.75">
      <c r="A13" s="175" t="s">
        <v>11</v>
      </c>
      <c r="B13" s="180">
        <f>SUM(PB!D8)</f>
        <v>56900</v>
      </c>
      <c r="C13" s="180"/>
      <c r="D13" s="179">
        <f t="shared" si="0"/>
        <v>0.02244148353587857</v>
      </c>
      <c r="E13" s="179"/>
      <c r="F13" s="180">
        <f>ROUND(D13*$H$37,0)</f>
        <v>7613</v>
      </c>
    </row>
    <row r="14" spans="1:6" ht="12.75">
      <c r="A14" s="175" t="s">
        <v>12</v>
      </c>
      <c r="B14" s="180">
        <f>SUM(PB!D9)</f>
        <v>163106</v>
      </c>
      <c r="C14" s="180"/>
      <c r="D14" s="179">
        <f t="shared" si="0"/>
        <v>0.06432936052026379</v>
      </c>
      <c r="E14" s="179"/>
      <c r="F14" s="180">
        <f>ROUND(D14*$H$37,0)</f>
        <v>21824</v>
      </c>
    </row>
    <row r="15" spans="1:6" ht="12.75">
      <c r="A15" s="175" t="s">
        <v>13</v>
      </c>
      <c r="B15" s="180">
        <f>SUM(PB!D10)</f>
        <v>141238</v>
      </c>
      <c r="C15" s="180"/>
      <c r="D15" s="179">
        <f t="shared" si="0"/>
        <v>0.05570457384253809</v>
      </c>
      <c r="E15" s="179"/>
      <c r="F15" s="180">
        <f>ROUND(D15*$H$37,0)</f>
        <v>18898</v>
      </c>
    </row>
    <row r="16" spans="1:6" ht="12.75">
      <c r="A16" s="175" t="s">
        <v>14</v>
      </c>
      <c r="B16" s="180">
        <f>SUM(PB!D11)</f>
        <v>540734</v>
      </c>
      <c r="C16" s="180"/>
      <c r="D16" s="179">
        <f t="shared" si="0"/>
        <v>0.21326666359032972</v>
      </c>
      <c r="E16" s="179"/>
      <c r="F16" s="180">
        <f>ROUND(D16*$H$37,0)</f>
        <v>72351</v>
      </c>
    </row>
    <row r="17" spans="1:6" ht="12.75">
      <c r="A17" s="175" t="s">
        <v>61</v>
      </c>
      <c r="B17" s="181">
        <f>SUM(PB!D12)</f>
        <v>2491</v>
      </c>
      <c r="C17" s="180"/>
      <c r="D17" s="179">
        <v>0</v>
      </c>
      <c r="E17" s="179"/>
      <c r="F17" s="182">
        <v>153</v>
      </c>
    </row>
    <row r="18" spans="1:6" ht="12.75">
      <c r="A18" s="175" t="s">
        <v>16</v>
      </c>
      <c r="B18" s="180">
        <f>SUM(PB!D13)</f>
        <v>158420</v>
      </c>
      <c r="C18" s="180"/>
      <c r="D18" s="179">
        <f>SUM(B18/$H$38)</f>
        <v>0.062481191946465425</v>
      </c>
      <c r="E18" s="179"/>
      <c r="F18" s="180">
        <f>ROUND(D18*$H$37,0)</f>
        <v>21197</v>
      </c>
    </row>
    <row r="19" spans="1:6" ht="12.75">
      <c r="A19" s="175" t="s">
        <v>17</v>
      </c>
      <c r="B19" s="180">
        <f>SUM(PB!D14)</f>
        <v>66778</v>
      </c>
      <c r="C19" s="180"/>
      <c r="D19" s="179">
        <f>SUM(B19/$H$38)</f>
        <v>0.026337388182054465</v>
      </c>
      <c r="E19" s="179"/>
      <c r="F19" s="180">
        <f>ROUND(D19*$H$37,0)</f>
        <v>8935</v>
      </c>
    </row>
    <row r="20" spans="1:6" ht="12.75">
      <c r="A20" s="175" t="s">
        <v>18</v>
      </c>
      <c r="B20" s="180">
        <f>SUM(PB!D15)-33661</f>
        <v>132045</v>
      </c>
      <c r="C20" s="183" t="s">
        <v>62</v>
      </c>
      <c r="D20" s="179">
        <f>SUM(B20/$H$38)</f>
        <v>0.052078834683569164</v>
      </c>
      <c r="E20" s="179"/>
      <c r="F20" s="180">
        <f>ROUND(D20*$H$37,0)</f>
        <v>17668</v>
      </c>
    </row>
    <row r="21" spans="1:6" ht="12.75">
      <c r="A21" s="175" t="s">
        <v>63</v>
      </c>
      <c r="B21" s="181">
        <f>SUM(PB!D16)</f>
        <v>101771</v>
      </c>
      <c r="C21" s="184"/>
      <c r="D21" s="179">
        <v>0</v>
      </c>
      <c r="E21" s="179"/>
      <c r="F21" s="182">
        <v>7629</v>
      </c>
    </row>
    <row r="22" spans="1:6" ht="12.75">
      <c r="A22" s="175" t="s">
        <v>20</v>
      </c>
      <c r="B22" s="180">
        <f>SUM(PB!D17)</f>
        <v>50437</v>
      </c>
      <c r="C22" s="185"/>
      <c r="D22" s="179">
        <f>SUM(B22/$H$38)</f>
        <v>0.01989246230402649</v>
      </c>
      <c r="E22" s="179"/>
      <c r="F22" s="180">
        <f>ROUND(D22*$H$37,0)</f>
        <v>6749</v>
      </c>
    </row>
    <row r="23" spans="1:6" ht="12.75">
      <c r="A23" s="175" t="s">
        <v>21</v>
      </c>
      <c r="B23" s="180">
        <f>SUM(PB!D18)</f>
        <v>35146</v>
      </c>
      <c r="C23" s="185"/>
      <c r="D23" s="179">
        <f>SUM(B23/$H$38)</f>
        <v>0.013861658705658843</v>
      </c>
      <c r="E23" s="179"/>
      <c r="F23" s="180">
        <f>ROUND(D23*$H$37,0)</f>
        <v>4703</v>
      </c>
    </row>
    <row r="24" spans="1:6" ht="12.75">
      <c r="A24" s="175" t="s">
        <v>22</v>
      </c>
      <c r="B24" s="180">
        <f>SUM(PB!D19)</f>
        <v>161057</v>
      </c>
      <c r="C24" s="185"/>
      <c r="D24" s="179">
        <f>SUM(B24/$H$38)</f>
        <v>0.06352123047166951</v>
      </c>
      <c r="E24" s="179"/>
      <c r="F24" s="180">
        <f>ROUND(D24*$H$37,0)</f>
        <v>21550</v>
      </c>
    </row>
    <row r="25" spans="1:6" ht="12.75">
      <c r="A25" s="175" t="s">
        <v>64</v>
      </c>
      <c r="B25" s="181">
        <f>SUM(PB!D20)</f>
        <v>81457</v>
      </c>
      <c r="D25" s="179">
        <v>0</v>
      </c>
      <c r="E25" s="179"/>
      <c r="F25" s="182">
        <v>4897</v>
      </c>
    </row>
    <row r="26" spans="1:6" ht="12.75">
      <c r="A26" s="175" t="s">
        <v>24</v>
      </c>
      <c r="B26" s="180">
        <f>SUM(PB!D21)</f>
        <v>45202</v>
      </c>
      <c r="C26" s="180"/>
      <c r="D26" s="179">
        <f aca="true" t="shared" si="1" ref="D26:D34">SUM(B26/$H$38)</f>
        <v>0.017827766938291443</v>
      </c>
      <c r="E26" s="179"/>
      <c r="F26" s="180">
        <f aca="true" t="shared" si="2" ref="F26:F34">ROUND(D26*$H$37,0)</f>
        <v>6048</v>
      </c>
    </row>
    <row r="27" spans="1:6" ht="12.75">
      <c r="A27" s="175" t="s">
        <v>25</v>
      </c>
      <c r="B27" s="180">
        <f>SUM(PB!D22)</f>
        <v>3325</v>
      </c>
      <c r="C27" s="180"/>
      <c r="D27" s="179">
        <f t="shared" si="1"/>
        <v>0.0013113872189243628</v>
      </c>
      <c r="E27" s="179"/>
      <c r="F27" s="180">
        <f t="shared" si="2"/>
        <v>445</v>
      </c>
    </row>
    <row r="28" spans="1:6" ht="12.75">
      <c r="A28" s="175" t="s">
        <v>26</v>
      </c>
      <c r="B28" s="180">
        <f>SUM(PB!D23)</f>
        <v>97013</v>
      </c>
      <c r="C28" s="180"/>
      <c r="D28" s="179">
        <f t="shared" si="1"/>
        <v>0.0382621378254163</v>
      </c>
      <c r="E28" s="179"/>
      <c r="F28" s="180">
        <f t="shared" si="2"/>
        <v>12981</v>
      </c>
    </row>
    <row r="29" spans="1:6" ht="12.75">
      <c r="A29" s="175" t="s">
        <v>27</v>
      </c>
      <c r="B29" s="180">
        <f>SUM(PB!D24)</f>
        <v>9181</v>
      </c>
      <c r="C29" s="180"/>
      <c r="D29" s="179">
        <f t="shared" si="1"/>
        <v>0.0036210063329156616</v>
      </c>
      <c r="E29" s="179"/>
      <c r="F29" s="180">
        <f t="shared" si="2"/>
        <v>1228</v>
      </c>
    </row>
    <row r="30" spans="1:6" ht="12.75">
      <c r="A30" s="175" t="s">
        <v>28</v>
      </c>
      <c r="B30" s="180">
        <f>SUM(PB!D25)</f>
        <v>0</v>
      </c>
      <c r="C30" s="180"/>
      <c r="D30" s="179">
        <f t="shared" si="1"/>
        <v>0</v>
      </c>
      <c r="E30" s="179"/>
      <c r="F30" s="180">
        <f t="shared" si="2"/>
        <v>0</v>
      </c>
    </row>
    <row r="31" spans="1:6" ht="12.75">
      <c r="A31" s="175" t="s">
        <v>29</v>
      </c>
      <c r="B31" s="180">
        <f>SUM(PB!D26)</f>
        <v>7370</v>
      </c>
      <c r="C31" s="180"/>
      <c r="D31" s="179">
        <f t="shared" si="1"/>
        <v>0.002906744001044377</v>
      </c>
      <c r="E31" s="179"/>
      <c r="F31" s="180">
        <f t="shared" si="2"/>
        <v>986</v>
      </c>
    </row>
    <row r="32" spans="1:6" ht="12.75">
      <c r="A32" s="175" t="s">
        <v>30</v>
      </c>
      <c r="B32" s="180">
        <f>SUM(PB!D27)</f>
        <v>2287</v>
      </c>
      <c r="C32" s="180"/>
      <c r="D32" s="179">
        <f t="shared" si="1"/>
        <v>0.0009019977653172986</v>
      </c>
      <c r="E32" s="179"/>
      <c r="F32" s="180">
        <f t="shared" si="2"/>
        <v>306</v>
      </c>
    </row>
    <row r="33" spans="1:6" ht="12.75">
      <c r="A33" s="175" t="s">
        <v>31</v>
      </c>
      <c r="B33" s="180">
        <f>SUM(PB!D28)</f>
        <v>0</v>
      </c>
      <c r="C33" s="180"/>
      <c r="D33" s="179">
        <f t="shared" si="1"/>
        <v>0</v>
      </c>
      <c r="E33" s="179"/>
      <c r="F33" s="180">
        <f t="shared" si="2"/>
        <v>0</v>
      </c>
    </row>
    <row r="34" spans="1:6" ht="12.75">
      <c r="A34" s="175" t="s">
        <v>32</v>
      </c>
      <c r="B34" s="180">
        <f>SUM(PB!D29)</f>
        <v>0</v>
      </c>
      <c r="C34" s="180"/>
      <c r="D34" s="179">
        <f t="shared" si="1"/>
        <v>0</v>
      </c>
      <c r="E34" s="179"/>
      <c r="F34" s="180">
        <f t="shared" si="2"/>
        <v>0</v>
      </c>
    </row>
    <row r="35" spans="1:6" ht="13.5" thickBot="1">
      <c r="A35" s="175"/>
      <c r="B35" s="186">
        <f>SUM(B11:B34)</f>
        <v>2721202</v>
      </c>
      <c r="C35" s="187"/>
      <c r="D35" s="188">
        <f>SUM(D11:D34)</f>
        <v>0.9999999999999999</v>
      </c>
      <c r="E35" s="188"/>
      <c r="F35" s="186">
        <f>SUM(F11:F34)</f>
        <v>351932</v>
      </c>
    </row>
    <row r="36" ht="13.5" thickTop="1">
      <c r="A36" s="175"/>
    </row>
    <row r="37" spans="1:9" ht="12.75">
      <c r="A37" s="170" t="s">
        <v>196</v>
      </c>
      <c r="H37" s="171">
        <f>351932-F17-F21-F25</f>
        <v>339253</v>
      </c>
      <c r="I37" s="63" t="s">
        <v>152</v>
      </c>
    </row>
    <row r="38" spans="1:9" ht="12.75">
      <c r="A38" s="189" t="s">
        <v>218</v>
      </c>
      <c r="H38" s="172">
        <f>SUM(B11:B34)-B25-B21-B17</f>
        <v>2535483</v>
      </c>
      <c r="I38" s="63" t="s">
        <v>173</v>
      </c>
    </row>
    <row r="39" ht="12.75">
      <c r="A39" s="189"/>
    </row>
  </sheetData>
  <mergeCells count="4">
    <mergeCell ref="A1:F1"/>
    <mergeCell ref="A2:F2"/>
    <mergeCell ref="A3:F3"/>
    <mergeCell ref="A4:F4"/>
  </mergeCells>
  <printOptions/>
  <pageMargins left="0.75" right="0.75" top="0.54" bottom="0.59" header="0.5" footer="0.5"/>
  <pageSetup fitToHeight="1" fitToWidth="1" horizontalDpi="600" verticalDpi="600" orientation="landscape" scale="9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K43"/>
  <sheetViews>
    <sheetView zoomScale="75" zoomScaleNormal="75" workbookViewId="0" topLeftCell="B10">
      <selection activeCell="O42" sqref="O42"/>
    </sheetView>
  </sheetViews>
  <sheetFormatPr defaultColWidth="12.57421875" defaultRowHeight="12.75"/>
  <cols>
    <col min="1" max="1" width="0" style="0" hidden="1" customWidth="1"/>
    <col min="2" max="2" width="17.140625" style="0" customWidth="1"/>
  </cols>
  <sheetData>
    <row r="1" spans="2:11" ht="18" customHeight="1">
      <c r="B1" s="136" t="s">
        <v>57</v>
      </c>
      <c r="C1" s="137"/>
      <c r="D1" s="138"/>
      <c r="E1" s="138"/>
      <c r="F1" s="138"/>
      <c r="G1" s="138"/>
      <c r="H1" s="138"/>
      <c r="I1" s="138"/>
      <c r="J1" s="138"/>
      <c r="K1" s="138"/>
    </row>
    <row r="2" spans="2:11" ht="15">
      <c r="B2" s="138" t="s">
        <v>198</v>
      </c>
      <c r="C2" s="137"/>
      <c r="D2" s="138"/>
      <c r="E2" s="138"/>
      <c r="F2" s="138"/>
      <c r="G2" s="138"/>
      <c r="H2" s="138"/>
      <c r="I2" s="138"/>
      <c r="J2" s="138"/>
      <c r="K2" s="138"/>
    </row>
    <row r="3" spans="2:11" ht="15">
      <c r="B3" s="138" t="s">
        <v>155</v>
      </c>
      <c r="C3" s="137"/>
      <c r="D3" s="138"/>
      <c r="E3" s="138"/>
      <c r="F3" s="138"/>
      <c r="G3" s="138"/>
      <c r="H3" s="138"/>
      <c r="I3" s="138"/>
      <c r="J3" s="138"/>
      <c r="K3" s="138"/>
    </row>
    <row r="4" spans="2:11" ht="16.5" thickBot="1">
      <c r="B4" s="139" t="s">
        <v>109</v>
      </c>
      <c r="C4" s="73"/>
      <c r="D4" s="73"/>
      <c r="E4" s="73"/>
      <c r="F4" s="73"/>
      <c r="G4" s="73"/>
      <c r="H4" s="73"/>
      <c r="I4" s="73"/>
      <c r="J4" s="73"/>
      <c r="K4" s="73"/>
    </row>
    <row r="5" spans="2:11" ht="15">
      <c r="B5" s="74"/>
      <c r="C5" s="75" t="s">
        <v>81</v>
      </c>
      <c r="D5" s="75"/>
      <c r="E5" s="76"/>
      <c r="F5" s="75" t="s">
        <v>82</v>
      </c>
      <c r="G5" s="75"/>
      <c r="H5" s="76"/>
      <c r="I5" s="75" t="s">
        <v>35</v>
      </c>
      <c r="J5" s="75"/>
      <c r="K5" s="76"/>
    </row>
    <row r="6" spans="2:11" ht="15">
      <c r="B6" s="77" t="s">
        <v>83</v>
      </c>
      <c r="C6" s="78" t="s">
        <v>84</v>
      </c>
      <c r="D6" s="78" t="s">
        <v>85</v>
      </c>
      <c r="E6" s="79" t="s">
        <v>35</v>
      </c>
      <c r="F6" s="78" t="s">
        <v>84</v>
      </c>
      <c r="G6" s="78" t="s">
        <v>85</v>
      </c>
      <c r="H6" s="79" t="s">
        <v>35</v>
      </c>
      <c r="I6" s="78" t="s">
        <v>84</v>
      </c>
      <c r="J6" s="78" t="s">
        <v>85</v>
      </c>
      <c r="K6" s="79" t="s">
        <v>35</v>
      </c>
    </row>
    <row r="7" spans="1:11" ht="15">
      <c r="A7" s="52" t="e">
        <f>SUM(#REF!/#REF!)</f>
        <v>#REF!</v>
      </c>
      <c r="B7" s="80" t="s">
        <v>0</v>
      </c>
      <c r="C7" s="270">
        <v>2962</v>
      </c>
      <c r="D7" s="270">
        <v>793</v>
      </c>
      <c r="E7" s="271">
        <f>C7+D7</f>
        <v>3755</v>
      </c>
      <c r="F7" s="270">
        <v>2891</v>
      </c>
      <c r="G7" s="270">
        <v>83</v>
      </c>
      <c r="H7" s="271">
        <f>F7+G7</f>
        <v>2974</v>
      </c>
      <c r="I7" s="270">
        <v>5853</v>
      </c>
      <c r="J7" s="270">
        <v>876</v>
      </c>
      <c r="K7" s="271">
        <f>I7+J7</f>
        <v>6729</v>
      </c>
    </row>
    <row r="8" spans="1:11" ht="15">
      <c r="A8" s="52" t="e">
        <f>SUM(#REF!/#REF!)</f>
        <v>#REF!</v>
      </c>
      <c r="B8" s="80" t="s">
        <v>10</v>
      </c>
      <c r="C8" s="270">
        <v>2663</v>
      </c>
      <c r="D8" s="270">
        <v>976</v>
      </c>
      <c r="E8" s="271">
        <f aca="true" t="shared" si="0" ref="E8:E29">C8+D8</f>
        <v>3639</v>
      </c>
      <c r="F8" s="270">
        <v>1256</v>
      </c>
      <c r="G8" s="270">
        <v>97</v>
      </c>
      <c r="H8" s="271">
        <f aca="true" t="shared" si="1" ref="H8:H29">F8+G8</f>
        <v>1353</v>
      </c>
      <c r="I8" s="270">
        <v>3919</v>
      </c>
      <c r="J8" s="270">
        <v>1073</v>
      </c>
      <c r="K8" s="271">
        <f aca="true" t="shared" si="2" ref="K8:K29">I8+J8</f>
        <v>4992</v>
      </c>
    </row>
    <row r="9" spans="1:11" ht="18" customHeight="1">
      <c r="A9" s="52" t="e">
        <f>SUM(#REF!/#REF!)</f>
        <v>#REF!</v>
      </c>
      <c r="B9" s="80" t="s">
        <v>11</v>
      </c>
      <c r="C9" s="270">
        <v>340</v>
      </c>
      <c r="D9" s="270">
        <v>110</v>
      </c>
      <c r="E9" s="271">
        <f t="shared" si="0"/>
        <v>450</v>
      </c>
      <c r="F9" s="270">
        <v>500</v>
      </c>
      <c r="G9" s="270">
        <v>2</v>
      </c>
      <c r="H9" s="271">
        <f t="shared" si="1"/>
        <v>502</v>
      </c>
      <c r="I9" s="270">
        <v>840</v>
      </c>
      <c r="J9" s="270">
        <v>112</v>
      </c>
      <c r="K9" s="271">
        <f t="shared" si="2"/>
        <v>952</v>
      </c>
    </row>
    <row r="10" spans="1:11" ht="15">
      <c r="A10" s="52" t="e">
        <f>SUM(#REF!/#REF!)</f>
        <v>#REF!</v>
      </c>
      <c r="B10" s="80" t="s">
        <v>12</v>
      </c>
      <c r="C10" s="270">
        <v>1629</v>
      </c>
      <c r="D10" s="270">
        <v>550</v>
      </c>
      <c r="E10" s="271">
        <f t="shared" si="0"/>
        <v>2179</v>
      </c>
      <c r="F10" s="270">
        <v>1433</v>
      </c>
      <c r="G10" s="270">
        <v>55</v>
      </c>
      <c r="H10" s="271">
        <f t="shared" si="1"/>
        <v>1488</v>
      </c>
      <c r="I10" s="270">
        <v>3062</v>
      </c>
      <c r="J10" s="270">
        <v>605</v>
      </c>
      <c r="K10" s="271">
        <f t="shared" si="2"/>
        <v>3667</v>
      </c>
    </row>
    <row r="11" spans="1:11" ht="15">
      <c r="A11" s="52" t="e">
        <f>SUM(#REF!/#REF!)</f>
        <v>#REF!</v>
      </c>
      <c r="B11" s="80" t="s">
        <v>13</v>
      </c>
      <c r="C11" s="270">
        <v>1779</v>
      </c>
      <c r="D11" s="270">
        <v>604</v>
      </c>
      <c r="E11" s="271">
        <f t="shared" si="0"/>
        <v>2383</v>
      </c>
      <c r="F11" s="270">
        <v>1467</v>
      </c>
      <c r="G11" s="270">
        <v>24</v>
      </c>
      <c r="H11" s="271">
        <f t="shared" si="1"/>
        <v>1491</v>
      </c>
      <c r="I11" s="270">
        <v>3246</v>
      </c>
      <c r="J11" s="270">
        <v>628</v>
      </c>
      <c r="K11" s="271">
        <f t="shared" si="2"/>
        <v>3874</v>
      </c>
    </row>
    <row r="12" spans="1:11" ht="15">
      <c r="A12" s="52" t="e">
        <f>SUM(#REF!/#REF!)</f>
        <v>#REF!</v>
      </c>
      <c r="B12" s="80" t="s">
        <v>14</v>
      </c>
      <c r="C12" s="270">
        <v>2568</v>
      </c>
      <c r="D12" s="270">
        <v>831</v>
      </c>
      <c r="E12" s="271">
        <f t="shared" si="0"/>
        <v>3399</v>
      </c>
      <c r="F12" s="270">
        <v>2002</v>
      </c>
      <c r="G12" s="270">
        <v>24</v>
      </c>
      <c r="H12" s="271">
        <f t="shared" si="1"/>
        <v>2026</v>
      </c>
      <c r="I12" s="270">
        <v>4570</v>
      </c>
      <c r="J12" s="270">
        <v>855</v>
      </c>
      <c r="K12" s="271">
        <f t="shared" si="2"/>
        <v>5425</v>
      </c>
    </row>
    <row r="13" spans="1:11" ht="15">
      <c r="A13" s="52" t="e">
        <f>SUM(#REF!/#REF!)</f>
        <v>#REF!</v>
      </c>
      <c r="B13" s="80" t="s">
        <v>15</v>
      </c>
      <c r="C13" s="270">
        <v>2055</v>
      </c>
      <c r="D13" s="270">
        <v>1205</v>
      </c>
      <c r="E13" s="271">
        <f t="shared" si="0"/>
        <v>3260</v>
      </c>
      <c r="F13" s="270">
        <v>526</v>
      </c>
      <c r="G13" s="270">
        <v>44</v>
      </c>
      <c r="H13" s="271">
        <f t="shared" si="1"/>
        <v>570</v>
      </c>
      <c r="I13" s="270">
        <v>2581</v>
      </c>
      <c r="J13" s="270">
        <v>1249</v>
      </c>
      <c r="K13" s="271">
        <f t="shared" si="2"/>
        <v>3830</v>
      </c>
    </row>
    <row r="14" spans="1:11" ht="15">
      <c r="A14" s="52" t="e">
        <f>SUM(#REF!/#REF!)</f>
        <v>#REF!</v>
      </c>
      <c r="B14" s="80" t="s">
        <v>16</v>
      </c>
      <c r="C14" s="270">
        <v>1239</v>
      </c>
      <c r="D14" s="270">
        <v>353</v>
      </c>
      <c r="E14" s="271">
        <f t="shared" si="0"/>
        <v>1592</v>
      </c>
      <c r="F14" s="270">
        <v>1433</v>
      </c>
      <c r="G14" s="270">
        <v>127</v>
      </c>
      <c r="H14" s="271">
        <f t="shared" si="1"/>
        <v>1560</v>
      </c>
      <c r="I14" s="270">
        <v>2672</v>
      </c>
      <c r="J14" s="270">
        <v>480</v>
      </c>
      <c r="K14" s="271">
        <f t="shared" si="2"/>
        <v>3152</v>
      </c>
    </row>
    <row r="15" spans="1:11" ht="15">
      <c r="A15" s="52" t="e">
        <f>SUM(#REF!/#REF!)</f>
        <v>#REF!</v>
      </c>
      <c r="B15" s="80" t="s">
        <v>17</v>
      </c>
      <c r="C15" s="270">
        <v>507</v>
      </c>
      <c r="D15" s="270">
        <v>313</v>
      </c>
      <c r="E15" s="271">
        <f t="shared" si="0"/>
        <v>820</v>
      </c>
      <c r="F15" s="270">
        <v>276</v>
      </c>
      <c r="G15" s="270">
        <v>3</v>
      </c>
      <c r="H15" s="271">
        <f t="shared" si="1"/>
        <v>279</v>
      </c>
      <c r="I15" s="270">
        <v>783</v>
      </c>
      <c r="J15" s="270">
        <v>316</v>
      </c>
      <c r="K15" s="271">
        <f t="shared" si="2"/>
        <v>1099</v>
      </c>
    </row>
    <row r="16" spans="1:11" ht="15">
      <c r="A16" s="52" t="e">
        <f>SUM(#REF!/#REF!)</f>
        <v>#REF!</v>
      </c>
      <c r="B16" s="80" t="s">
        <v>18</v>
      </c>
      <c r="C16" s="270">
        <v>446</v>
      </c>
      <c r="D16" s="270">
        <v>87</v>
      </c>
      <c r="E16" s="271">
        <f t="shared" si="0"/>
        <v>533</v>
      </c>
      <c r="F16" s="270">
        <v>257</v>
      </c>
      <c r="G16" s="270">
        <v>8</v>
      </c>
      <c r="H16" s="271">
        <f t="shared" si="1"/>
        <v>265</v>
      </c>
      <c r="I16" s="270">
        <v>703</v>
      </c>
      <c r="J16" s="270">
        <v>95</v>
      </c>
      <c r="K16" s="271">
        <f t="shared" si="2"/>
        <v>798</v>
      </c>
    </row>
    <row r="17" spans="1:11" ht="15">
      <c r="A17" s="52" t="e">
        <f>SUM(#REF!/#REF!)</f>
        <v>#REF!</v>
      </c>
      <c r="B17" s="80" t="s">
        <v>19</v>
      </c>
      <c r="C17" s="270">
        <v>872</v>
      </c>
      <c r="D17" s="270">
        <v>268</v>
      </c>
      <c r="E17" s="271">
        <f t="shared" si="0"/>
        <v>1140</v>
      </c>
      <c r="F17" s="270">
        <v>1068</v>
      </c>
      <c r="G17" s="270">
        <v>32</v>
      </c>
      <c r="H17" s="271">
        <f t="shared" si="1"/>
        <v>1100</v>
      </c>
      <c r="I17" s="270">
        <v>1940</v>
      </c>
      <c r="J17" s="270">
        <v>300</v>
      </c>
      <c r="K17" s="271">
        <f t="shared" si="2"/>
        <v>2240</v>
      </c>
    </row>
    <row r="18" spans="1:11" ht="15">
      <c r="A18" s="52" t="e">
        <f>SUM(#REF!/#REF!)</f>
        <v>#REF!</v>
      </c>
      <c r="B18" s="80" t="s">
        <v>20</v>
      </c>
      <c r="C18" s="270">
        <v>555</v>
      </c>
      <c r="D18" s="270">
        <v>208</v>
      </c>
      <c r="E18" s="271">
        <f t="shared" si="0"/>
        <v>763</v>
      </c>
      <c r="F18" s="270">
        <v>551</v>
      </c>
      <c r="G18" s="270">
        <v>6</v>
      </c>
      <c r="H18" s="271">
        <f t="shared" si="1"/>
        <v>557</v>
      </c>
      <c r="I18" s="270">
        <v>1106</v>
      </c>
      <c r="J18" s="270">
        <v>214</v>
      </c>
      <c r="K18" s="271">
        <f t="shared" si="2"/>
        <v>1320</v>
      </c>
    </row>
    <row r="19" spans="1:11" ht="15">
      <c r="A19" s="52" t="e">
        <f>SUM(#REF!/#REF!)</f>
        <v>#REF!</v>
      </c>
      <c r="B19" s="80" t="s">
        <v>21</v>
      </c>
      <c r="C19" s="270">
        <v>357</v>
      </c>
      <c r="D19" s="270">
        <v>210</v>
      </c>
      <c r="E19" s="271">
        <f t="shared" si="0"/>
        <v>567</v>
      </c>
      <c r="F19" s="270">
        <v>248</v>
      </c>
      <c r="G19" s="270">
        <v>1</v>
      </c>
      <c r="H19" s="271">
        <f t="shared" si="1"/>
        <v>249</v>
      </c>
      <c r="I19" s="270">
        <v>605</v>
      </c>
      <c r="J19" s="270">
        <v>211</v>
      </c>
      <c r="K19" s="271">
        <f t="shared" si="2"/>
        <v>816</v>
      </c>
    </row>
    <row r="20" spans="1:11" ht="15">
      <c r="A20" s="52" t="e">
        <f>SUM(#REF!/#REF!)</f>
        <v>#REF!</v>
      </c>
      <c r="B20" s="80" t="s">
        <v>22</v>
      </c>
      <c r="C20" s="270">
        <v>1396</v>
      </c>
      <c r="D20" s="270">
        <v>354</v>
      </c>
      <c r="E20" s="271">
        <f t="shared" si="0"/>
        <v>1750</v>
      </c>
      <c r="F20" s="270">
        <v>1258</v>
      </c>
      <c r="G20" s="270">
        <v>18</v>
      </c>
      <c r="H20" s="271">
        <f t="shared" si="1"/>
        <v>1276</v>
      </c>
      <c r="I20" s="270">
        <v>2654</v>
      </c>
      <c r="J20" s="270">
        <v>372</v>
      </c>
      <c r="K20" s="271">
        <f t="shared" si="2"/>
        <v>3026</v>
      </c>
    </row>
    <row r="21" spans="1:11" ht="15">
      <c r="A21" s="52" t="e">
        <f>SUM(#REF!/#REF!)</f>
        <v>#REF!</v>
      </c>
      <c r="B21" s="80" t="s">
        <v>23</v>
      </c>
      <c r="C21" s="270">
        <v>1036</v>
      </c>
      <c r="D21" s="270">
        <v>235</v>
      </c>
      <c r="E21" s="271">
        <f t="shared" si="0"/>
        <v>1271</v>
      </c>
      <c r="F21" s="270">
        <v>715</v>
      </c>
      <c r="G21" s="270">
        <v>10</v>
      </c>
      <c r="H21" s="271">
        <f t="shared" si="1"/>
        <v>725</v>
      </c>
      <c r="I21" s="270">
        <v>1751</v>
      </c>
      <c r="J21" s="270">
        <v>245</v>
      </c>
      <c r="K21" s="271">
        <f t="shared" si="2"/>
        <v>1996</v>
      </c>
    </row>
    <row r="22" spans="1:11" ht="15">
      <c r="A22" s="52" t="e">
        <f>SUM(#REF!/#REF!)</f>
        <v>#REF!</v>
      </c>
      <c r="B22" s="80" t="s">
        <v>24</v>
      </c>
      <c r="C22" s="270">
        <v>307</v>
      </c>
      <c r="D22" s="270">
        <v>105</v>
      </c>
      <c r="E22" s="271">
        <f t="shared" si="0"/>
        <v>412</v>
      </c>
      <c r="F22" s="270">
        <v>306</v>
      </c>
      <c r="G22" s="270">
        <v>22</v>
      </c>
      <c r="H22" s="271">
        <f t="shared" si="1"/>
        <v>328</v>
      </c>
      <c r="I22" s="270">
        <v>613</v>
      </c>
      <c r="J22" s="270">
        <v>127</v>
      </c>
      <c r="K22" s="271">
        <f t="shared" si="2"/>
        <v>740</v>
      </c>
    </row>
    <row r="23" spans="1:11" ht="15">
      <c r="A23" s="52" t="e">
        <f>SUM(#REF!/#REF!)</f>
        <v>#REF!</v>
      </c>
      <c r="B23" s="80" t="s">
        <v>25</v>
      </c>
      <c r="C23" s="270">
        <v>123</v>
      </c>
      <c r="D23" s="270">
        <v>30</v>
      </c>
      <c r="E23" s="271">
        <f t="shared" si="0"/>
        <v>153</v>
      </c>
      <c r="F23" s="270">
        <v>247</v>
      </c>
      <c r="G23" s="270">
        <v>0</v>
      </c>
      <c r="H23" s="271">
        <f t="shared" si="1"/>
        <v>247</v>
      </c>
      <c r="I23" s="270">
        <v>370</v>
      </c>
      <c r="J23" s="270">
        <v>30</v>
      </c>
      <c r="K23" s="271">
        <f t="shared" si="2"/>
        <v>400</v>
      </c>
    </row>
    <row r="24" spans="1:11" ht="15">
      <c r="A24" s="52" t="e">
        <f>SUM(#REF!/#REF!)</f>
        <v>#REF!</v>
      </c>
      <c r="B24" s="80" t="s">
        <v>26</v>
      </c>
      <c r="C24" s="270">
        <v>117</v>
      </c>
      <c r="D24" s="270">
        <v>37</v>
      </c>
      <c r="E24" s="271">
        <f t="shared" si="0"/>
        <v>154</v>
      </c>
      <c r="F24" s="270">
        <v>178</v>
      </c>
      <c r="G24" s="270">
        <v>5</v>
      </c>
      <c r="H24" s="271">
        <f t="shared" si="1"/>
        <v>183</v>
      </c>
      <c r="I24" s="270">
        <v>295</v>
      </c>
      <c r="J24" s="270">
        <v>42</v>
      </c>
      <c r="K24" s="271">
        <f t="shared" si="2"/>
        <v>337</v>
      </c>
    </row>
    <row r="25" spans="1:11" ht="15">
      <c r="A25" s="52" t="e">
        <f>SUM(#REF!/#REF!)</f>
        <v>#REF!</v>
      </c>
      <c r="B25" s="80" t="s">
        <v>27</v>
      </c>
      <c r="C25" s="270">
        <v>409</v>
      </c>
      <c r="D25" s="270">
        <v>122</v>
      </c>
      <c r="E25" s="271">
        <f t="shared" si="0"/>
        <v>531</v>
      </c>
      <c r="F25" s="270">
        <v>617</v>
      </c>
      <c r="G25" s="270">
        <v>6</v>
      </c>
      <c r="H25" s="271">
        <f t="shared" si="1"/>
        <v>623</v>
      </c>
      <c r="I25" s="270">
        <v>1026</v>
      </c>
      <c r="J25" s="270">
        <v>128</v>
      </c>
      <c r="K25" s="271">
        <f t="shared" si="2"/>
        <v>1154</v>
      </c>
    </row>
    <row r="26" spans="1:11" ht="15">
      <c r="A26" s="52" t="e">
        <f>SUM(#REF!/#REF!)</f>
        <v>#REF!</v>
      </c>
      <c r="B26" s="80" t="s">
        <v>28</v>
      </c>
      <c r="C26" s="270">
        <v>92</v>
      </c>
      <c r="D26" s="270">
        <v>8</v>
      </c>
      <c r="E26" s="271">
        <f t="shared" si="0"/>
        <v>100</v>
      </c>
      <c r="F26" s="270">
        <v>127</v>
      </c>
      <c r="G26" s="270">
        <v>95</v>
      </c>
      <c r="H26" s="271">
        <f t="shared" si="1"/>
        <v>222</v>
      </c>
      <c r="I26" s="270">
        <v>219</v>
      </c>
      <c r="J26" s="270">
        <v>103</v>
      </c>
      <c r="K26" s="271">
        <f t="shared" si="2"/>
        <v>322</v>
      </c>
    </row>
    <row r="27" spans="1:11" ht="15">
      <c r="A27" s="52" t="e">
        <f>SUM(#REF!/#REF!)</f>
        <v>#REF!</v>
      </c>
      <c r="B27" s="80" t="s">
        <v>29</v>
      </c>
      <c r="C27" s="270">
        <v>108</v>
      </c>
      <c r="D27" s="270">
        <v>5</v>
      </c>
      <c r="E27" s="271">
        <f t="shared" si="0"/>
        <v>113</v>
      </c>
      <c r="F27" s="270">
        <v>516</v>
      </c>
      <c r="G27" s="270">
        <v>1</v>
      </c>
      <c r="H27" s="271">
        <f t="shared" si="1"/>
        <v>517</v>
      </c>
      <c r="I27" s="270">
        <v>624</v>
      </c>
      <c r="J27" s="270">
        <v>6</v>
      </c>
      <c r="K27" s="271">
        <f t="shared" si="2"/>
        <v>630</v>
      </c>
    </row>
    <row r="28" spans="1:11" ht="15">
      <c r="A28" s="52">
        <v>0</v>
      </c>
      <c r="B28" s="80" t="s">
        <v>30</v>
      </c>
      <c r="C28" s="270">
        <v>0</v>
      </c>
      <c r="D28" s="270">
        <v>0</v>
      </c>
      <c r="E28" s="271">
        <f t="shared" si="0"/>
        <v>0</v>
      </c>
      <c r="F28" s="270">
        <v>0</v>
      </c>
      <c r="G28" s="270">
        <v>0</v>
      </c>
      <c r="H28" s="271">
        <f t="shared" si="1"/>
        <v>0</v>
      </c>
      <c r="I28" s="270">
        <v>0</v>
      </c>
      <c r="J28" s="270">
        <v>0</v>
      </c>
      <c r="K28" s="271">
        <f t="shared" si="2"/>
        <v>0</v>
      </c>
    </row>
    <row r="29" spans="1:11" ht="15">
      <c r="A29" s="52" t="e">
        <f>SUM(#REF!/#REF!)</f>
        <v>#REF!</v>
      </c>
      <c r="B29" s="80" t="s">
        <v>31</v>
      </c>
      <c r="C29" s="270">
        <v>133</v>
      </c>
      <c r="D29" s="270">
        <v>4</v>
      </c>
      <c r="E29" s="271">
        <f t="shared" si="0"/>
        <v>137</v>
      </c>
      <c r="F29" s="270">
        <v>190</v>
      </c>
      <c r="G29" s="270">
        <v>10</v>
      </c>
      <c r="H29" s="271">
        <f t="shared" si="1"/>
        <v>200</v>
      </c>
      <c r="I29" s="270">
        <v>323</v>
      </c>
      <c r="J29" s="270">
        <v>14</v>
      </c>
      <c r="K29" s="271">
        <f t="shared" si="2"/>
        <v>337</v>
      </c>
    </row>
    <row r="30" spans="1:11" ht="15.75" thickBot="1">
      <c r="A30" s="52"/>
      <c r="B30" s="80" t="s">
        <v>32</v>
      </c>
      <c r="C30" s="270">
        <v>69</v>
      </c>
      <c r="D30" s="270">
        <v>9</v>
      </c>
      <c r="E30" s="271">
        <f>C30+D30</f>
        <v>78</v>
      </c>
      <c r="F30" s="270">
        <v>90</v>
      </c>
      <c r="G30" s="270">
        <v>0</v>
      </c>
      <c r="H30" s="271">
        <f>F30+G30</f>
        <v>90</v>
      </c>
      <c r="I30" s="270">
        <v>159</v>
      </c>
      <c r="J30" s="270">
        <v>9</v>
      </c>
      <c r="K30" s="271">
        <f>I30+J30</f>
        <v>168</v>
      </c>
    </row>
    <row r="31" spans="1:11" ht="15.75" thickBot="1">
      <c r="A31" s="87" t="e">
        <f>SUM(A7:A29)</f>
        <v>#REF!</v>
      </c>
      <c r="B31" s="207" t="s">
        <v>156</v>
      </c>
      <c r="C31" s="272">
        <f aca="true" t="shared" si="3" ref="C31:K31">SUM(C7:C30)</f>
        <v>21762</v>
      </c>
      <c r="D31" s="273">
        <f t="shared" si="3"/>
        <v>7417</v>
      </c>
      <c r="E31" s="274">
        <f t="shared" si="3"/>
        <v>29179</v>
      </c>
      <c r="F31" s="273">
        <f t="shared" si="3"/>
        <v>18152</v>
      </c>
      <c r="G31" s="273">
        <f t="shared" si="3"/>
        <v>673</v>
      </c>
      <c r="H31" s="274">
        <f t="shared" si="3"/>
        <v>18825</v>
      </c>
      <c r="I31" s="273">
        <f t="shared" si="3"/>
        <v>39914</v>
      </c>
      <c r="J31" s="273">
        <f t="shared" si="3"/>
        <v>8090</v>
      </c>
      <c r="K31" s="274">
        <f t="shared" si="3"/>
        <v>48004</v>
      </c>
    </row>
    <row r="32" spans="2:11" ht="15">
      <c r="B32" s="80"/>
      <c r="C32" s="270"/>
      <c r="D32" s="270"/>
      <c r="E32" s="271"/>
      <c r="F32" s="270"/>
      <c r="G32" s="270"/>
      <c r="H32" s="271"/>
      <c r="I32" s="270"/>
      <c r="J32" s="270"/>
      <c r="K32" s="271"/>
    </row>
    <row r="33" spans="2:11" ht="15">
      <c r="B33" s="80" t="s">
        <v>157</v>
      </c>
      <c r="C33" s="270">
        <v>75</v>
      </c>
      <c r="D33" s="270">
        <v>0</v>
      </c>
      <c r="E33" s="271">
        <f aca="true" t="shared" si="4" ref="E33:E40">C33+D33</f>
        <v>75</v>
      </c>
      <c r="F33" s="270">
        <v>375</v>
      </c>
      <c r="G33" s="270">
        <v>0</v>
      </c>
      <c r="H33" s="271">
        <f aca="true" t="shared" si="5" ref="H33:H40">F33+G33</f>
        <v>375</v>
      </c>
      <c r="I33" s="270">
        <v>450</v>
      </c>
      <c r="J33" s="270">
        <v>0</v>
      </c>
      <c r="K33" s="271">
        <f aca="true" t="shared" si="6" ref="K33:K40">I33+J33</f>
        <v>450</v>
      </c>
    </row>
    <row r="34" spans="2:11" ht="15">
      <c r="B34" s="80" t="s">
        <v>158</v>
      </c>
      <c r="C34" s="270">
        <v>0</v>
      </c>
      <c r="D34" s="270">
        <v>0</v>
      </c>
      <c r="E34" s="271">
        <f t="shared" si="4"/>
        <v>0</v>
      </c>
      <c r="F34" s="270">
        <v>0</v>
      </c>
      <c r="G34" s="270">
        <v>0</v>
      </c>
      <c r="H34" s="271">
        <f t="shared" si="5"/>
        <v>0</v>
      </c>
      <c r="I34" s="270">
        <v>0</v>
      </c>
      <c r="J34" s="270">
        <v>0</v>
      </c>
      <c r="K34" s="271">
        <f t="shared" si="6"/>
        <v>0</v>
      </c>
    </row>
    <row r="35" spans="2:11" ht="15">
      <c r="B35" s="80" t="s">
        <v>159</v>
      </c>
      <c r="C35" s="270">
        <v>0</v>
      </c>
      <c r="D35" s="270">
        <v>0</v>
      </c>
      <c r="E35" s="271">
        <f t="shared" si="4"/>
        <v>0</v>
      </c>
      <c r="F35" s="270">
        <v>0</v>
      </c>
      <c r="G35" s="270">
        <v>0</v>
      </c>
      <c r="H35" s="271">
        <f t="shared" si="5"/>
        <v>0</v>
      </c>
      <c r="I35" s="270">
        <v>0</v>
      </c>
      <c r="J35" s="270">
        <v>0</v>
      </c>
      <c r="K35" s="271">
        <f t="shared" si="6"/>
        <v>0</v>
      </c>
    </row>
    <row r="36" spans="2:11" ht="15">
      <c r="B36" s="80" t="s">
        <v>160</v>
      </c>
      <c r="C36" s="270">
        <v>0</v>
      </c>
      <c r="D36" s="270">
        <v>0</v>
      </c>
      <c r="E36" s="271">
        <f t="shared" si="4"/>
        <v>0</v>
      </c>
      <c r="F36" s="270">
        <v>0</v>
      </c>
      <c r="G36" s="270">
        <v>0</v>
      </c>
      <c r="H36" s="271">
        <f t="shared" si="5"/>
        <v>0</v>
      </c>
      <c r="I36" s="270">
        <v>0</v>
      </c>
      <c r="J36" s="270">
        <v>0</v>
      </c>
      <c r="K36" s="271">
        <f t="shared" si="6"/>
        <v>0</v>
      </c>
    </row>
    <row r="37" spans="2:11" ht="15">
      <c r="B37" s="80" t="s">
        <v>161</v>
      </c>
      <c r="C37" s="270">
        <v>0</v>
      </c>
      <c r="D37" s="270">
        <v>0</v>
      </c>
      <c r="E37" s="271">
        <f t="shared" si="4"/>
        <v>0</v>
      </c>
      <c r="F37" s="270">
        <v>0</v>
      </c>
      <c r="G37" s="270">
        <v>0</v>
      </c>
      <c r="H37" s="271">
        <f t="shared" si="5"/>
        <v>0</v>
      </c>
      <c r="I37" s="270">
        <v>0</v>
      </c>
      <c r="J37" s="270">
        <v>0</v>
      </c>
      <c r="K37" s="271">
        <f t="shared" si="6"/>
        <v>0</v>
      </c>
    </row>
    <row r="38" spans="2:11" ht="15">
      <c r="B38" s="80" t="s">
        <v>162</v>
      </c>
      <c r="C38" s="270">
        <v>0</v>
      </c>
      <c r="D38" s="270">
        <v>0</v>
      </c>
      <c r="E38" s="271">
        <f t="shared" si="4"/>
        <v>0</v>
      </c>
      <c r="F38" s="270">
        <v>0</v>
      </c>
      <c r="G38" s="270">
        <v>0</v>
      </c>
      <c r="H38" s="271">
        <f t="shared" si="5"/>
        <v>0</v>
      </c>
      <c r="I38" s="270">
        <v>0</v>
      </c>
      <c r="J38" s="270">
        <v>0</v>
      </c>
      <c r="K38" s="271">
        <f t="shared" si="6"/>
        <v>0</v>
      </c>
    </row>
    <row r="39" spans="2:11" ht="15">
      <c r="B39" s="80" t="s">
        <v>163</v>
      </c>
      <c r="C39" s="270">
        <v>2450</v>
      </c>
      <c r="D39" s="270">
        <v>0</v>
      </c>
      <c r="E39" s="271">
        <f t="shared" si="4"/>
        <v>2450</v>
      </c>
      <c r="F39" s="270">
        <v>0</v>
      </c>
      <c r="G39" s="270">
        <v>0</v>
      </c>
      <c r="H39" s="271">
        <f t="shared" si="5"/>
        <v>0</v>
      </c>
      <c r="I39" s="270">
        <v>2450</v>
      </c>
      <c r="J39" s="270">
        <v>0</v>
      </c>
      <c r="K39" s="271">
        <f t="shared" si="6"/>
        <v>2450</v>
      </c>
    </row>
    <row r="40" spans="2:11" ht="15.75" thickBot="1">
      <c r="B40" s="80" t="s">
        <v>164</v>
      </c>
      <c r="C40" s="270">
        <v>0</v>
      </c>
      <c r="D40" s="270">
        <v>0</v>
      </c>
      <c r="E40" s="271">
        <f t="shared" si="4"/>
        <v>0</v>
      </c>
      <c r="F40" s="270">
        <v>0</v>
      </c>
      <c r="G40" s="270">
        <v>0</v>
      </c>
      <c r="H40" s="271">
        <f t="shared" si="5"/>
        <v>0</v>
      </c>
      <c r="I40" s="270">
        <v>0</v>
      </c>
      <c r="J40" s="270">
        <v>0</v>
      </c>
      <c r="K40" s="271">
        <f t="shared" si="6"/>
        <v>0</v>
      </c>
    </row>
    <row r="41" spans="2:11" ht="15.75" thickBot="1">
      <c r="B41" s="80" t="s">
        <v>165</v>
      </c>
      <c r="C41" s="272">
        <f aca="true" t="shared" si="7" ref="C41:K41">SUM(C33:C40)</f>
        <v>2525</v>
      </c>
      <c r="D41" s="273">
        <f t="shared" si="7"/>
        <v>0</v>
      </c>
      <c r="E41" s="274">
        <f t="shared" si="7"/>
        <v>2525</v>
      </c>
      <c r="F41" s="273">
        <f t="shared" si="7"/>
        <v>375</v>
      </c>
      <c r="G41" s="273">
        <f t="shared" si="7"/>
        <v>0</v>
      </c>
      <c r="H41" s="274">
        <f t="shared" si="7"/>
        <v>375</v>
      </c>
      <c r="I41" s="273">
        <f t="shared" si="7"/>
        <v>2900</v>
      </c>
      <c r="J41" s="273">
        <f t="shared" si="7"/>
        <v>0</v>
      </c>
      <c r="K41" s="274">
        <f t="shared" si="7"/>
        <v>2900</v>
      </c>
    </row>
    <row r="42" spans="2:11" ht="15.75" thickBot="1">
      <c r="B42" s="80"/>
      <c r="C42" s="270"/>
      <c r="D42" s="270"/>
      <c r="E42" s="271"/>
      <c r="F42" s="270"/>
      <c r="G42" s="270"/>
      <c r="H42" s="271"/>
      <c r="I42" s="270"/>
      <c r="J42" s="270"/>
      <c r="K42" s="271"/>
    </row>
    <row r="43" spans="2:11" ht="15.75" thickBot="1">
      <c r="B43" s="71" t="s">
        <v>35</v>
      </c>
      <c r="C43" s="272">
        <f aca="true" t="shared" si="8" ref="C43:K43">C41+C31</f>
        <v>24287</v>
      </c>
      <c r="D43" s="273">
        <f t="shared" si="8"/>
        <v>7417</v>
      </c>
      <c r="E43" s="274">
        <f t="shared" si="8"/>
        <v>31704</v>
      </c>
      <c r="F43" s="273">
        <f t="shared" si="8"/>
        <v>18527</v>
      </c>
      <c r="G43" s="273">
        <f t="shared" si="8"/>
        <v>673</v>
      </c>
      <c r="H43" s="274">
        <f t="shared" si="8"/>
        <v>19200</v>
      </c>
      <c r="I43" s="273">
        <f t="shared" si="8"/>
        <v>42814</v>
      </c>
      <c r="J43" s="273">
        <f t="shared" si="8"/>
        <v>8090</v>
      </c>
      <c r="K43" s="274">
        <f t="shared" si="8"/>
        <v>50904</v>
      </c>
    </row>
  </sheetData>
  <printOptions/>
  <pageMargins left="0.75" right="0.75" top="0.54" bottom="0.59" header="0.5" footer="0.5"/>
  <pageSetup fitToHeight="1" fitToWidth="1" horizontalDpi="600" verticalDpi="600" orientation="landscape" scale="8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M50"/>
  <sheetViews>
    <sheetView zoomScale="90" zoomScaleNormal="90" workbookViewId="0" topLeftCell="A1">
      <selection activeCell="F25" sqref="F24:F25"/>
    </sheetView>
  </sheetViews>
  <sheetFormatPr defaultColWidth="9.140625" defaultRowHeight="12.75"/>
  <cols>
    <col min="2" max="2" width="13.421875" style="0" customWidth="1"/>
    <col min="3" max="3" width="13.28125" style="0" customWidth="1"/>
    <col min="4" max="4" width="13.421875" style="0" customWidth="1"/>
    <col min="5" max="5" width="12.8515625" style="0" customWidth="1"/>
    <col min="6" max="7" width="13.28125" style="0" customWidth="1"/>
    <col min="8" max="8" width="14.140625" style="0" customWidth="1"/>
    <col min="9" max="9" width="0" style="0" hidden="1" customWidth="1"/>
    <col min="10" max="10" width="14.28125" style="0" customWidth="1"/>
    <col min="11" max="11" width="12.28125" style="0" bestFit="1" customWidth="1"/>
  </cols>
  <sheetData>
    <row r="1" spans="1:8" ht="12.75">
      <c r="A1" s="374" t="s">
        <v>222</v>
      </c>
      <c r="B1" s="374"/>
      <c r="C1" s="374"/>
      <c r="D1" s="374"/>
      <c r="E1" s="374"/>
      <c r="F1" s="374"/>
      <c r="G1" s="374"/>
      <c r="H1" s="374"/>
    </row>
    <row r="2" spans="1:8" ht="12.75">
      <c r="A2" s="374"/>
      <c r="B2" s="374"/>
      <c r="C2" s="374"/>
      <c r="D2" s="374"/>
      <c r="E2" s="374"/>
      <c r="F2" s="374"/>
      <c r="G2" s="374"/>
      <c r="H2" s="374"/>
    </row>
    <row r="3" spans="1:2" ht="12.75">
      <c r="A3" s="62" t="s">
        <v>71</v>
      </c>
      <c r="B3" s="62"/>
    </row>
    <row r="4" spans="2:11" ht="12.75">
      <c r="B4" s="27" t="s">
        <v>224</v>
      </c>
      <c r="C4" s="27" t="s">
        <v>35</v>
      </c>
      <c r="D4" s="27"/>
      <c r="E4" s="24"/>
      <c r="F4" s="27"/>
      <c r="G4" s="25"/>
      <c r="H4" s="25" t="s">
        <v>105</v>
      </c>
      <c r="I4" s="25"/>
      <c r="J4" s="25" t="s">
        <v>102</v>
      </c>
      <c r="K4" s="25" t="s">
        <v>114</v>
      </c>
    </row>
    <row r="5" spans="1:11" ht="12.75">
      <c r="A5" s="14"/>
      <c r="B5" s="20" t="s">
        <v>166</v>
      </c>
      <c r="C5" s="20" t="s">
        <v>56</v>
      </c>
      <c r="D5" s="20" t="s">
        <v>40</v>
      </c>
      <c r="E5" s="23" t="s">
        <v>41</v>
      </c>
      <c r="F5" s="20" t="s">
        <v>42</v>
      </c>
      <c r="G5" s="26" t="s">
        <v>154</v>
      </c>
      <c r="H5" s="26" t="s">
        <v>104</v>
      </c>
      <c r="I5" s="26" t="s">
        <v>65</v>
      </c>
      <c r="J5" s="26" t="s">
        <v>103</v>
      </c>
      <c r="K5" s="26" t="s">
        <v>115</v>
      </c>
    </row>
    <row r="6" spans="1:13" ht="12.75">
      <c r="A6" s="4" t="s">
        <v>0</v>
      </c>
      <c r="B6" s="49">
        <v>4718949</v>
      </c>
      <c r="C6" s="288">
        <v>4782114</v>
      </c>
      <c r="D6" s="49">
        <v>696729</v>
      </c>
      <c r="E6" s="32">
        <v>189638</v>
      </c>
      <c r="F6" s="31">
        <v>3308177</v>
      </c>
      <c r="G6" s="31">
        <v>63165</v>
      </c>
      <c r="H6" s="31">
        <v>524405</v>
      </c>
      <c r="I6" s="28">
        <v>3090</v>
      </c>
      <c r="J6" s="28">
        <v>6333</v>
      </c>
      <c r="K6" s="28">
        <v>341</v>
      </c>
      <c r="L6" s="52"/>
      <c r="M6" s="38"/>
    </row>
    <row r="7" spans="1:13" ht="12.75">
      <c r="A7" s="4" t="s">
        <v>10</v>
      </c>
      <c r="B7" s="29">
        <v>2886949</v>
      </c>
      <c r="C7" s="135">
        <v>2925413</v>
      </c>
      <c r="D7" s="28">
        <v>168515</v>
      </c>
      <c r="E7" s="29">
        <v>101215</v>
      </c>
      <c r="F7" s="28">
        <v>2617219</v>
      </c>
      <c r="G7" s="28">
        <v>38464</v>
      </c>
      <c r="H7" s="28">
        <v>0</v>
      </c>
      <c r="I7" s="28">
        <v>3090</v>
      </c>
      <c r="J7" s="28">
        <v>4687</v>
      </c>
      <c r="K7" s="28">
        <v>207</v>
      </c>
      <c r="L7" s="52"/>
      <c r="M7" s="38"/>
    </row>
    <row r="8" spans="1:13" ht="12.75">
      <c r="A8" s="4" t="s">
        <v>11</v>
      </c>
      <c r="B8" s="28">
        <v>384591</v>
      </c>
      <c r="C8" s="202">
        <v>389722</v>
      </c>
      <c r="D8" s="28">
        <v>56900</v>
      </c>
      <c r="E8" s="29">
        <v>22200</v>
      </c>
      <c r="F8" s="28">
        <v>305491</v>
      </c>
      <c r="G8" s="28">
        <v>5131</v>
      </c>
      <c r="H8" s="28">
        <v>0</v>
      </c>
      <c r="I8" s="28">
        <v>3090</v>
      </c>
      <c r="J8" s="28">
        <v>701</v>
      </c>
      <c r="K8" s="28">
        <v>17</v>
      </c>
      <c r="L8" s="52"/>
      <c r="M8" s="38"/>
    </row>
    <row r="9" spans="1:13" ht="12.75">
      <c r="A9" s="4" t="s">
        <v>12</v>
      </c>
      <c r="B9" s="28">
        <v>1835581</v>
      </c>
      <c r="C9" s="202">
        <v>1858045</v>
      </c>
      <c r="D9" s="28">
        <v>163106</v>
      </c>
      <c r="E9" s="29">
        <v>61614</v>
      </c>
      <c r="F9" s="28">
        <v>1610861</v>
      </c>
      <c r="G9" s="28">
        <v>22464</v>
      </c>
      <c r="H9" s="28">
        <v>0</v>
      </c>
      <c r="I9" s="28">
        <v>3090</v>
      </c>
      <c r="J9" s="28">
        <v>3968</v>
      </c>
      <c r="K9" s="28">
        <v>396</v>
      </c>
      <c r="L9" s="52"/>
      <c r="M9" s="38"/>
    </row>
    <row r="10" spans="1:13" ht="12.75">
      <c r="A10" s="4" t="s">
        <v>13</v>
      </c>
      <c r="B10" s="28">
        <v>1516815</v>
      </c>
      <c r="C10" s="202">
        <v>1537019</v>
      </c>
      <c r="D10" s="28">
        <v>141238</v>
      </c>
      <c r="E10" s="29">
        <v>52756</v>
      </c>
      <c r="F10" s="28">
        <v>1322821</v>
      </c>
      <c r="G10" s="28">
        <v>20204</v>
      </c>
      <c r="H10" s="28">
        <v>0</v>
      </c>
      <c r="I10" s="28">
        <v>3090</v>
      </c>
      <c r="J10" s="28">
        <v>3325</v>
      </c>
      <c r="K10" s="28">
        <v>107</v>
      </c>
      <c r="L10" s="52"/>
      <c r="M10" s="38"/>
    </row>
    <row r="11" spans="1:13" ht="12.75">
      <c r="A11" s="4" t="s">
        <v>14</v>
      </c>
      <c r="B11" s="28">
        <v>4535889</v>
      </c>
      <c r="C11" s="202">
        <v>4592482</v>
      </c>
      <c r="D11" s="28">
        <v>540734</v>
      </c>
      <c r="E11" s="29">
        <v>219352</v>
      </c>
      <c r="F11" s="28">
        <v>3775803</v>
      </c>
      <c r="G11" s="28">
        <v>56593</v>
      </c>
      <c r="H11" s="28">
        <v>0</v>
      </c>
      <c r="I11" s="28">
        <v>3090</v>
      </c>
      <c r="J11" s="28">
        <v>4868.104138851802</v>
      </c>
      <c r="K11" s="28">
        <v>257</v>
      </c>
      <c r="L11" s="52"/>
      <c r="M11" s="38"/>
    </row>
    <row r="12" spans="1:13" ht="12.75">
      <c r="A12" s="4" t="s">
        <v>15</v>
      </c>
      <c r="B12" s="28">
        <v>1915939</v>
      </c>
      <c r="C12" s="202">
        <v>1941462</v>
      </c>
      <c r="D12" s="28">
        <v>2491</v>
      </c>
      <c r="E12" s="29">
        <v>48800</v>
      </c>
      <c r="F12" s="28">
        <v>1864648</v>
      </c>
      <c r="G12" s="28">
        <v>25523</v>
      </c>
      <c r="H12" s="28">
        <v>0</v>
      </c>
      <c r="I12" s="28">
        <v>3090</v>
      </c>
      <c r="J12" s="28">
        <v>4497</v>
      </c>
      <c r="K12" s="28">
        <v>27</v>
      </c>
      <c r="L12" s="52"/>
      <c r="M12" s="38"/>
    </row>
    <row r="13" spans="1:13" ht="12.75">
      <c r="A13" s="4" t="s">
        <v>16</v>
      </c>
      <c r="B13" s="28">
        <v>1248264</v>
      </c>
      <c r="C13" s="202">
        <v>1264946</v>
      </c>
      <c r="D13" s="28">
        <v>158420</v>
      </c>
      <c r="E13" s="29">
        <v>56552</v>
      </c>
      <c r="F13" s="28">
        <v>1033292</v>
      </c>
      <c r="G13" s="28">
        <v>16682</v>
      </c>
      <c r="H13" s="28">
        <v>0</v>
      </c>
      <c r="I13" s="28">
        <v>3090</v>
      </c>
      <c r="J13" s="28">
        <v>2365</v>
      </c>
      <c r="K13" s="28">
        <v>668</v>
      </c>
      <c r="L13" s="52"/>
      <c r="M13" s="38"/>
    </row>
    <row r="14" spans="1:13" ht="12.75">
      <c r="A14" s="4" t="s">
        <v>17</v>
      </c>
      <c r="B14" s="28">
        <v>659035</v>
      </c>
      <c r="C14" s="202">
        <v>667820</v>
      </c>
      <c r="D14" s="28">
        <v>66778</v>
      </c>
      <c r="E14" s="29">
        <v>22810</v>
      </c>
      <c r="F14" s="28">
        <v>569447</v>
      </c>
      <c r="G14" s="28">
        <v>8785</v>
      </c>
      <c r="H14" s="28">
        <v>0</v>
      </c>
      <c r="I14" s="28">
        <v>3090</v>
      </c>
      <c r="J14" s="28">
        <v>1334</v>
      </c>
      <c r="K14" s="28">
        <v>59</v>
      </c>
      <c r="L14" s="52"/>
      <c r="M14" s="38"/>
    </row>
    <row r="15" spans="1:13" ht="12.75">
      <c r="A15" s="4" t="s">
        <v>18</v>
      </c>
      <c r="B15" s="28">
        <v>628978</v>
      </c>
      <c r="C15" s="202">
        <v>637406</v>
      </c>
      <c r="D15" s="28">
        <v>165706</v>
      </c>
      <c r="E15" s="29">
        <v>17349</v>
      </c>
      <c r="F15" s="28">
        <v>445923</v>
      </c>
      <c r="G15" s="28">
        <v>8428</v>
      </c>
      <c r="H15" s="28">
        <v>0</v>
      </c>
      <c r="I15" s="28">
        <v>3090</v>
      </c>
      <c r="J15" s="28">
        <v>674</v>
      </c>
      <c r="K15" s="28">
        <v>99</v>
      </c>
      <c r="L15" s="52"/>
      <c r="M15" s="38"/>
    </row>
    <row r="16" spans="1:13" ht="12.75">
      <c r="A16" s="4" t="s">
        <v>19</v>
      </c>
      <c r="B16" s="28">
        <v>1033365</v>
      </c>
      <c r="C16" s="202">
        <v>1047148</v>
      </c>
      <c r="D16" s="28">
        <v>101771</v>
      </c>
      <c r="E16" s="29">
        <v>39422</v>
      </c>
      <c r="F16" s="28">
        <v>892172</v>
      </c>
      <c r="G16" s="28">
        <v>13783</v>
      </c>
      <c r="H16" s="28">
        <v>0</v>
      </c>
      <c r="I16" s="28">
        <v>3090</v>
      </c>
      <c r="J16" s="28">
        <v>1892</v>
      </c>
      <c r="K16" s="28">
        <v>110</v>
      </c>
      <c r="L16" s="52"/>
      <c r="M16" s="38"/>
    </row>
    <row r="17" spans="1:13" ht="12.75">
      <c r="A17" s="4" t="s">
        <v>20</v>
      </c>
      <c r="B17" s="28">
        <v>501396</v>
      </c>
      <c r="C17" s="202">
        <v>508082</v>
      </c>
      <c r="D17" s="28">
        <v>50437</v>
      </c>
      <c r="E17" s="29">
        <v>24083</v>
      </c>
      <c r="F17" s="28">
        <v>426876</v>
      </c>
      <c r="G17" s="28">
        <v>6686</v>
      </c>
      <c r="H17" s="28">
        <v>0</v>
      </c>
      <c r="I17" s="28">
        <v>3090</v>
      </c>
      <c r="J17" s="28">
        <v>1229</v>
      </c>
      <c r="K17" s="28">
        <v>55</v>
      </c>
      <c r="L17" s="52"/>
      <c r="M17" s="38"/>
    </row>
    <row r="18" spans="1:13" ht="12.75">
      <c r="A18" s="4" t="s">
        <v>21</v>
      </c>
      <c r="B18" s="28">
        <v>388507</v>
      </c>
      <c r="C18" s="202">
        <v>393682</v>
      </c>
      <c r="D18" s="28">
        <v>35146</v>
      </c>
      <c r="E18" s="29">
        <v>18275</v>
      </c>
      <c r="F18" s="28">
        <v>335086</v>
      </c>
      <c r="G18" s="28">
        <v>5175</v>
      </c>
      <c r="H18" s="28">
        <v>0</v>
      </c>
      <c r="I18" s="28">
        <v>3090</v>
      </c>
      <c r="J18" s="28">
        <v>957</v>
      </c>
      <c r="K18" s="28">
        <v>52</v>
      </c>
      <c r="L18" s="52"/>
      <c r="M18" s="38"/>
    </row>
    <row r="19" spans="1:13" ht="12.75">
      <c r="A19" s="4" t="s">
        <v>22</v>
      </c>
      <c r="B19" s="28">
        <v>1386920</v>
      </c>
      <c r="C19" s="202">
        <v>1405421</v>
      </c>
      <c r="D19" s="28">
        <v>161057</v>
      </c>
      <c r="E19" s="29">
        <v>66511</v>
      </c>
      <c r="F19" s="28">
        <v>1159352</v>
      </c>
      <c r="G19" s="28">
        <v>18501</v>
      </c>
      <c r="H19" s="28">
        <v>0</v>
      </c>
      <c r="I19" s="28">
        <v>3090</v>
      </c>
      <c r="J19" s="64">
        <v>2993</v>
      </c>
      <c r="K19" s="64">
        <v>231</v>
      </c>
      <c r="L19" s="52"/>
      <c r="M19" s="38"/>
    </row>
    <row r="20" spans="1:13" ht="12.75">
      <c r="A20" s="4" t="s">
        <v>23</v>
      </c>
      <c r="B20" s="28">
        <v>987195</v>
      </c>
      <c r="C20" s="202">
        <v>1000365</v>
      </c>
      <c r="D20" s="28">
        <v>81457</v>
      </c>
      <c r="E20" s="29">
        <v>56801</v>
      </c>
      <c r="F20" s="28">
        <v>848937</v>
      </c>
      <c r="G20" s="28">
        <v>13170</v>
      </c>
      <c r="H20" s="28">
        <v>0</v>
      </c>
      <c r="I20" s="28">
        <v>3090</v>
      </c>
      <c r="J20" s="28">
        <v>1826</v>
      </c>
      <c r="K20" s="28">
        <v>454</v>
      </c>
      <c r="L20" s="52"/>
      <c r="M20" s="38"/>
    </row>
    <row r="21" spans="1:13" ht="12.75">
      <c r="A21" s="4" t="s">
        <v>24</v>
      </c>
      <c r="B21" s="28">
        <v>430760</v>
      </c>
      <c r="C21" s="202">
        <v>436505</v>
      </c>
      <c r="D21" s="28">
        <v>45202</v>
      </c>
      <c r="E21" s="29">
        <v>25098</v>
      </c>
      <c r="F21" s="28">
        <v>360460</v>
      </c>
      <c r="G21" s="28">
        <v>5745</v>
      </c>
      <c r="H21" s="28">
        <v>0</v>
      </c>
      <c r="I21" s="28">
        <v>3090</v>
      </c>
      <c r="J21" s="28">
        <v>912</v>
      </c>
      <c r="K21" s="28">
        <v>25</v>
      </c>
      <c r="L21" s="52"/>
      <c r="M21" s="38"/>
    </row>
    <row r="22" spans="1:13" ht="12.75">
      <c r="A22" s="4" t="s">
        <v>25</v>
      </c>
      <c r="B22" s="28">
        <v>135992</v>
      </c>
      <c r="C22" s="202">
        <v>137800</v>
      </c>
      <c r="D22" s="28">
        <v>3325</v>
      </c>
      <c r="E22" s="29">
        <v>9464</v>
      </c>
      <c r="F22" s="28">
        <v>123203</v>
      </c>
      <c r="G22" s="28">
        <v>1808</v>
      </c>
      <c r="H22" s="28">
        <v>0</v>
      </c>
      <c r="I22" s="28">
        <v>3090</v>
      </c>
      <c r="J22" s="28">
        <v>336</v>
      </c>
      <c r="K22" s="28">
        <v>4</v>
      </c>
      <c r="L22" s="52"/>
      <c r="M22" s="38"/>
    </row>
    <row r="23" spans="1:13" ht="12.75">
      <c r="A23" s="4" t="s">
        <v>26</v>
      </c>
      <c r="B23" s="28">
        <v>478036</v>
      </c>
      <c r="C23" s="202">
        <v>484436</v>
      </c>
      <c r="D23" s="28">
        <v>97013</v>
      </c>
      <c r="E23" s="29">
        <v>18327</v>
      </c>
      <c r="F23" s="28">
        <v>362696</v>
      </c>
      <c r="G23" s="28">
        <v>6400</v>
      </c>
      <c r="H23" s="28">
        <v>0</v>
      </c>
      <c r="I23" s="28">
        <v>3090</v>
      </c>
      <c r="J23" s="28">
        <v>336</v>
      </c>
      <c r="K23" s="28">
        <v>20</v>
      </c>
      <c r="L23" s="52"/>
      <c r="M23" s="38"/>
    </row>
    <row r="24" spans="1:13" ht="12.75">
      <c r="A24" s="4" t="s">
        <v>27</v>
      </c>
      <c r="B24" s="28">
        <v>296526</v>
      </c>
      <c r="C24" s="202">
        <v>300463</v>
      </c>
      <c r="D24" s="28">
        <v>9181</v>
      </c>
      <c r="E24" s="29">
        <v>15953</v>
      </c>
      <c r="F24" s="28">
        <v>271392</v>
      </c>
      <c r="G24" s="28">
        <v>3937</v>
      </c>
      <c r="H24" s="28">
        <v>0</v>
      </c>
      <c r="I24" s="28">
        <v>3090</v>
      </c>
      <c r="J24" s="28">
        <v>755</v>
      </c>
      <c r="K24" s="28">
        <v>17</v>
      </c>
      <c r="L24" s="52"/>
      <c r="M24" s="38"/>
    </row>
    <row r="25" spans="1:13" ht="12.75">
      <c r="A25" s="4" t="s">
        <v>28</v>
      </c>
      <c r="B25" s="28">
        <v>1097723</v>
      </c>
      <c r="C25" s="202">
        <v>1112498</v>
      </c>
      <c r="D25" s="28">
        <v>0</v>
      </c>
      <c r="E25" s="29">
        <v>28235</v>
      </c>
      <c r="F25" s="28">
        <v>1069488</v>
      </c>
      <c r="G25" s="28">
        <v>14775</v>
      </c>
      <c r="H25" s="28">
        <v>0</v>
      </c>
      <c r="I25" s="28">
        <v>3090</v>
      </c>
      <c r="J25" s="28">
        <v>951</v>
      </c>
      <c r="K25" s="28">
        <v>69</v>
      </c>
      <c r="L25" s="52"/>
      <c r="M25" s="38"/>
    </row>
    <row r="26" spans="1:13" ht="12.75">
      <c r="A26" s="4" t="s">
        <v>29</v>
      </c>
      <c r="B26" s="28">
        <v>120108</v>
      </c>
      <c r="C26" s="202">
        <v>121699</v>
      </c>
      <c r="D26" s="28">
        <v>7370</v>
      </c>
      <c r="E26" s="29">
        <v>14660</v>
      </c>
      <c r="F26" s="28">
        <v>98078</v>
      </c>
      <c r="G26" s="28">
        <v>1591</v>
      </c>
      <c r="H26" s="28">
        <v>0</v>
      </c>
      <c r="I26" s="28">
        <v>3090</v>
      </c>
      <c r="J26" s="28">
        <v>339</v>
      </c>
      <c r="K26" s="28">
        <v>14</v>
      </c>
      <c r="L26" s="52"/>
      <c r="M26" s="38"/>
    </row>
    <row r="27" spans="1:13" ht="12.75">
      <c r="A27" s="4" t="s">
        <v>30</v>
      </c>
      <c r="B27" s="28">
        <v>191917</v>
      </c>
      <c r="C27" s="202">
        <v>194495</v>
      </c>
      <c r="D27" s="28">
        <v>2287</v>
      </c>
      <c r="E27" s="29">
        <v>10260</v>
      </c>
      <c r="F27" s="28">
        <v>179370</v>
      </c>
      <c r="G27" s="28">
        <v>2578</v>
      </c>
      <c r="H27" s="28">
        <v>0</v>
      </c>
      <c r="I27" s="28">
        <v>3090</v>
      </c>
      <c r="J27" s="28">
        <v>164</v>
      </c>
      <c r="K27" s="28">
        <v>281</v>
      </c>
      <c r="L27" s="52"/>
      <c r="M27" s="38"/>
    </row>
    <row r="28" spans="1:13" ht="12.75">
      <c r="A28" s="4" t="s">
        <v>31</v>
      </c>
      <c r="B28" s="28">
        <v>65716</v>
      </c>
      <c r="C28" s="202">
        <v>66594</v>
      </c>
      <c r="D28" s="28">
        <v>0</v>
      </c>
      <c r="E28" s="29">
        <v>12708</v>
      </c>
      <c r="F28" s="28">
        <v>53008</v>
      </c>
      <c r="G28" s="28">
        <v>878</v>
      </c>
      <c r="H28" s="28">
        <v>0</v>
      </c>
      <c r="I28" s="28">
        <v>3090</v>
      </c>
      <c r="J28" s="28">
        <v>357</v>
      </c>
      <c r="K28" s="28">
        <v>0</v>
      </c>
      <c r="L28" s="52"/>
      <c r="M28" s="38"/>
    </row>
    <row r="29" spans="1:13" ht="12.75">
      <c r="A29" s="4" t="s">
        <v>32</v>
      </c>
      <c r="B29" s="28">
        <v>304268</v>
      </c>
      <c r="C29" s="202">
        <v>308415</v>
      </c>
      <c r="D29" s="28">
        <v>0</v>
      </c>
      <c r="E29" s="85">
        <v>11925</v>
      </c>
      <c r="F29" s="28">
        <v>304268</v>
      </c>
      <c r="G29" s="28">
        <v>4147</v>
      </c>
      <c r="H29" s="28">
        <v>0</v>
      </c>
      <c r="I29" s="28">
        <v>3090</v>
      </c>
      <c r="J29" s="28">
        <v>166</v>
      </c>
      <c r="K29" s="28">
        <v>9</v>
      </c>
      <c r="L29" s="52"/>
      <c r="M29" s="38"/>
    </row>
    <row r="30" spans="1:12" ht="12.75">
      <c r="A30" s="4" t="s">
        <v>33</v>
      </c>
      <c r="B30" s="28">
        <v>0</v>
      </c>
      <c r="C30" s="202">
        <v>0</v>
      </c>
      <c r="D30" s="28">
        <v>0</v>
      </c>
      <c r="E30" s="29">
        <v>0</v>
      </c>
      <c r="F30" s="28">
        <v>0</v>
      </c>
      <c r="G30" s="28">
        <v>0</v>
      </c>
      <c r="H30" s="28"/>
      <c r="I30" s="28">
        <v>481</v>
      </c>
      <c r="J30" s="28">
        <v>0</v>
      </c>
      <c r="K30" s="28">
        <v>0</v>
      </c>
      <c r="L30" s="52"/>
    </row>
    <row r="31" spans="1:12" ht="12.75">
      <c r="A31" s="4" t="s">
        <v>6</v>
      </c>
      <c r="B31" s="28">
        <v>273982</v>
      </c>
      <c r="C31" s="202">
        <v>395522</v>
      </c>
      <c r="D31" s="28">
        <v>0</v>
      </c>
      <c r="E31" s="29">
        <v>0</v>
      </c>
      <c r="F31" s="28">
        <v>90638</v>
      </c>
      <c r="G31" s="28">
        <v>121540</v>
      </c>
      <c r="H31" s="28">
        <v>0</v>
      </c>
      <c r="I31" s="65">
        <v>3090</v>
      </c>
      <c r="J31" s="28">
        <v>0</v>
      </c>
      <c r="K31" s="28">
        <v>0</v>
      </c>
      <c r="L31" s="52"/>
    </row>
    <row r="32" spans="1:12" ht="12.75">
      <c r="A32" s="4" t="s">
        <v>45</v>
      </c>
      <c r="B32" s="28">
        <v>0</v>
      </c>
      <c r="C32" s="202">
        <v>0</v>
      </c>
      <c r="D32" s="28">
        <v>0</v>
      </c>
      <c r="E32" s="29">
        <v>0</v>
      </c>
      <c r="F32" s="28">
        <f>SUM(C32-D32-E32-G32-H32)</f>
        <v>0</v>
      </c>
      <c r="G32" s="28">
        <v>0</v>
      </c>
      <c r="H32" s="28"/>
      <c r="I32" s="65">
        <f>760-279</f>
        <v>481</v>
      </c>
      <c r="J32" s="28">
        <v>0</v>
      </c>
      <c r="K32" s="28">
        <v>0</v>
      </c>
      <c r="L32" s="52"/>
    </row>
    <row r="33" spans="1:12" ht="12.75">
      <c r="A33" s="4" t="s">
        <v>34</v>
      </c>
      <c r="B33" s="28">
        <v>0</v>
      </c>
      <c r="C33" s="202">
        <v>0</v>
      </c>
      <c r="D33" s="28">
        <v>0</v>
      </c>
      <c r="E33" s="29">
        <v>0</v>
      </c>
      <c r="F33" s="28">
        <f>SUM(C33-D33-E33-G33-H33)</f>
        <v>0</v>
      </c>
      <c r="G33" s="28">
        <v>0</v>
      </c>
      <c r="H33" s="28"/>
      <c r="I33" s="28">
        <v>1913</v>
      </c>
      <c r="J33" s="28">
        <v>0</v>
      </c>
      <c r="K33" s="28">
        <v>0</v>
      </c>
      <c r="L33" s="52"/>
    </row>
    <row r="34" spans="1:12" ht="12.75">
      <c r="A34" s="4" t="s">
        <v>3</v>
      </c>
      <c r="B34" s="4"/>
      <c r="C34" s="202"/>
      <c r="D34" s="28"/>
      <c r="E34" s="29"/>
      <c r="F34" s="28"/>
      <c r="G34" s="28"/>
      <c r="H34" s="28"/>
      <c r="I34" s="28">
        <v>311</v>
      </c>
      <c r="J34" s="28">
        <v>0</v>
      </c>
      <c r="K34" s="28">
        <v>0</v>
      </c>
      <c r="L34" s="52"/>
    </row>
    <row r="35" spans="1:12" ht="12.75">
      <c r="A35" s="4" t="s">
        <v>4</v>
      </c>
      <c r="B35" s="4"/>
      <c r="C35" s="202"/>
      <c r="D35" s="28"/>
      <c r="E35" s="29"/>
      <c r="F35" s="28"/>
      <c r="G35" s="28"/>
      <c r="H35" s="28"/>
      <c r="I35" s="28">
        <v>443</v>
      </c>
      <c r="J35" s="28">
        <v>0</v>
      </c>
      <c r="K35" s="28">
        <v>0</v>
      </c>
      <c r="L35" s="52"/>
    </row>
    <row r="36" spans="1:12" ht="12.75">
      <c r="A36" s="10" t="s">
        <v>7</v>
      </c>
      <c r="B36" s="10"/>
      <c r="C36" s="289"/>
      <c r="D36" s="33"/>
      <c r="E36" s="34"/>
      <c r="F36" s="33"/>
      <c r="G36" s="33"/>
      <c r="H36" s="33"/>
      <c r="I36" s="33">
        <v>1264</v>
      </c>
      <c r="J36" s="33">
        <v>0</v>
      </c>
      <c r="K36" s="33">
        <v>0</v>
      </c>
      <c r="L36" s="52"/>
    </row>
    <row r="37" spans="1:11" ht="12.75">
      <c r="A37" s="60" t="s">
        <v>35</v>
      </c>
      <c r="B37" s="35">
        <f aca="true" t="shared" si="0" ref="B37:K37">SUM(B6:B36)</f>
        <v>28023401</v>
      </c>
      <c r="C37" s="35">
        <f t="shared" si="0"/>
        <v>28509554</v>
      </c>
      <c r="D37" s="35">
        <f t="shared" si="0"/>
        <v>2754863</v>
      </c>
      <c r="E37" s="35">
        <f t="shared" si="0"/>
        <v>1144008</v>
      </c>
      <c r="F37" s="35">
        <f t="shared" si="0"/>
        <v>23428706</v>
      </c>
      <c r="G37" s="35">
        <f t="shared" si="0"/>
        <v>486153</v>
      </c>
      <c r="H37" s="35">
        <f t="shared" si="0"/>
        <v>524405</v>
      </c>
      <c r="I37" s="35">
        <f t="shared" si="0"/>
        <v>82143</v>
      </c>
      <c r="J37" s="35">
        <f t="shared" si="0"/>
        <v>45965.104138851806</v>
      </c>
      <c r="K37" s="35">
        <f t="shared" si="0"/>
        <v>3519</v>
      </c>
    </row>
    <row r="38" spans="1:8" ht="12.75" hidden="1">
      <c r="A38" s="134" t="s">
        <v>154</v>
      </c>
      <c r="B38" s="140"/>
      <c r="C38" s="30">
        <v>442673</v>
      </c>
      <c r="D38" s="30">
        <v>20463</v>
      </c>
      <c r="E38" s="30">
        <v>12449</v>
      </c>
      <c r="F38" s="28">
        <f>SUM(C38-D38-E38-H38)</f>
        <v>409761</v>
      </c>
      <c r="G38" s="135"/>
      <c r="H38" s="30"/>
    </row>
    <row r="39" spans="3:10" ht="12.75" hidden="1">
      <c r="C39" s="53">
        <f>SUM(C37:C38)</f>
        <v>28952227</v>
      </c>
      <c r="D39" s="53">
        <f>SUM(D37:D38)</f>
        <v>2775326</v>
      </c>
      <c r="E39" s="53">
        <f>SUM(E37:E38)</f>
        <v>1156457</v>
      </c>
      <c r="F39" s="53">
        <f>SUM(F37:F38)</f>
        <v>23838467</v>
      </c>
      <c r="G39" s="53"/>
      <c r="J39" s="88"/>
    </row>
    <row r="40" spans="3:11" ht="12.75">
      <c r="C40" s="30"/>
      <c r="D40" s="30"/>
      <c r="E40" s="30"/>
      <c r="F40" s="30"/>
      <c r="G40" s="30"/>
      <c r="H40" s="30"/>
      <c r="I40" s="30"/>
      <c r="J40" s="30"/>
      <c r="K40" s="30"/>
    </row>
    <row r="41" spans="3:11" ht="12.75">
      <c r="C41" s="30"/>
      <c r="D41" s="30"/>
      <c r="E41" s="30"/>
      <c r="F41" s="30"/>
      <c r="G41" s="30"/>
      <c r="H41" s="30"/>
      <c r="I41" s="30"/>
      <c r="J41" s="30"/>
      <c r="K41" s="30"/>
    </row>
    <row r="42" spans="3:11" ht="12.75">
      <c r="C42" s="30"/>
      <c r="D42" s="30"/>
      <c r="E42" s="30"/>
      <c r="F42" s="30"/>
      <c r="G42" s="30"/>
      <c r="H42" s="30"/>
      <c r="I42" s="30"/>
      <c r="J42" s="30"/>
      <c r="K42" s="30"/>
    </row>
    <row r="43" spans="3:11" ht="12.75">
      <c r="C43" s="30"/>
      <c r="D43" s="30"/>
      <c r="E43" s="30"/>
      <c r="F43" s="30"/>
      <c r="G43" s="30"/>
      <c r="H43" s="30"/>
      <c r="I43" s="30"/>
      <c r="J43" s="30"/>
      <c r="K43" s="30"/>
    </row>
    <row r="44" ht="12.75">
      <c r="C44" s="30"/>
    </row>
    <row r="45" ht="12.75">
      <c r="C45" s="30"/>
    </row>
    <row r="46" ht="12.75">
      <c r="C46" s="30"/>
    </row>
    <row r="47" ht="12.75">
      <c r="C47" s="30"/>
    </row>
    <row r="48" ht="12.75">
      <c r="C48" s="30"/>
    </row>
    <row r="49" ht="12.75">
      <c r="C49" s="30"/>
    </row>
    <row r="50" ht="12.75">
      <c r="C50" s="30"/>
    </row>
  </sheetData>
  <mergeCells count="1">
    <mergeCell ref="A1:H2"/>
  </mergeCells>
  <printOptions/>
  <pageMargins left="0.75" right="0.75" top="0.54" bottom="0.59" header="0.5" footer="0.5"/>
  <pageSetup fitToHeight="1" fitToWidth="1" horizontalDpi="600" verticalDpi="600" orientation="landscape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H52"/>
  <sheetViews>
    <sheetView zoomScale="95" zoomScaleNormal="95" workbookViewId="0" topLeftCell="A1">
      <selection activeCell="O42" sqref="O42"/>
    </sheetView>
  </sheetViews>
  <sheetFormatPr defaultColWidth="9.140625" defaultRowHeight="12.75"/>
  <cols>
    <col min="1" max="1" width="25.421875" style="0" customWidth="1"/>
    <col min="2" max="2" width="22.00390625" style="0" customWidth="1"/>
    <col min="3" max="3" width="8.8515625" style="36" customWidth="1"/>
    <col min="4" max="4" width="20.421875" style="36" customWidth="1"/>
    <col min="5" max="5" width="4.28125" style="0" customWidth="1"/>
    <col min="6" max="6" width="29.7109375" style="0" customWidth="1"/>
    <col min="7" max="7" width="21.28125" style="0" customWidth="1"/>
  </cols>
  <sheetData>
    <row r="1" spans="1:4" ht="18">
      <c r="A1" s="376"/>
      <c r="B1" s="376"/>
      <c r="C1" s="376"/>
      <c r="D1" s="376"/>
    </row>
    <row r="2" spans="6:8" ht="12.75">
      <c r="F2" s="143"/>
      <c r="G2" s="143"/>
      <c r="H2" s="143"/>
    </row>
    <row r="3" spans="1:8" ht="12.75">
      <c r="A3" s="70" t="s">
        <v>124</v>
      </c>
      <c r="B3" s="104" t="s">
        <v>122</v>
      </c>
      <c r="C3" s="104" t="s">
        <v>126</v>
      </c>
      <c r="D3" s="104" t="str">
        <f>+D19</f>
        <v>Billing Contact</v>
      </c>
      <c r="F3" s="143"/>
      <c r="G3" s="143"/>
      <c r="H3" s="143"/>
    </row>
    <row r="4" spans="1:8" ht="12.75">
      <c r="A4" s="12" t="s">
        <v>3</v>
      </c>
      <c r="B4" s="101" t="s">
        <v>134</v>
      </c>
      <c r="C4" s="211">
        <v>25.93</v>
      </c>
      <c r="D4" s="310" t="s">
        <v>236</v>
      </c>
      <c r="F4" s="311"/>
      <c r="G4" s="143"/>
      <c r="H4" s="143"/>
    </row>
    <row r="5" spans="1:8" ht="12.75">
      <c r="A5" s="12" t="s">
        <v>185</v>
      </c>
      <c r="B5" s="102" t="s">
        <v>134</v>
      </c>
      <c r="C5" s="211">
        <v>25.93</v>
      </c>
      <c r="D5" s="310" t="s">
        <v>236</v>
      </c>
      <c r="F5" s="311"/>
      <c r="G5" s="143"/>
      <c r="H5" s="143"/>
    </row>
    <row r="6" spans="1:8" ht="12.75">
      <c r="A6" s="12" t="s">
        <v>4</v>
      </c>
      <c r="B6" s="102" t="s">
        <v>134</v>
      </c>
      <c r="C6" s="211">
        <v>25.93</v>
      </c>
      <c r="D6" s="310" t="s">
        <v>236</v>
      </c>
      <c r="F6" s="143"/>
      <c r="G6" s="143"/>
      <c r="H6" s="143"/>
    </row>
    <row r="7" spans="1:8" ht="12.75">
      <c r="A7" s="12" t="s">
        <v>34</v>
      </c>
      <c r="B7" s="102"/>
      <c r="C7" s="211"/>
      <c r="D7" s="310"/>
      <c r="F7" s="143"/>
      <c r="G7" s="143"/>
      <c r="H7" s="143"/>
    </row>
    <row r="8" spans="1:8" ht="12.75">
      <c r="A8" s="12" t="s">
        <v>237</v>
      </c>
      <c r="B8" s="102" t="s">
        <v>134</v>
      </c>
      <c r="C8" s="211">
        <v>25.93</v>
      </c>
      <c r="D8" s="310" t="s">
        <v>236</v>
      </c>
      <c r="F8" s="143"/>
      <c r="G8" s="143"/>
      <c r="H8" s="143"/>
    </row>
    <row r="9" spans="1:8" ht="12.75">
      <c r="A9" s="12" t="s">
        <v>238</v>
      </c>
      <c r="B9" s="102" t="s">
        <v>134</v>
      </c>
      <c r="C9" s="211">
        <v>25.93</v>
      </c>
      <c r="D9" s="310" t="s">
        <v>236</v>
      </c>
      <c r="F9" s="143"/>
      <c r="G9" s="143"/>
      <c r="H9" s="143"/>
    </row>
    <row r="10" spans="1:8" ht="12.75">
      <c r="A10" s="12" t="s">
        <v>239</v>
      </c>
      <c r="B10" s="102" t="s">
        <v>134</v>
      </c>
      <c r="C10" s="211">
        <v>25.93</v>
      </c>
      <c r="D10" s="310" t="s">
        <v>236</v>
      </c>
      <c r="F10" s="143"/>
      <c r="G10" s="143"/>
      <c r="H10" s="143"/>
    </row>
    <row r="11" spans="1:8" ht="12.75">
      <c r="A11" s="12" t="s">
        <v>6</v>
      </c>
      <c r="B11" s="102" t="s">
        <v>134</v>
      </c>
      <c r="C11" s="211">
        <v>25.93</v>
      </c>
      <c r="D11" s="310" t="s">
        <v>236</v>
      </c>
      <c r="F11" s="143"/>
      <c r="G11" s="143"/>
      <c r="H11" s="143"/>
    </row>
    <row r="12" spans="1:8" ht="12.75">
      <c r="A12" s="12" t="s">
        <v>295</v>
      </c>
      <c r="B12" s="102" t="s">
        <v>134</v>
      </c>
      <c r="C12" s="211">
        <v>25.93</v>
      </c>
      <c r="D12" s="310" t="s">
        <v>236</v>
      </c>
      <c r="F12" s="143"/>
      <c r="G12" s="143"/>
      <c r="H12" s="143"/>
    </row>
    <row r="13" spans="1:8" ht="12.75">
      <c r="A13" s="12" t="s">
        <v>296</v>
      </c>
      <c r="B13" s="102" t="s">
        <v>134</v>
      </c>
      <c r="C13" s="211">
        <v>25.93</v>
      </c>
      <c r="D13" s="310" t="s">
        <v>236</v>
      </c>
      <c r="F13" s="143"/>
      <c r="G13" s="143"/>
      <c r="H13" s="143"/>
    </row>
    <row r="14" spans="1:8" ht="12.75">
      <c r="A14" s="12" t="s">
        <v>7</v>
      </c>
      <c r="B14" s="102" t="s">
        <v>134</v>
      </c>
      <c r="C14" s="211">
        <v>25.93</v>
      </c>
      <c r="D14" s="310" t="s">
        <v>236</v>
      </c>
      <c r="F14" s="143"/>
      <c r="G14" s="143"/>
      <c r="H14" s="143"/>
    </row>
    <row r="15" spans="1:8" ht="12.75">
      <c r="A15" s="12" t="s">
        <v>125</v>
      </c>
      <c r="B15" s="102" t="s">
        <v>134</v>
      </c>
      <c r="C15" s="211">
        <v>25.93</v>
      </c>
      <c r="D15" s="310" t="s">
        <v>236</v>
      </c>
      <c r="F15" s="143"/>
      <c r="G15" s="143"/>
      <c r="H15" s="143"/>
    </row>
    <row r="16" spans="1:8" ht="12.75">
      <c r="A16" s="12" t="s">
        <v>118</v>
      </c>
      <c r="B16" s="102" t="s">
        <v>134</v>
      </c>
      <c r="C16" s="211">
        <v>25.93</v>
      </c>
      <c r="D16" s="310" t="s">
        <v>236</v>
      </c>
      <c r="F16" s="143"/>
      <c r="G16" s="143"/>
      <c r="H16" s="143"/>
    </row>
    <row r="17" spans="1:8" ht="12.75">
      <c r="A17" s="100" t="s">
        <v>8</v>
      </c>
      <c r="B17" s="103" t="s">
        <v>134</v>
      </c>
      <c r="C17" s="212">
        <v>25.93</v>
      </c>
      <c r="D17" s="20" t="s">
        <v>236</v>
      </c>
      <c r="F17" s="143"/>
      <c r="G17" s="143"/>
      <c r="H17" s="143"/>
    </row>
    <row r="18" spans="6:8" ht="12.75">
      <c r="F18" s="143"/>
      <c r="G18" s="143"/>
      <c r="H18" s="143"/>
    </row>
    <row r="19" spans="1:4" ht="12.75">
      <c r="A19" s="70" t="s">
        <v>123</v>
      </c>
      <c r="B19" s="322" t="s">
        <v>122</v>
      </c>
      <c r="C19" s="104" t="s">
        <v>126</v>
      </c>
      <c r="D19" s="220" t="s">
        <v>223</v>
      </c>
    </row>
    <row r="20" spans="1:4" ht="12.75">
      <c r="A20" s="334" t="s">
        <v>6</v>
      </c>
      <c r="B20" s="229"/>
      <c r="C20" s="331"/>
      <c r="D20" s="330"/>
    </row>
    <row r="21" spans="1:4" ht="12.75">
      <c r="A21" s="15" t="s">
        <v>290</v>
      </c>
      <c r="B21" s="332" t="s">
        <v>176</v>
      </c>
      <c r="C21" s="337" t="s">
        <v>127</v>
      </c>
      <c r="D21" s="335" t="s">
        <v>240</v>
      </c>
    </row>
    <row r="22" spans="1:4" ht="12.75" customHeight="1">
      <c r="A22" s="15" t="s">
        <v>289</v>
      </c>
      <c r="B22" s="332" t="s">
        <v>182</v>
      </c>
      <c r="C22" s="337" t="s">
        <v>131</v>
      </c>
      <c r="D22" s="335" t="s">
        <v>258</v>
      </c>
    </row>
    <row r="23" spans="1:4" ht="12.75">
      <c r="A23" s="15" t="s">
        <v>291</v>
      </c>
      <c r="B23" s="332" t="s">
        <v>183</v>
      </c>
      <c r="C23" s="337" t="s">
        <v>131</v>
      </c>
      <c r="D23" s="335" t="s">
        <v>258</v>
      </c>
    </row>
    <row r="24" spans="1:4" ht="12.75">
      <c r="A24" s="15" t="s">
        <v>292</v>
      </c>
      <c r="B24" s="333" t="s">
        <v>184</v>
      </c>
      <c r="C24" s="337" t="s">
        <v>133</v>
      </c>
      <c r="D24" s="335" t="s">
        <v>258</v>
      </c>
    </row>
    <row r="25" spans="1:4" ht="12.75">
      <c r="A25" s="15" t="s">
        <v>293</v>
      </c>
      <c r="B25" s="332" t="s">
        <v>294</v>
      </c>
      <c r="C25" s="344" t="s">
        <v>130</v>
      </c>
      <c r="D25" s="335" t="s">
        <v>258</v>
      </c>
    </row>
    <row r="26" spans="1:4" ht="12.75">
      <c r="A26" s="15" t="s">
        <v>259</v>
      </c>
      <c r="B26" s="333" t="s">
        <v>260</v>
      </c>
      <c r="C26" s="337" t="s">
        <v>132</v>
      </c>
      <c r="D26" s="335" t="s">
        <v>258</v>
      </c>
    </row>
    <row r="27" spans="1:4" ht="12.75">
      <c r="A27" s="15" t="s">
        <v>261</v>
      </c>
      <c r="B27" s="333" t="s">
        <v>260</v>
      </c>
      <c r="C27" s="337" t="s">
        <v>132</v>
      </c>
      <c r="D27" s="335" t="s">
        <v>258</v>
      </c>
    </row>
    <row r="28" spans="1:4" ht="12.75">
      <c r="A28" s="15" t="s">
        <v>119</v>
      </c>
      <c r="B28" s="332" t="s">
        <v>128</v>
      </c>
      <c r="C28" s="337" t="s">
        <v>129</v>
      </c>
      <c r="D28" s="335" t="s">
        <v>277</v>
      </c>
    </row>
    <row r="29" spans="1:4" ht="12.75">
      <c r="A29" s="15" t="s">
        <v>120</v>
      </c>
      <c r="B29" s="332" t="s">
        <v>177</v>
      </c>
      <c r="C29" s="337" t="s">
        <v>130</v>
      </c>
      <c r="D29" s="335" t="s">
        <v>236</v>
      </c>
    </row>
    <row r="30" spans="1:4" ht="12.75">
      <c r="A30" s="15" t="s">
        <v>200</v>
      </c>
      <c r="B30" s="332"/>
      <c r="C30" s="337"/>
      <c r="D30" s="335"/>
    </row>
    <row r="31" spans="1:4" ht="12.75">
      <c r="A31" s="15" t="s">
        <v>269</v>
      </c>
      <c r="B31" s="332" t="s">
        <v>241</v>
      </c>
      <c r="C31" s="337" t="s">
        <v>130</v>
      </c>
      <c r="D31" s="335" t="s">
        <v>236</v>
      </c>
    </row>
    <row r="32" spans="1:4" ht="12.75">
      <c r="A32" s="15" t="s">
        <v>270</v>
      </c>
      <c r="B32" s="332" t="s">
        <v>241</v>
      </c>
      <c r="C32" s="337" t="s">
        <v>130</v>
      </c>
      <c r="D32" s="335" t="s">
        <v>236</v>
      </c>
    </row>
    <row r="33" spans="1:4" ht="12.75">
      <c r="A33" s="15" t="s">
        <v>271</v>
      </c>
      <c r="B33" s="332" t="s">
        <v>241</v>
      </c>
      <c r="C33" s="337" t="s">
        <v>130</v>
      </c>
      <c r="D33" s="335" t="s">
        <v>236</v>
      </c>
    </row>
    <row r="34" spans="1:4" ht="12.75">
      <c r="A34" s="15" t="s">
        <v>272</v>
      </c>
      <c r="B34" s="332" t="s">
        <v>241</v>
      </c>
      <c r="C34" s="337" t="s">
        <v>130</v>
      </c>
      <c r="D34" s="335" t="s">
        <v>236</v>
      </c>
    </row>
    <row r="35" spans="1:4" ht="12.75">
      <c r="A35" s="15" t="s">
        <v>246</v>
      </c>
      <c r="B35" s="332" t="s">
        <v>241</v>
      </c>
      <c r="C35" s="337" t="s">
        <v>130</v>
      </c>
      <c r="D35" s="335" t="s">
        <v>236</v>
      </c>
    </row>
    <row r="36" spans="1:4" ht="12.75">
      <c r="A36" s="15" t="s">
        <v>245</v>
      </c>
      <c r="B36" s="332" t="s">
        <v>241</v>
      </c>
      <c r="C36" s="337" t="s">
        <v>130</v>
      </c>
      <c r="D36" s="335" t="s">
        <v>236</v>
      </c>
    </row>
    <row r="37" spans="1:4" ht="12.75">
      <c r="A37" s="15" t="s">
        <v>275</v>
      </c>
      <c r="B37" s="332" t="s">
        <v>241</v>
      </c>
      <c r="C37" s="337" t="s">
        <v>130</v>
      </c>
      <c r="D37" s="335" t="s">
        <v>236</v>
      </c>
    </row>
    <row r="38" spans="1:4" ht="12.75">
      <c r="A38" s="15" t="s">
        <v>121</v>
      </c>
      <c r="B38" s="332"/>
      <c r="C38" s="337"/>
      <c r="D38" s="335"/>
    </row>
    <row r="39" spans="1:4" ht="12.75">
      <c r="A39" s="15" t="s">
        <v>242</v>
      </c>
      <c r="B39" s="332" t="s">
        <v>178</v>
      </c>
      <c r="C39" s="337" t="s">
        <v>130</v>
      </c>
      <c r="D39" s="335" t="s">
        <v>250</v>
      </c>
    </row>
    <row r="40" spans="1:4" ht="12.75">
      <c r="A40" s="15" t="s">
        <v>243</v>
      </c>
      <c r="B40" s="332" t="s">
        <v>179</v>
      </c>
      <c r="C40" s="337" t="s">
        <v>130</v>
      </c>
      <c r="D40" s="335" t="s">
        <v>250</v>
      </c>
    </row>
    <row r="41" spans="1:4" ht="12.75">
      <c r="A41" s="15" t="s">
        <v>244</v>
      </c>
      <c r="B41" s="332" t="s">
        <v>180</v>
      </c>
      <c r="C41" s="337" t="s">
        <v>130</v>
      </c>
      <c r="D41" s="335" t="s">
        <v>250</v>
      </c>
    </row>
    <row r="42" spans="1:4" ht="12.75">
      <c r="A42" s="15" t="s">
        <v>247</v>
      </c>
      <c r="B42" s="332" t="s">
        <v>181</v>
      </c>
      <c r="C42" s="337" t="s">
        <v>130</v>
      </c>
      <c r="D42" s="335" t="s">
        <v>250</v>
      </c>
    </row>
    <row r="43" spans="1:4" ht="12.75">
      <c r="A43" s="15" t="s">
        <v>1</v>
      </c>
      <c r="B43" s="332"/>
      <c r="C43" s="337"/>
      <c r="D43" s="335"/>
    </row>
    <row r="44" spans="1:4" ht="12.75">
      <c r="A44" s="15" t="s">
        <v>248</v>
      </c>
      <c r="B44" s="332" t="s">
        <v>249</v>
      </c>
      <c r="C44" s="337" t="s">
        <v>131</v>
      </c>
      <c r="D44" s="335" t="s">
        <v>250</v>
      </c>
    </row>
    <row r="45" spans="1:4" ht="12.75">
      <c r="A45" s="15" t="s">
        <v>251</v>
      </c>
      <c r="B45" s="332" t="s">
        <v>249</v>
      </c>
      <c r="C45" s="337" t="s">
        <v>131</v>
      </c>
      <c r="D45" s="335" t="s">
        <v>250</v>
      </c>
    </row>
    <row r="46" spans="1:4" ht="12.75">
      <c r="A46" s="15" t="s">
        <v>252</v>
      </c>
      <c r="B46" s="332" t="s">
        <v>249</v>
      </c>
      <c r="C46" s="337" t="s">
        <v>131</v>
      </c>
      <c r="D46" s="335" t="s">
        <v>250</v>
      </c>
    </row>
    <row r="47" spans="1:4" ht="12.75">
      <c r="A47" s="15" t="s">
        <v>253</v>
      </c>
      <c r="B47" s="332" t="s">
        <v>249</v>
      </c>
      <c r="C47" s="337" t="s">
        <v>131</v>
      </c>
      <c r="D47" s="335" t="s">
        <v>250</v>
      </c>
    </row>
    <row r="48" spans="1:4" ht="12.75">
      <c r="A48" s="15" t="s">
        <v>254</v>
      </c>
      <c r="B48" s="332" t="s">
        <v>249</v>
      </c>
      <c r="C48" s="337" t="s">
        <v>131</v>
      </c>
      <c r="D48" s="335" t="s">
        <v>250</v>
      </c>
    </row>
    <row r="49" spans="1:4" ht="12.75">
      <c r="A49" s="15" t="s">
        <v>201</v>
      </c>
      <c r="B49" s="332"/>
      <c r="C49" s="337"/>
      <c r="D49" s="335"/>
    </row>
    <row r="50" spans="1:4" ht="12.75">
      <c r="A50" s="15" t="s">
        <v>255</v>
      </c>
      <c r="B50" s="332" t="s">
        <v>306</v>
      </c>
      <c r="C50" s="337" t="s">
        <v>131</v>
      </c>
      <c r="D50" s="335" t="s">
        <v>250</v>
      </c>
    </row>
    <row r="51" spans="1:4" ht="12.75">
      <c r="A51" s="15" t="s">
        <v>256</v>
      </c>
      <c r="B51" s="332" t="s">
        <v>306</v>
      </c>
      <c r="C51" s="337" t="s">
        <v>131</v>
      </c>
      <c r="D51" s="335" t="s">
        <v>250</v>
      </c>
    </row>
    <row r="52" spans="1:4" ht="12.75">
      <c r="A52" s="16" t="s">
        <v>257</v>
      </c>
      <c r="B52" s="336" t="s">
        <v>306</v>
      </c>
      <c r="C52" s="338" t="s">
        <v>131</v>
      </c>
      <c r="D52" s="26" t="s">
        <v>250</v>
      </c>
    </row>
  </sheetData>
  <mergeCells count="1">
    <mergeCell ref="A1:D1"/>
  </mergeCells>
  <printOptions/>
  <pageMargins left="0.75" right="0.75" top="0.54" bottom="0.59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2:G43"/>
  <sheetViews>
    <sheetView zoomScale="90" zoomScaleNormal="90" workbookViewId="0" topLeftCell="A4">
      <selection activeCell="B42" sqref="B42"/>
    </sheetView>
  </sheetViews>
  <sheetFormatPr defaultColWidth="9.140625" defaultRowHeight="12.75"/>
  <cols>
    <col min="1" max="1" width="9.7109375" style="0" customWidth="1"/>
    <col min="2" max="4" width="14.7109375" style="0" customWidth="1"/>
    <col min="5" max="5" width="2.28125" style="0" customWidth="1"/>
  </cols>
  <sheetData>
    <row r="2" ht="18">
      <c r="A2" s="22" t="s">
        <v>89</v>
      </c>
    </row>
    <row r="3" spans="1:4" ht="12.75">
      <c r="A3" s="21"/>
      <c r="B3" s="355" t="s">
        <v>35</v>
      </c>
      <c r="C3" s="356"/>
      <c r="D3" s="357"/>
    </row>
    <row r="4" spans="1:7" ht="12.75">
      <c r="A4" s="12"/>
      <c r="B4" s="19" t="s">
        <v>36</v>
      </c>
      <c r="C4" s="19" t="s">
        <v>37</v>
      </c>
      <c r="D4" s="20" t="s">
        <v>38</v>
      </c>
      <c r="G4" s="86"/>
    </row>
    <row r="5" spans="1:4" ht="12.75">
      <c r="A5" s="4" t="s">
        <v>0</v>
      </c>
      <c r="B5" s="29">
        <f>SUM('TCR Model'!K7)</f>
        <v>6729</v>
      </c>
      <c r="C5" s="43">
        <f>SUM(B5/$B$38)</f>
        <v>0.14017581868177653</v>
      </c>
      <c r="D5" s="51">
        <f>ROUND(C5*$D$43,0)</f>
        <v>8910</v>
      </c>
    </row>
    <row r="6" spans="1:4" ht="12.75">
      <c r="A6" s="4" t="s">
        <v>10</v>
      </c>
      <c r="B6" s="29">
        <f>SUM('TCR Model'!K8)</f>
        <v>4992</v>
      </c>
      <c r="C6" s="43">
        <f aca="true" t="shared" si="0" ref="C6:C28">SUM(B6/$B$38)</f>
        <v>0.10399133405549538</v>
      </c>
      <c r="D6" s="46">
        <f>ROUND(C6*$D$43,0)</f>
        <v>6610</v>
      </c>
    </row>
    <row r="7" spans="1:4" ht="12.75">
      <c r="A7" s="4" t="s">
        <v>11</v>
      </c>
      <c r="B7" s="29">
        <f>SUM('TCR Model'!K9)</f>
        <v>952</v>
      </c>
      <c r="C7" s="43">
        <f t="shared" si="0"/>
        <v>0.01983168069327556</v>
      </c>
      <c r="D7" s="46">
        <f aca="true" t="shared" si="1" ref="D7:D28">ROUND(C7*$D$43,0)</f>
        <v>1261</v>
      </c>
    </row>
    <row r="8" spans="1:4" ht="12.75">
      <c r="A8" s="4" t="s">
        <v>12</v>
      </c>
      <c r="B8" s="29">
        <f>SUM('TCR Model'!K10)</f>
        <v>3667</v>
      </c>
      <c r="C8" s="43">
        <f t="shared" si="0"/>
        <v>0.0763894675443713</v>
      </c>
      <c r="D8" s="46">
        <f t="shared" si="1"/>
        <v>4855</v>
      </c>
    </row>
    <row r="9" spans="1:4" ht="12.75">
      <c r="A9" s="4" t="s">
        <v>13</v>
      </c>
      <c r="B9" s="29">
        <f>SUM('TCR Model'!K11)</f>
        <v>3874</v>
      </c>
      <c r="C9" s="43">
        <f t="shared" si="0"/>
        <v>0.08070160819931672</v>
      </c>
      <c r="D9" s="46">
        <f t="shared" si="1"/>
        <v>5130</v>
      </c>
    </row>
    <row r="10" spans="1:4" ht="12.75">
      <c r="A10" s="4" t="s">
        <v>14</v>
      </c>
      <c r="B10" s="29">
        <f>SUM('TCR Model'!K12)</f>
        <v>5425</v>
      </c>
      <c r="C10" s="43">
        <f t="shared" si="0"/>
        <v>0.11301141571535706</v>
      </c>
      <c r="D10" s="46">
        <f t="shared" si="1"/>
        <v>7183</v>
      </c>
    </row>
    <row r="11" spans="1:4" ht="12.75">
      <c r="A11" s="4" t="s">
        <v>15</v>
      </c>
      <c r="B11" s="29">
        <f>SUM('TCR Model'!K13)</f>
        <v>3830</v>
      </c>
      <c r="C11" s="43">
        <f t="shared" si="0"/>
        <v>0.07978501791517374</v>
      </c>
      <c r="D11" s="46">
        <f t="shared" si="1"/>
        <v>5071</v>
      </c>
    </row>
    <row r="12" spans="1:4" ht="12.75">
      <c r="A12" s="4" t="s">
        <v>16</v>
      </c>
      <c r="B12" s="29">
        <f>SUM('TCR Model'!K14)</f>
        <v>3152</v>
      </c>
      <c r="C12" s="43">
        <f t="shared" si="0"/>
        <v>0.06566119490042496</v>
      </c>
      <c r="D12" s="46">
        <f t="shared" si="1"/>
        <v>4174</v>
      </c>
    </row>
    <row r="13" spans="1:4" ht="12.75">
      <c r="A13" s="4" t="s">
        <v>17</v>
      </c>
      <c r="B13" s="29">
        <f>SUM('TCR Model'!K15)</f>
        <v>1099</v>
      </c>
      <c r="C13" s="43">
        <f t="shared" si="0"/>
        <v>0.022893925506207818</v>
      </c>
      <c r="D13" s="46">
        <f t="shared" si="1"/>
        <v>1455</v>
      </c>
    </row>
    <row r="14" spans="1:4" ht="12.75">
      <c r="A14" s="4" t="s">
        <v>18</v>
      </c>
      <c r="B14" s="29">
        <f>SUM('TCR Model'!K16)</f>
        <v>798</v>
      </c>
      <c r="C14" s="43">
        <f t="shared" si="0"/>
        <v>0.016623614698775102</v>
      </c>
      <c r="D14" s="46">
        <f t="shared" si="1"/>
        <v>1057</v>
      </c>
    </row>
    <row r="15" spans="1:4" ht="12.75">
      <c r="A15" s="4" t="s">
        <v>19</v>
      </c>
      <c r="B15" s="29">
        <f>SUM('TCR Model'!K17)</f>
        <v>2240</v>
      </c>
      <c r="C15" s="43">
        <f t="shared" si="0"/>
        <v>0.04666277810182485</v>
      </c>
      <c r="D15" s="46">
        <f t="shared" si="1"/>
        <v>2966</v>
      </c>
    </row>
    <row r="16" spans="1:4" ht="12.75">
      <c r="A16" s="4" t="s">
        <v>20</v>
      </c>
      <c r="B16" s="29">
        <f>SUM('TCR Model'!K18)</f>
        <v>1320</v>
      </c>
      <c r="C16" s="43">
        <f t="shared" si="0"/>
        <v>0.027497708524289642</v>
      </c>
      <c r="D16" s="46">
        <f t="shared" si="1"/>
        <v>1748</v>
      </c>
    </row>
    <row r="17" spans="1:4" ht="12.75">
      <c r="A17" s="4" t="s">
        <v>21</v>
      </c>
      <c r="B17" s="29">
        <f>SUM('TCR Model'!K19)</f>
        <v>816</v>
      </c>
      <c r="C17" s="43">
        <f t="shared" si="0"/>
        <v>0.016998583451379053</v>
      </c>
      <c r="D17" s="46">
        <f t="shared" si="1"/>
        <v>1080</v>
      </c>
    </row>
    <row r="18" spans="1:4" ht="12.75">
      <c r="A18" s="4" t="s">
        <v>22</v>
      </c>
      <c r="B18" s="29">
        <f>SUM('TCR Model'!K20)</f>
        <v>3026</v>
      </c>
      <c r="C18" s="43">
        <f t="shared" si="0"/>
        <v>0.06303641363219732</v>
      </c>
      <c r="D18" s="46">
        <f t="shared" si="1"/>
        <v>4007</v>
      </c>
    </row>
    <row r="19" spans="1:4" ht="12.75">
      <c r="A19" s="4" t="s">
        <v>23</v>
      </c>
      <c r="B19" s="29">
        <f>SUM('TCR Model'!K21)</f>
        <v>1996</v>
      </c>
      <c r="C19" s="43">
        <f t="shared" si="0"/>
        <v>0.04157986834430464</v>
      </c>
      <c r="D19" s="46">
        <f t="shared" si="1"/>
        <v>2643</v>
      </c>
    </row>
    <row r="20" spans="1:4" ht="12.75">
      <c r="A20" s="4" t="s">
        <v>24</v>
      </c>
      <c r="B20" s="29">
        <f>SUM('TCR Model'!K22)</f>
        <v>740</v>
      </c>
      <c r="C20" s="43">
        <f t="shared" si="0"/>
        <v>0.015415382051495709</v>
      </c>
      <c r="D20" s="46">
        <f t="shared" si="1"/>
        <v>980</v>
      </c>
    </row>
    <row r="21" spans="1:4" ht="12.75">
      <c r="A21" s="4" t="s">
        <v>25</v>
      </c>
      <c r="B21" s="29">
        <f>SUM('TCR Model'!K23)</f>
        <v>400</v>
      </c>
      <c r="C21" s="43">
        <f t="shared" si="0"/>
        <v>0.008332638946754437</v>
      </c>
      <c r="D21" s="46">
        <f t="shared" si="1"/>
        <v>530</v>
      </c>
    </row>
    <row r="22" spans="1:4" ht="12.75">
      <c r="A22" s="4" t="s">
        <v>26</v>
      </c>
      <c r="B22" s="29">
        <f>SUM('TCR Model'!K24)</f>
        <v>337</v>
      </c>
      <c r="C22" s="43">
        <f t="shared" si="0"/>
        <v>0.007020248312640614</v>
      </c>
      <c r="D22" s="46">
        <f t="shared" si="1"/>
        <v>446</v>
      </c>
    </row>
    <row r="23" spans="1:4" ht="12.75">
      <c r="A23" s="4" t="s">
        <v>27</v>
      </c>
      <c r="B23" s="29">
        <f>SUM('TCR Model'!K25)</f>
        <v>1154</v>
      </c>
      <c r="C23" s="43">
        <f t="shared" si="0"/>
        <v>0.024039663361386552</v>
      </c>
      <c r="D23" s="46">
        <f t="shared" si="1"/>
        <v>1528</v>
      </c>
    </row>
    <row r="24" spans="1:4" ht="12.75">
      <c r="A24" s="4" t="s">
        <v>28</v>
      </c>
      <c r="B24" s="29">
        <f>SUM('TCR Model'!K26)</f>
        <v>322</v>
      </c>
      <c r="C24" s="43">
        <f t="shared" si="0"/>
        <v>0.006707774352137322</v>
      </c>
      <c r="D24" s="46">
        <f t="shared" si="1"/>
        <v>426</v>
      </c>
    </row>
    <row r="25" spans="1:4" ht="12.75">
      <c r="A25" s="4" t="s">
        <v>29</v>
      </c>
      <c r="B25" s="29">
        <f>SUM('TCR Model'!K27)</f>
        <v>630</v>
      </c>
      <c r="C25" s="43">
        <f t="shared" si="0"/>
        <v>0.013123906341138239</v>
      </c>
      <c r="D25" s="46">
        <f t="shared" si="1"/>
        <v>834</v>
      </c>
    </row>
    <row r="26" spans="1:4" ht="12.75">
      <c r="A26" s="4" t="s">
        <v>30</v>
      </c>
      <c r="B26" s="29">
        <f>SUM('TCR Model'!K28)</f>
        <v>0</v>
      </c>
      <c r="C26" s="43">
        <f t="shared" si="0"/>
        <v>0</v>
      </c>
      <c r="D26" s="46">
        <f t="shared" si="1"/>
        <v>0</v>
      </c>
    </row>
    <row r="27" spans="1:4" ht="12.75">
      <c r="A27" s="4" t="s">
        <v>31</v>
      </c>
      <c r="B27" s="29">
        <f>SUM('TCR Model'!K29)</f>
        <v>337</v>
      </c>
      <c r="C27" s="43">
        <f t="shared" si="0"/>
        <v>0.007020248312640614</v>
      </c>
      <c r="D27" s="46">
        <f t="shared" si="1"/>
        <v>446</v>
      </c>
    </row>
    <row r="28" spans="1:6" ht="12.75">
      <c r="A28" s="4" t="s">
        <v>32</v>
      </c>
      <c r="B28" s="29">
        <f>SUM('TCR Model'!K30)</f>
        <v>168</v>
      </c>
      <c r="C28" s="43">
        <f t="shared" si="0"/>
        <v>0.0034997083576368635</v>
      </c>
      <c r="D28" s="46">
        <f t="shared" si="1"/>
        <v>222</v>
      </c>
      <c r="F28" s="53"/>
    </row>
    <row r="29" spans="1:4" ht="12.75">
      <c r="A29" s="4" t="s">
        <v>33</v>
      </c>
      <c r="B29" s="29">
        <f>SUM('TCR Model'!K32)</f>
        <v>0</v>
      </c>
      <c r="C29" s="29">
        <v>0</v>
      </c>
      <c r="D29" s="46">
        <v>0</v>
      </c>
    </row>
    <row r="30" spans="1:4" ht="12.75">
      <c r="A30" s="4" t="s">
        <v>6</v>
      </c>
      <c r="B30" s="29"/>
      <c r="C30" s="29"/>
      <c r="D30" s="46"/>
    </row>
    <row r="31" spans="1:4" ht="12.75">
      <c r="A31" s="4" t="s">
        <v>45</v>
      </c>
      <c r="B31" s="29"/>
      <c r="C31" s="29"/>
      <c r="D31" s="46"/>
    </row>
    <row r="32" spans="1:4" ht="12.75">
      <c r="A32" s="4" t="s">
        <v>34</v>
      </c>
      <c r="B32" s="29"/>
      <c r="C32" s="29"/>
      <c r="D32" s="46"/>
    </row>
    <row r="33" spans="1:4" ht="12.75">
      <c r="A33" s="4" t="s">
        <v>3</v>
      </c>
      <c r="B33" s="29"/>
      <c r="C33" s="29"/>
      <c r="D33" s="46"/>
    </row>
    <row r="34" spans="1:4" ht="12.75">
      <c r="A34" s="4" t="s">
        <v>4</v>
      </c>
      <c r="B34" s="29"/>
      <c r="C34" s="29"/>
      <c r="D34" s="46"/>
    </row>
    <row r="35" spans="1:4" ht="12.75">
      <c r="A35" s="4" t="s">
        <v>7</v>
      </c>
      <c r="B35" s="29"/>
      <c r="C35" s="29"/>
      <c r="D35" s="46"/>
    </row>
    <row r="36" spans="1:4" ht="12.75">
      <c r="A36" s="4" t="s">
        <v>106</v>
      </c>
      <c r="B36" s="28"/>
      <c r="C36" s="29"/>
      <c r="D36" s="46"/>
    </row>
    <row r="37" spans="1:4" ht="12.75">
      <c r="A37" s="4" t="s">
        <v>93</v>
      </c>
      <c r="B37" s="92"/>
      <c r="C37" s="93"/>
      <c r="D37" s="92"/>
    </row>
    <row r="38" spans="1:6" ht="12.75">
      <c r="A38" s="99" t="s">
        <v>35</v>
      </c>
      <c r="B38" s="33">
        <f>SUM(B5:B37)</f>
        <v>48004</v>
      </c>
      <c r="C38" s="197">
        <f>SUM(C5:C37)</f>
        <v>1</v>
      </c>
      <c r="D38" s="50">
        <f>SUM(D5:D37)</f>
        <v>63562</v>
      </c>
      <c r="F38" s="53"/>
    </row>
    <row r="39" spans="1:4" ht="12.75">
      <c r="A39" s="96" t="s">
        <v>142</v>
      </c>
      <c r="D39" s="53"/>
    </row>
    <row r="43" ht="12.75">
      <c r="D43" s="124">
        <v>63562</v>
      </c>
    </row>
  </sheetData>
  <mergeCells count="1">
    <mergeCell ref="B3:D3"/>
  </mergeCells>
  <printOptions/>
  <pageMargins left="0.75" right="0.75" top="0.54" bottom="0.59" header="0.5" footer="0.5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2:I43"/>
  <sheetViews>
    <sheetView zoomScale="90" zoomScaleNormal="90" workbookViewId="0" topLeftCell="A7">
      <selection activeCell="B42" sqref="B42"/>
    </sheetView>
  </sheetViews>
  <sheetFormatPr defaultColWidth="9.140625" defaultRowHeight="12.75"/>
  <cols>
    <col min="1" max="1" width="9.7109375" style="0" customWidth="1"/>
    <col min="2" max="3" width="13.140625" style="0" customWidth="1"/>
    <col min="4" max="6" width="14.7109375" style="0" customWidth="1"/>
    <col min="7" max="7" width="2.28125" style="0" customWidth="1"/>
  </cols>
  <sheetData>
    <row r="2" spans="1:3" ht="18">
      <c r="A2" s="22" t="s">
        <v>185</v>
      </c>
      <c r="B2" s="226"/>
      <c r="C2" s="22"/>
    </row>
    <row r="3" spans="1:6" ht="12.75">
      <c r="A3" s="21"/>
      <c r="B3" s="358" t="s">
        <v>36</v>
      </c>
      <c r="C3" s="359"/>
      <c r="D3" s="359"/>
      <c r="E3" s="360"/>
      <c r="F3" s="104" t="s">
        <v>35</v>
      </c>
    </row>
    <row r="4" spans="1:6" ht="12.75">
      <c r="A4" s="12"/>
      <c r="B4" s="20" t="s">
        <v>208</v>
      </c>
      <c r="C4" s="19" t="s">
        <v>209</v>
      </c>
      <c r="D4" s="55" t="s">
        <v>35</v>
      </c>
      <c r="E4" s="23" t="s">
        <v>37</v>
      </c>
      <c r="F4" s="20" t="s">
        <v>38</v>
      </c>
    </row>
    <row r="5" spans="1:9" ht="12.75">
      <c r="A5" s="4" t="s">
        <v>0</v>
      </c>
      <c r="B5" s="214">
        <v>2051351</v>
      </c>
      <c r="C5" s="214">
        <v>66279</v>
      </c>
      <c r="D5" s="156">
        <f>+C5+B5</f>
        <v>2117630</v>
      </c>
      <c r="E5" s="192">
        <f aca="true" t="shared" si="0" ref="E5:E27">SUM(D5/$D$38)</f>
        <v>0.13388967320975523</v>
      </c>
      <c r="F5" s="51">
        <f>ROUND(E5*$F$43,0)-3</f>
        <v>5164</v>
      </c>
      <c r="I5" s="52"/>
    </row>
    <row r="6" spans="1:9" ht="12.75">
      <c r="A6" s="4" t="s">
        <v>10</v>
      </c>
      <c r="B6" s="215">
        <v>1958887</v>
      </c>
      <c r="C6" s="215">
        <v>90316</v>
      </c>
      <c r="D6" s="156">
        <f aca="true" t="shared" si="1" ref="D6:D28">+C6+B6</f>
        <v>2049203</v>
      </c>
      <c r="E6" s="192">
        <f t="shared" si="0"/>
        <v>0.12956329482036524</v>
      </c>
      <c r="F6" s="46">
        <f aca="true" t="shared" si="2" ref="F6:F27">ROUND(E6*$F$43,0)</f>
        <v>5000</v>
      </c>
      <c r="I6" s="52"/>
    </row>
    <row r="7" spans="1:9" ht="12.75">
      <c r="A7" s="4" t="s">
        <v>11</v>
      </c>
      <c r="B7" s="215">
        <v>244647</v>
      </c>
      <c r="C7" s="215">
        <v>14746</v>
      </c>
      <c r="D7" s="156">
        <f t="shared" si="1"/>
        <v>259393</v>
      </c>
      <c r="E7" s="192">
        <f t="shared" si="0"/>
        <v>0.01640043067150448</v>
      </c>
      <c r="F7" s="46">
        <f t="shared" si="2"/>
        <v>633</v>
      </c>
      <c r="I7" s="52"/>
    </row>
    <row r="8" spans="1:9" ht="12.75">
      <c r="A8" s="4" t="s">
        <v>12</v>
      </c>
      <c r="B8" s="215">
        <v>1234071</v>
      </c>
      <c r="C8" s="215">
        <v>54058</v>
      </c>
      <c r="D8" s="156">
        <f t="shared" si="1"/>
        <v>1288129</v>
      </c>
      <c r="E8" s="192">
        <f t="shared" si="0"/>
        <v>0.08144348675736969</v>
      </c>
      <c r="F8" s="46">
        <f t="shared" si="2"/>
        <v>3143</v>
      </c>
      <c r="I8" s="52"/>
    </row>
    <row r="9" spans="1:9" ht="12.75">
      <c r="A9" s="4" t="s">
        <v>13</v>
      </c>
      <c r="B9" s="215">
        <v>1050588</v>
      </c>
      <c r="C9" s="215">
        <v>32903</v>
      </c>
      <c r="D9" s="156">
        <f t="shared" si="1"/>
        <v>1083491</v>
      </c>
      <c r="E9" s="192">
        <f t="shared" si="0"/>
        <v>0.06850500602830092</v>
      </c>
      <c r="F9" s="46">
        <f t="shared" si="2"/>
        <v>2644</v>
      </c>
      <c r="I9" s="52"/>
    </row>
    <row r="10" spans="1:9" ht="12.75">
      <c r="A10" s="4" t="s">
        <v>14</v>
      </c>
      <c r="B10" s="215">
        <v>2334295</v>
      </c>
      <c r="C10" s="215">
        <v>55845</v>
      </c>
      <c r="D10" s="156">
        <f t="shared" si="1"/>
        <v>2390140</v>
      </c>
      <c r="E10" s="192">
        <f t="shared" si="0"/>
        <v>0.1511194417936865</v>
      </c>
      <c r="F10" s="46">
        <f t="shared" si="2"/>
        <v>5832</v>
      </c>
      <c r="I10" s="52"/>
    </row>
    <row r="11" spans="1:9" ht="12.75">
      <c r="A11" s="4" t="s">
        <v>15</v>
      </c>
      <c r="B11" s="215">
        <v>1353107</v>
      </c>
      <c r="C11" s="215">
        <v>185108</v>
      </c>
      <c r="D11" s="156">
        <f t="shared" si="1"/>
        <v>1538215</v>
      </c>
      <c r="E11" s="192">
        <f t="shared" si="0"/>
        <v>0.09725547129401436</v>
      </c>
      <c r="F11" s="46">
        <f t="shared" si="2"/>
        <v>3753</v>
      </c>
      <c r="I11" s="52"/>
    </row>
    <row r="12" spans="1:9" ht="12.75">
      <c r="A12" s="4" t="s">
        <v>16</v>
      </c>
      <c r="B12" s="215">
        <v>678523</v>
      </c>
      <c r="C12" s="215">
        <v>37099</v>
      </c>
      <c r="D12" s="156">
        <f t="shared" si="1"/>
        <v>715622</v>
      </c>
      <c r="E12" s="192">
        <f t="shared" si="0"/>
        <v>0.04524605135066629</v>
      </c>
      <c r="F12" s="46">
        <f t="shared" si="2"/>
        <v>1746</v>
      </c>
      <c r="I12" s="52"/>
    </row>
    <row r="13" spans="1:9" ht="12.75">
      <c r="A13" s="4" t="s">
        <v>17</v>
      </c>
      <c r="B13" s="215">
        <v>412190</v>
      </c>
      <c r="C13" s="215">
        <v>9200</v>
      </c>
      <c r="D13" s="156">
        <f t="shared" si="1"/>
        <v>421390</v>
      </c>
      <c r="E13" s="192">
        <f t="shared" si="0"/>
        <v>0.026642883503661525</v>
      </c>
      <c r="F13" s="46">
        <f t="shared" si="2"/>
        <v>1028</v>
      </c>
      <c r="I13" s="52"/>
    </row>
    <row r="14" spans="1:9" ht="12.75">
      <c r="A14" s="4" t="s">
        <v>18</v>
      </c>
      <c r="B14" s="215">
        <v>228474</v>
      </c>
      <c r="C14" s="215">
        <v>18862</v>
      </c>
      <c r="D14" s="156">
        <f t="shared" si="1"/>
        <v>247336</v>
      </c>
      <c r="E14" s="192">
        <f t="shared" si="0"/>
        <v>0.015638112518715743</v>
      </c>
      <c r="F14" s="46">
        <f t="shared" si="2"/>
        <v>603</v>
      </c>
      <c r="I14" s="52"/>
    </row>
    <row r="15" spans="1:9" ht="12.75">
      <c r="A15" s="4" t="s">
        <v>19</v>
      </c>
      <c r="B15" s="215">
        <v>682798</v>
      </c>
      <c r="C15" s="215">
        <v>23304</v>
      </c>
      <c r="D15" s="156">
        <f t="shared" si="1"/>
        <v>706102</v>
      </c>
      <c r="E15" s="192">
        <f t="shared" si="0"/>
        <v>0.044644138037690524</v>
      </c>
      <c r="F15" s="46">
        <f t="shared" si="2"/>
        <v>1723</v>
      </c>
      <c r="I15" s="52"/>
    </row>
    <row r="16" spans="1:9" ht="12.75">
      <c r="A16" s="4" t="s">
        <v>20</v>
      </c>
      <c r="B16" s="215">
        <v>327603</v>
      </c>
      <c r="C16" s="215">
        <v>14866</v>
      </c>
      <c r="D16" s="156">
        <f t="shared" si="1"/>
        <v>342469</v>
      </c>
      <c r="E16" s="192">
        <f t="shared" si="0"/>
        <v>0.021653009493854763</v>
      </c>
      <c r="F16" s="46">
        <f t="shared" si="2"/>
        <v>836</v>
      </c>
      <c r="I16" s="52"/>
    </row>
    <row r="17" spans="1:9" ht="12.75">
      <c r="A17" s="4" t="s">
        <v>21</v>
      </c>
      <c r="B17" s="215">
        <v>273459</v>
      </c>
      <c r="C17" s="215">
        <v>12835</v>
      </c>
      <c r="D17" s="156">
        <f t="shared" si="1"/>
        <v>286294</v>
      </c>
      <c r="E17" s="192">
        <f t="shared" si="0"/>
        <v>0.018101278363979383</v>
      </c>
      <c r="F17" s="46">
        <f t="shared" si="2"/>
        <v>699</v>
      </c>
      <c r="I17" s="52"/>
    </row>
    <row r="18" spans="1:9" ht="12.75">
      <c r="A18" s="4" t="s">
        <v>22</v>
      </c>
      <c r="B18" s="215">
        <v>794195</v>
      </c>
      <c r="C18" s="215">
        <v>54868</v>
      </c>
      <c r="D18" s="156">
        <f t="shared" si="1"/>
        <v>849063</v>
      </c>
      <c r="E18" s="192">
        <f t="shared" si="0"/>
        <v>0.053683017148649384</v>
      </c>
      <c r="F18" s="46">
        <f t="shared" si="2"/>
        <v>2072</v>
      </c>
      <c r="I18" s="52"/>
    </row>
    <row r="19" spans="1:9" ht="12.75">
      <c r="A19" s="4" t="s">
        <v>23</v>
      </c>
      <c r="B19" s="215">
        <v>573041</v>
      </c>
      <c r="C19" s="215">
        <v>23531</v>
      </c>
      <c r="D19" s="156">
        <f t="shared" si="1"/>
        <v>596572</v>
      </c>
      <c r="E19" s="192">
        <f t="shared" si="0"/>
        <v>0.037718973629052334</v>
      </c>
      <c r="F19" s="46">
        <f t="shared" si="2"/>
        <v>1456</v>
      </c>
      <c r="I19" s="52"/>
    </row>
    <row r="20" spans="1:9" ht="12.75">
      <c r="A20" s="4" t="s">
        <v>24</v>
      </c>
      <c r="B20" s="215">
        <v>260630</v>
      </c>
      <c r="C20" s="215">
        <v>11284</v>
      </c>
      <c r="D20" s="156">
        <f t="shared" si="1"/>
        <v>271914</v>
      </c>
      <c r="E20" s="192">
        <f t="shared" si="0"/>
        <v>0.017192085775681955</v>
      </c>
      <c r="F20" s="46">
        <f t="shared" si="2"/>
        <v>663</v>
      </c>
      <c r="I20" s="52"/>
    </row>
    <row r="21" spans="1:9" ht="12.75">
      <c r="A21" s="4" t="s">
        <v>25</v>
      </c>
      <c r="B21" s="215">
        <v>96774</v>
      </c>
      <c r="C21" s="215">
        <v>9937</v>
      </c>
      <c r="D21" s="156">
        <f t="shared" si="1"/>
        <v>106711</v>
      </c>
      <c r="E21" s="192">
        <f t="shared" si="0"/>
        <v>0.006746929783713958</v>
      </c>
      <c r="F21" s="46">
        <f t="shared" si="2"/>
        <v>260</v>
      </c>
      <c r="I21" s="52"/>
    </row>
    <row r="22" spans="1:9" ht="12.75">
      <c r="A22" s="4" t="s">
        <v>26</v>
      </c>
      <c r="B22" s="215">
        <v>144063</v>
      </c>
      <c r="C22" s="215">
        <v>7383</v>
      </c>
      <c r="D22" s="156">
        <f t="shared" si="1"/>
        <v>151446</v>
      </c>
      <c r="E22" s="192">
        <f t="shared" si="0"/>
        <v>0.009575353319005015</v>
      </c>
      <c r="F22" s="46">
        <f t="shared" si="2"/>
        <v>370</v>
      </c>
      <c r="I22" s="52"/>
    </row>
    <row r="23" spans="1:9" ht="12.75">
      <c r="A23" s="4" t="s">
        <v>27</v>
      </c>
      <c r="B23" s="215">
        <v>214250</v>
      </c>
      <c r="C23" s="215">
        <v>9219</v>
      </c>
      <c r="D23" s="156">
        <f t="shared" si="1"/>
        <v>223469</v>
      </c>
      <c r="E23" s="192">
        <f t="shared" si="0"/>
        <v>0.014129093081657697</v>
      </c>
      <c r="F23" s="46">
        <f t="shared" si="2"/>
        <v>545</v>
      </c>
      <c r="I23" s="52"/>
    </row>
    <row r="24" spans="1:9" ht="12.75">
      <c r="A24" s="4" t="s">
        <v>28</v>
      </c>
      <c r="B24" s="215">
        <v>68621</v>
      </c>
      <c r="C24" s="215">
        <v>5411</v>
      </c>
      <c r="D24" s="156">
        <f t="shared" si="1"/>
        <v>74032</v>
      </c>
      <c r="E24" s="192">
        <f t="shared" si="0"/>
        <v>0.0046807611750233034</v>
      </c>
      <c r="F24" s="46">
        <f t="shared" si="2"/>
        <v>181</v>
      </c>
      <c r="I24" s="52"/>
    </row>
    <row r="25" spans="1:9" ht="12.75">
      <c r="A25" s="4" t="s">
        <v>29</v>
      </c>
      <c r="B25" s="215">
        <v>73688</v>
      </c>
      <c r="C25" s="215">
        <v>2850</v>
      </c>
      <c r="D25" s="156">
        <f t="shared" si="1"/>
        <v>76538</v>
      </c>
      <c r="E25" s="192">
        <f t="shared" si="0"/>
        <v>0.004839206002997806</v>
      </c>
      <c r="F25" s="46">
        <f t="shared" si="2"/>
        <v>187</v>
      </c>
      <c r="I25" s="52"/>
    </row>
    <row r="26" spans="1:9" ht="12.75">
      <c r="A26" s="4" t="s">
        <v>30</v>
      </c>
      <c r="B26" s="215">
        <v>6523</v>
      </c>
      <c r="C26" s="215">
        <v>2</v>
      </c>
      <c r="D26" s="156">
        <f t="shared" si="1"/>
        <v>6525</v>
      </c>
      <c r="E26" s="192">
        <f t="shared" si="0"/>
        <v>0.0004125508789040828</v>
      </c>
      <c r="F26" s="46">
        <f t="shared" si="2"/>
        <v>16</v>
      </c>
      <c r="I26" s="52"/>
    </row>
    <row r="27" spans="1:9" ht="12.75">
      <c r="A27" s="4" t="s">
        <v>31</v>
      </c>
      <c r="B27" s="215">
        <v>14422</v>
      </c>
      <c r="C27" s="215">
        <v>125</v>
      </c>
      <c r="D27" s="156">
        <f t="shared" si="1"/>
        <v>14547</v>
      </c>
      <c r="E27" s="192">
        <f t="shared" si="0"/>
        <v>0.0009197513617498379</v>
      </c>
      <c r="F27" s="46">
        <f t="shared" si="2"/>
        <v>35</v>
      </c>
      <c r="I27" s="52"/>
    </row>
    <row r="28" spans="1:9" ht="12.75">
      <c r="A28" s="4" t="s">
        <v>32</v>
      </c>
      <c r="B28" s="148">
        <v>0</v>
      </c>
      <c r="C28" s="148">
        <v>0</v>
      </c>
      <c r="D28" s="156">
        <f t="shared" si="1"/>
        <v>0</v>
      </c>
      <c r="E28" s="148">
        <v>0</v>
      </c>
      <c r="F28" s="46">
        <v>0</v>
      </c>
      <c r="I28" s="52"/>
    </row>
    <row r="29" spans="1:6" ht="12.75">
      <c r="A29" s="4" t="s">
        <v>33</v>
      </c>
      <c r="B29" s="148">
        <v>0</v>
      </c>
      <c r="C29" s="148">
        <v>0</v>
      </c>
      <c r="D29" s="156">
        <f>SUM('TCR Model'!K32)</f>
        <v>0</v>
      </c>
      <c r="E29" s="148">
        <v>0</v>
      </c>
      <c r="F29" s="46">
        <v>0</v>
      </c>
    </row>
    <row r="30" spans="1:6" ht="12.75">
      <c r="A30" s="4" t="s">
        <v>6</v>
      </c>
      <c r="B30" s="148">
        <v>0</v>
      </c>
      <c r="C30" s="148">
        <v>0</v>
      </c>
      <c r="D30" s="156">
        <v>0</v>
      </c>
      <c r="E30" s="148">
        <v>0</v>
      </c>
      <c r="F30" s="46">
        <v>0</v>
      </c>
    </row>
    <row r="31" spans="1:6" ht="12.75">
      <c r="A31" s="4" t="s">
        <v>45</v>
      </c>
      <c r="B31" s="148">
        <v>0</v>
      </c>
      <c r="C31" s="148">
        <v>0</v>
      </c>
      <c r="D31" s="156">
        <v>0</v>
      </c>
      <c r="E31" s="148">
        <v>0</v>
      </c>
      <c r="F31" s="46">
        <v>0</v>
      </c>
    </row>
    <row r="32" spans="1:6" ht="12.75">
      <c r="A32" s="4" t="s">
        <v>34</v>
      </c>
      <c r="B32" s="148">
        <v>0</v>
      </c>
      <c r="C32" s="148">
        <v>0</v>
      </c>
      <c r="D32" s="156">
        <v>0</v>
      </c>
      <c r="E32" s="148">
        <v>0</v>
      </c>
      <c r="F32" s="46">
        <v>0</v>
      </c>
    </row>
    <row r="33" spans="1:6" ht="12.75">
      <c r="A33" s="4" t="s">
        <v>3</v>
      </c>
      <c r="B33" s="148">
        <v>0</v>
      </c>
      <c r="C33" s="148">
        <v>0</v>
      </c>
      <c r="D33" s="156">
        <v>0</v>
      </c>
      <c r="E33" s="148">
        <v>0</v>
      </c>
      <c r="F33" s="46">
        <v>0</v>
      </c>
    </row>
    <row r="34" spans="1:6" ht="12.75">
      <c r="A34" s="4" t="s">
        <v>4</v>
      </c>
      <c r="B34" s="148">
        <v>0</v>
      </c>
      <c r="C34" s="148">
        <v>0</v>
      </c>
      <c r="D34" s="156">
        <v>0</v>
      </c>
      <c r="E34" s="148">
        <v>0</v>
      </c>
      <c r="F34" s="46">
        <v>0</v>
      </c>
    </row>
    <row r="35" spans="1:6" ht="12.75">
      <c r="A35" s="4" t="s">
        <v>7</v>
      </c>
      <c r="B35" s="148">
        <v>0</v>
      </c>
      <c r="C35" s="148">
        <v>0</v>
      </c>
      <c r="D35" s="156">
        <v>0</v>
      </c>
      <c r="E35" s="148">
        <v>0</v>
      </c>
      <c r="F35" s="46">
        <v>0</v>
      </c>
    </row>
    <row r="36" spans="1:6" ht="12.75">
      <c r="A36" s="4" t="s">
        <v>106</v>
      </c>
      <c r="B36" s="148">
        <v>0</v>
      </c>
      <c r="C36" s="148">
        <v>0</v>
      </c>
      <c r="D36" s="156">
        <v>0</v>
      </c>
      <c r="E36" s="148">
        <v>0</v>
      </c>
      <c r="F36" s="46">
        <v>0</v>
      </c>
    </row>
    <row r="37" spans="1:6" ht="12.75">
      <c r="A37" s="4" t="s">
        <v>93</v>
      </c>
      <c r="B37" s="217">
        <v>0</v>
      </c>
      <c r="C37" s="217">
        <v>0</v>
      </c>
      <c r="D37" s="216">
        <v>0</v>
      </c>
      <c r="E37" s="217">
        <v>0</v>
      </c>
      <c r="F37" s="216">
        <v>0</v>
      </c>
    </row>
    <row r="38" spans="1:6" ht="12.75">
      <c r="A38" s="99" t="s">
        <v>35</v>
      </c>
      <c r="B38" s="277">
        <f>SUM(B5:B37)</f>
        <v>15076200</v>
      </c>
      <c r="C38" s="277">
        <f>SUM(C5:C37)</f>
        <v>740031</v>
      </c>
      <c r="D38" s="278">
        <f>SUM(D5:D37)</f>
        <v>15816231</v>
      </c>
      <c r="E38" s="197">
        <f>SUM(E5:E37)</f>
        <v>0.9999999999999999</v>
      </c>
      <c r="F38" s="219">
        <f>SUM(F5:F37)</f>
        <v>38589</v>
      </c>
    </row>
    <row r="39" spans="1:6" ht="12.75">
      <c r="A39" s="96" t="s">
        <v>221</v>
      </c>
      <c r="B39" s="96"/>
      <c r="C39" s="96"/>
      <c r="F39" s="53"/>
    </row>
    <row r="40" spans="1:3" ht="15">
      <c r="A40" s="213"/>
      <c r="B40" s="213"/>
      <c r="C40" s="213"/>
    </row>
    <row r="41" ht="15">
      <c r="A41" s="213"/>
    </row>
    <row r="43" ht="12.75">
      <c r="F43" s="124">
        <v>38589</v>
      </c>
    </row>
  </sheetData>
  <mergeCells count="1">
    <mergeCell ref="B3:E3"/>
  </mergeCells>
  <printOptions/>
  <pageMargins left="0.75" right="0.75" top="0.54" bottom="0.59" header="0.5" footer="0.5"/>
  <pageSetup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2:F43"/>
  <sheetViews>
    <sheetView zoomScale="90" zoomScaleNormal="90" workbookViewId="0" topLeftCell="A7">
      <selection activeCell="B42" sqref="B42"/>
    </sheetView>
  </sheetViews>
  <sheetFormatPr defaultColWidth="9.140625" defaultRowHeight="12.75"/>
  <cols>
    <col min="1" max="1" width="9.7109375" style="0" customWidth="1"/>
    <col min="2" max="4" width="14.7109375" style="0" customWidth="1"/>
    <col min="5" max="5" width="2.140625" style="0" customWidth="1"/>
  </cols>
  <sheetData>
    <row r="2" ht="18">
      <c r="A2" s="22" t="s">
        <v>90</v>
      </c>
    </row>
    <row r="3" spans="1:4" ht="12.75">
      <c r="A3" s="11"/>
      <c r="B3" s="355" t="s">
        <v>35</v>
      </c>
      <c r="C3" s="356"/>
      <c r="D3" s="357"/>
    </row>
    <row r="4" spans="1:4" ht="12.75">
      <c r="A4" s="12"/>
      <c r="B4" s="19" t="s">
        <v>36</v>
      </c>
      <c r="C4" s="19" t="s">
        <v>37</v>
      </c>
      <c r="D4" s="20" t="s">
        <v>38</v>
      </c>
    </row>
    <row r="5" spans="1:4" ht="12.75">
      <c r="A5" s="4" t="s">
        <v>0</v>
      </c>
      <c r="B5" s="42">
        <f>SUM(Census!H5)</f>
        <v>5219</v>
      </c>
      <c r="C5" s="43">
        <f>SUM(B5/$B$38)</f>
        <v>0.2247824963390473</v>
      </c>
      <c r="D5" s="49">
        <f>ROUND(C5*$D$43,0)</f>
        <v>5036</v>
      </c>
    </row>
    <row r="6" spans="1:4" ht="12.75">
      <c r="A6" s="4" t="s">
        <v>10</v>
      </c>
      <c r="B6" s="42">
        <f>SUM(Census!H6)</f>
        <v>1287</v>
      </c>
      <c r="C6" s="43">
        <f aca="true" t="shared" si="0" ref="C6:C29">SUM(B6/$B$38)</f>
        <v>0.055431131019036954</v>
      </c>
      <c r="D6" s="28">
        <f>ROUND(C6*$D$43,0)</f>
        <v>1242</v>
      </c>
    </row>
    <row r="7" spans="1:4" ht="12.75">
      <c r="A7" s="4" t="s">
        <v>11</v>
      </c>
      <c r="B7" s="42">
        <f>SUM(Census!H7)</f>
        <v>545</v>
      </c>
      <c r="C7" s="43">
        <f t="shared" si="0"/>
        <v>0.023473167370143853</v>
      </c>
      <c r="D7" s="28">
        <f aca="true" t="shared" si="1" ref="D7:D29">ROUND(C7*$D$43,0)</f>
        <v>526</v>
      </c>
    </row>
    <row r="8" spans="1:4" ht="12.75">
      <c r="A8" s="4" t="s">
        <v>12</v>
      </c>
      <c r="B8" s="42">
        <f>SUM(Census!H8)</f>
        <v>1159</v>
      </c>
      <c r="C8" s="43">
        <f t="shared" si="0"/>
        <v>0.04991816693944354</v>
      </c>
      <c r="D8" s="28">
        <f t="shared" si="1"/>
        <v>1118</v>
      </c>
    </row>
    <row r="9" spans="1:4" ht="12.75">
      <c r="A9" s="4" t="s">
        <v>13</v>
      </c>
      <c r="B9" s="42">
        <f>SUM(Census!H9)</f>
        <v>1091</v>
      </c>
      <c r="C9" s="43">
        <f t="shared" si="0"/>
        <v>0.04698940477215953</v>
      </c>
      <c r="D9" s="28">
        <f t="shared" si="1"/>
        <v>1053</v>
      </c>
    </row>
    <row r="10" spans="1:4" ht="12.75">
      <c r="A10" s="4" t="s">
        <v>14</v>
      </c>
      <c r="B10" s="42">
        <f>SUM(Census!H10)</f>
        <v>3407</v>
      </c>
      <c r="C10" s="43">
        <f t="shared" si="0"/>
        <v>0.14673959858730296</v>
      </c>
      <c r="D10" s="28">
        <f t="shared" si="1"/>
        <v>3288</v>
      </c>
    </row>
    <row r="11" spans="1:4" ht="12.75">
      <c r="A11" s="4" t="s">
        <v>15</v>
      </c>
      <c r="B11" s="42">
        <f>SUM(Census!H11)</f>
        <v>210</v>
      </c>
      <c r="C11" s="43">
        <f t="shared" si="0"/>
        <v>0.009044706693082953</v>
      </c>
      <c r="D11" s="28">
        <f t="shared" si="1"/>
        <v>203</v>
      </c>
    </row>
    <row r="12" spans="1:4" ht="12.75">
      <c r="A12" s="4" t="s">
        <v>16</v>
      </c>
      <c r="B12" s="42">
        <f>SUM(Census!H12)</f>
        <v>1309</v>
      </c>
      <c r="C12" s="43">
        <f t="shared" si="0"/>
        <v>0.05637867172021707</v>
      </c>
      <c r="D12" s="28">
        <f t="shared" si="1"/>
        <v>1263</v>
      </c>
    </row>
    <row r="13" spans="1:4" ht="12.75">
      <c r="A13" s="4" t="s">
        <v>17</v>
      </c>
      <c r="B13" s="42">
        <f>SUM(Census!H13)</f>
        <v>507</v>
      </c>
      <c r="C13" s="43">
        <f t="shared" si="0"/>
        <v>0.021836506159014557</v>
      </c>
      <c r="D13" s="28">
        <f t="shared" si="1"/>
        <v>489</v>
      </c>
    </row>
    <row r="14" spans="1:4" ht="12.75">
      <c r="A14" s="4" t="s">
        <v>18</v>
      </c>
      <c r="B14" s="42">
        <f>SUM(Census!H14)</f>
        <v>1433</v>
      </c>
      <c r="C14" s="43">
        <f t="shared" si="0"/>
        <v>0.0617193556723232</v>
      </c>
      <c r="D14" s="28">
        <f t="shared" si="1"/>
        <v>1383</v>
      </c>
    </row>
    <row r="15" spans="1:4" ht="12.75">
      <c r="A15" s="4" t="s">
        <v>19</v>
      </c>
      <c r="B15" s="42">
        <f>SUM(Census!H15)</f>
        <v>955</v>
      </c>
      <c r="C15" s="43">
        <f t="shared" si="0"/>
        <v>0.04113188043759152</v>
      </c>
      <c r="D15" s="28">
        <f t="shared" si="1"/>
        <v>922</v>
      </c>
    </row>
    <row r="16" spans="1:4" ht="12.75">
      <c r="A16" s="4" t="s">
        <v>20</v>
      </c>
      <c r="B16" s="42">
        <f>SUM(Census!H16)</f>
        <v>421</v>
      </c>
      <c r="C16" s="43">
        <f t="shared" si="0"/>
        <v>0.01813248341803773</v>
      </c>
      <c r="D16" s="28">
        <f t="shared" si="1"/>
        <v>406</v>
      </c>
    </row>
    <row r="17" spans="1:4" ht="12.75">
      <c r="A17" s="4" t="s">
        <v>21</v>
      </c>
      <c r="B17" s="42">
        <f>SUM(Census!H17)</f>
        <v>282</v>
      </c>
      <c r="C17" s="43">
        <f t="shared" si="0"/>
        <v>0.012145748987854251</v>
      </c>
      <c r="D17" s="28">
        <f t="shared" si="1"/>
        <v>272</v>
      </c>
    </row>
    <row r="18" spans="1:4" ht="12.75">
      <c r="A18" s="4" t="s">
        <v>22</v>
      </c>
      <c r="B18" s="42">
        <f>SUM(Census!H18)</f>
        <v>1309</v>
      </c>
      <c r="C18" s="43">
        <f t="shared" si="0"/>
        <v>0.05637867172021707</v>
      </c>
      <c r="D18" s="28">
        <f t="shared" si="1"/>
        <v>1263</v>
      </c>
    </row>
    <row r="19" spans="1:4" ht="12.75">
      <c r="A19" s="4" t="s">
        <v>23</v>
      </c>
      <c r="B19" s="42">
        <f>SUM(Census!H19)</f>
        <v>785</v>
      </c>
      <c r="C19" s="43">
        <f t="shared" si="0"/>
        <v>0.033809975019381516</v>
      </c>
      <c r="D19" s="28">
        <f t="shared" si="1"/>
        <v>758</v>
      </c>
    </row>
    <row r="20" spans="1:4" ht="12.75">
      <c r="A20" s="4" t="s">
        <v>24</v>
      </c>
      <c r="B20" s="42">
        <f>SUM(Census!H20)</f>
        <v>339</v>
      </c>
      <c r="C20" s="43">
        <f t="shared" si="0"/>
        <v>0.014600740804548195</v>
      </c>
      <c r="D20" s="28">
        <f t="shared" si="1"/>
        <v>327</v>
      </c>
    </row>
    <row r="21" spans="1:4" ht="12.75">
      <c r="A21" s="4" t="s">
        <v>25</v>
      </c>
      <c r="B21" s="42">
        <f>SUM(Census!H21)</f>
        <v>66</v>
      </c>
      <c r="C21" s="43">
        <f t="shared" si="0"/>
        <v>0.002842622103540357</v>
      </c>
      <c r="D21" s="28">
        <f t="shared" si="1"/>
        <v>64</v>
      </c>
    </row>
    <row r="22" spans="1:4" ht="12.75">
      <c r="A22" s="4" t="s">
        <v>26</v>
      </c>
      <c r="B22" s="42">
        <f>SUM(Census!H22)</f>
        <v>604</v>
      </c>
      <c r="C22" s="43">
        <f t="shared" si="0"/>
        <v>0.026014299250581446</v>
      </c>
      <c r="D22" s="28">
        <f t="shared" si="1"/>
        <v>583</v>
      </c>
    </row>
    <row r="23" spans="1:4" ht="12.75">
      <c r="A23" s="4" t="s">
        <v>27</v>
      </c>
      <c r="B23" s="42">
        <f>SUM(Census!H23)</f>
        <v>85</v>
      </c>
      <c r="C23" s="43">
        <f t="shared" si="0"/>
        <v>0.0036609527091050046</v>
      </c>
      <c r="D23" s="28">
        <f t="shared" si="1"/>
        <v>82</v>
      </c>
    </row>
    <row r="24" spans="1:4" ht="12.75">
      <c r="A24" s="4" t="s">
        <v>28</v>
      </c>
      <c r="B24" s="42">
        <f>SUM(Census!H24)</f>
        <v>150</v>
      </c>
      <c r="C24" s="43">
        <f t="shared" si="0"/>
        <v>0.0064605047807735376</v>
      </c>
      <c r="D24" s="28">
        <f t="shared" si="1"/>
        <v>145</v>
      </c>
    </row>
    <row r="25" spans="1:4" ht="12.75">
      <c r="A25" s="4" t="s">
        <v>29</v>
      </c>
      <c r="B25" s="42">
        <f>SUM(Census!H25)</f>
        <v>124</v>
      </c>
      <c r="C25" s="43">
        <f t="shared" si="0"/>
        <v>0.0053406839521061246</v>
      </c>
      <c r="D25" s="28">
        <f t="shared" si="1"/>
        <v>120</v>
      </c>
    </row>
    <row r="26" spans="1:4" ht="12.75">
      <c r="A26" s="4" t="s">
        <v>30</v>
      </c>
      <c r="B26" s="42">
        <f>SUM(Census!H26)</f>
        <v>41</v>
      </c>
      <c r="C26" s="43">
        <f t="shared" si="0"/>
        <v>0.001765871306744767</v>
      </c>
      <c r="D26" s="28">
        <f t="shared" si="1"/>
        <v>40</v>
      </c>
    </row>
    <row r="27" spans="1:4" ht="12.75">
      <c r="A27" s="4" t="s">
        <v>31</v>
      </c>
      <c r="B27" s="42">
        <f>SUM(Census!H27)</f>
        <v>83</v>
      </c>
      <c r="C27" s="43">
        <f t="shared" si="0"/>
        <v>0.0035748126453613574</v>
      </c>
      <c r="D27" s="28">
        <f t="shared" si="1"/>
        <v>80</v>
      </c>
    </row>
    <row r="28" spans="1:4" ht="12.75">
      <c r="A28" s="4" t="s">
        <v>32</v>
      </c>
      <c r="B28" s="42">
        <f>SUM(Census!H28)</f>
        <v>1477</v>
      </c>
      <c r="C28" s="43">
        <f t="shared" si="0"/>
        <v>0.06361443707468344</v>
      </c>
      <c r="D28" s="28">
        <f t="shared" si="1"/>
        <v>1425</v>
      </c>
    </row>
    <row r="29" spans="1:4" ht="12.75">
      <c r="A29" s="4" t="s">
        <v>33</v>
      </c>
      <c r="B29" s="42">
        <f>SUM(Census!H29)</f>
        <v>330</v>
      </c>
      <c r="C29" s="43">
        <f t="shared" si="0"/>
        <v>0.014213110517701784</v>
      </c>
      <c r="D29" s="28">
        <f t="shared" si="1"/>
        <v>318</v>
      </c>
    </row>
    <row r="30" spans="1:4" ht="12.75">
      <c r="A30" s="4" t="s">
        <v>6</v>
      </c>
      <c r="B30" s="42"/>
      <c r="C30" s="29"/>
      <c r="D30" s="28"/>
    </row>
    <row r="31" spans="1:6" ht="12.75">
      <c r="A31" s="4" t="s">
        <v>45</v>
      </c>
      <c r="B31" s="29"/>
      <c r="C31" s="29"/>
      <c r="D31" s="28"/>
      <c r="F31" s="53"/>
    </row>
    <row r="32" spans="1:4" ht="12.75">
      <c r="A32" s="4" t="s">
        <v>34</v>
      </c>
      <c r="B32" s="29"/>
      <c r="C32" s="29"/>
      <c r="D32" s="28"/>
    </row>
    <row r="33" spans="1:4" ht="12.75">
      <c r="A33" s="4" t="s">
        <v>3</v>
      </c>
      <c r="B33" s="29"/>
      <c r="C33" s="29"/>
      <c r="D33" s="28"/>
    </row>
    <row r="34" spans="1:4" ht="12.75">
      <c r="A34" s="4" t="s">
        <v>4</v>
      </c>
      <c r="B34" s="29"/>
      <c r="C34" s="29"/>
      <c r="D34" s="28"/>
    </row>
    <row r="35" spans="1:4" ht="12.75">
      <c r="A35" s="4" t="s">
        <v>7</v>
      </c>
      <c r="B35" s="29"/>
      <c r="C35" s="29"/>
      <c r="D35" s="28"/>
    </row>
    <row r="36" spans="1:4" ht="12.75">
      <c r="A36" s="91" t="s">
        <v>106</v>
      </c>
      <c r="B36" s="28"/>
      <c r="C36" s="29"/>
      <c r="D36" s="28"/>
    </row>
    <row r="37" spans="1:4" ht="12.75">
      <c r="A37" s="4" t="s">
        <v>93</v>
      </c>
      <c r="B37" s="33"/>
      <c r="C37" s="29"/>
      <c r="D37" s="33"/>
    </row>
    <row r="38" spans="1:6" ht="12.75">
      <c r="A38" s="99" t="s">
        <v>35</v>
      </c>
      <c r="B38" s="40">
        <f>SUM(B5:B37)</f>
        <v>23218</v>
      </c>
      <c r="C38" s="197">
        <f>SUM(C5:C37)</f>
        <v>0.9999999999999999</v>
      </c>
      <c r="D38" s="50">
        <f>SUM(D5:D37)</f>
        <v>22406</v>
      </c>
      <c r="F38" s="53"/>
    </row>
    <row r="39" spans="1:4" ht="12.75">
      <c r="A39" s="96" t="s">
        <v>139</v>
      </c>
      <c r="D39" s="53"/>
    </row>
    <row r="40" ht="12.75">
      <c r="A40" s="96" t="s">
        <v>194</v>
      </c>
    </row>
    <row r="41" ht="12.75">
      <c r="A41" s="96" t="s">
        <v>195</v>
      </c>
    </row>
    <row r="42" ht="12.75">
      <c r="A42" s="96"/>
    </row>
    <row r="43" ht="12.75">
      <c r="D43" s="124">
        <v>22406</v>
      </c>
    </row>
  </sheetData>
  <mergeCells count="1">
    <mergeCell ref="B3:D3"/>
  </mergeCells>
  <printOptions/>
  <pageMargins left="0.75" right="0.75" top="0.54" bottom="0.59" header="0.5" footer="0.5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2:N45"/>
  <sheetViews>
    <sheetView zoomScale="90" zoomScaleNormal="90" workbookViewId="0" topLeftCell="A7">
      <selection activeCell="B42" sqref="B42"/>
    </sheetView>
  </sheetViews>
  <sheetFormatPr defaultColWidth="9.140625" defaultRowHeight="12.75"/>
  <cols>
    <col min="1" max="1" width="9.7109375" style="0" customWidth="1"/>
    <col min="2" max="2" width="14.421875" style="244" customWidth="1"/>
    <col min="3" max="3" width="2.57421875" style="0" customWidth="1"/>
    <col min="4" max="5" width="14.28125" style="0" customWidth="1"/>
    <col min="6" max="6" width="14.00390625" style="0" customWidth="1"/>
    <col min="7" max="7" width="2.28125" style="0" customWidth="1"/>
    <col min="8" max="10" width="14.140625" style="0" customWidth="1"/>
    <col min="11" max="11" width="2.421875" style="0" customWidth="1"/>
    <col min="12" max="14" width="14.7109375" style="0" customWidth="1"/>
  </cols>
  <sheetData>
    <row r="2" spans="1:12" ht="18">
      <c r="A2" s="22" t="s">
        <v>88</v>
      </c>
      <c r="B2" s="313"/>
      <c r="C2" s="194"/>
      <c r="D2" s="144"/>
      <c r="H2" s="144"/>
      <c r="L2" s="144"/>
    </row>
    <row r="3" spans="1:14" ht="12.75">
      <c r="A3" s="11"/>
      <c r="B3" s="314" t="s">
        <v>35</v>
      </c>
      <c r="C3" s="12"/>
      <c r="D3" s="355" t="s">
        <v>88</v>
      </c>
      <c r="E3" s="356"/>
      <c r="F3" s="357"/>
      <c r="H3" s="355" t="s">
        <v>232</v>
      </c>
      <c r="I3" s="356"/>
      <c r="J3" s="357"/>
      <c r="L3" s="355" t="s">
        <v>235</v>
      </c>
      <c r="M3" s="356"/>
      <c r="N3" s="357"/>
    </row>
    <row r="4" spans="1:14" ht="12.75">
      <c r="A4" s="12"/>
      <c r="B4" s="315" t="s">
        <v>34</v>
      </c>
      <c r="C4" s="12"/>
      <c r="D4" s="19" t="s">
        <v>36</v>
      </c>
      <c r="E4" s="19" t="s">
        <v>37</v>
      </c>
      <c r="F4" s="20" t="s">
        <v>38</v>
      </c>
      <c r="H4" s="303" t="s">
        <v>36</v>
      </c>
      <c r="I4" s="303" t="s">
        <v>37</v>
      </c>
      <c r="J4" s="304" t="s">
        <v>38</v>
      </c>
      <c r="L4" s="308" t="s">
        <v>36</v>
      </c>
      <c r="M4" s="291" t="s">
        <v>37</v>
      </c>
      <c r="N4" s="98" t="s">
        <v>38</v>
      </c>
    </row>
    <row r="5" spans="1:14" ht="14.25" customHeight="1">
      <c r="A5" s="4" t="s">
        <v>0</v>
      </c>
      <c r="B5" s="316">
        <f aca="true" t="shared" si="0" ref="B5:B37">+F5+J5+N5</f>
        <v>94226</v>
      </c>
      <c r="C5" s="4"/>
      <c r="D5" s="316">
        <f>+'School Tax'!B11</f>
        <v>696729</v>
      </c>
      <c r="E5" s="48">
        <f aca="true" t="shared" si="1" ref="E5:E26">+D5/$D$38</f>
        <v>0.25603722178654875</v>
      </c>
      <c r="F5" s="316">
        <f>+'School Tax'!F11</f>
        <v>93223</v>
      </c>
      <c r="G5" s="58"/>
      <c r="H5" s="292">
        <f>4333.5889750293+752.341200965266</f>
        <v>5085.930175994566</v>
      </c>
      <c r="I5" s="293">
        <f aca="true" t="shared" si="2" ref="I5:I10">+H5/$H$38</f>
        <v>0.22455429272791586</v>
      </c>
      <c r="J5" s="252">
        <f>ROUND(I5*$J$43,0)-50+2</f>
        <v>503</v>
      </c>
      <c r="L5" s="307">
        <v>821.8563277802889</v>
      </c>
      <c r="M5" s="306">
        <f aca="true" t="shared" si="3" ref="M5:M37">+L5/$L$38</f>
        <v>0.1248013714825767</v>
      </c>
      <c r="N5" s="251">
        <f>ROUND(M5*$N$43,0)+1</f>
        <v>500</v>
      </c>
    </row>
    <row r="6" spans="1:14" ht="13.5" customHeight="1">
      <c r="A6" s="4" t="s">
        <v>10</v>
      </c>
      <c r="B6" s="156">
        <f t="shared" si="0"/>
        <v>22787</v>
      </c>
      <c r="C6" s="4"/>
      <c r="D6" s="156">
        <f>+'School Tax'!B12</f>
        <v>168515</v>
      </c>
      <c r="E6" s="48">
        <f t="shared" si="1"/>
        <v>0.06192667799009408</v>
      </c>
      <c r="F6" s="156">
        <f>+'School Tax'!F12</f>
        <v>22548</v>
      </c>
      <c r="G6" s="58"/>
      <c r="H6" s="294">
        <v>1708.4242991075455</v>
      </c>
      <c r="I6" s="293">
        <f t="shared" si="2"/>
        <v>0.07543045163616698</v>
      </c>
      <c r="J6" s="294">
        <f>ROUND(I6*$J$43,0)</f>
        <v>185</v>
      </c>
      <c r="L6" s="296">
        <v>89.41921470536144</v>
      </c>
      <c r="M6" s="306">
        <f t="shared" si="3"/>
        <v>0.013578578463056457</v>
      </c>
      <c r="N6" s="156">
        <f aca="true" t="shared" si="4" ref="N6:N37">ROUND(M6*$N$43,0)</f>
        <v>54</v>
      </c>
    </row>
    <row r="7" spans="1:14" ht="13.5" customHeight="1">
      <c r="A7" s="4" t="s">
        <v>11</v>
      </c>
      <c r="B7" s="156">
        <f t="shared" si="0"/>
        <v>7655</v>
      </c>
      <c r="C7" s="4"/>
      <c r="D7" s="156">
        <f>+'School Tax'!B13</f>
        <v>56900</v>
      </c>
      <c r="E7" s="48">
        <f t="shared" si="1"/>
        <v>0.02090987732626979</v>
      </c>
      <c r="F7" s="156">
        <f>+'School Tax'!F13</f>
        <v>7613</v>
      </c>
      <c r="G7" s="58"/>
      <c r="H7" s="294">
        <v>383.49337246635093</v>
      </c>
      <c r="I7" s="293">
        <f t="shared" si="2"/>
        <v>0.01693202227322844</v>
      </c>
      <c r="J7" s="294">
        <f>ROUND(I7*$J$43,0)</f>
        <v>42</v>
      </c>
      <c r="L7" s="294"/>
      <c r="M7" s="305">
        <f t="shared" si="3"/>
        <v>0</v>
      </c>
      <c r="N7" s="294">
        <f t="shared" si="4"/>
        <v>0</v>
      </c>
    </row>
    <row r="8" spans="1:14" ht="14.25" customHeight="1">
      <c r="A8" s="4" t="s">
        <v>12</v>
      </c>
      <c r="B8" s="156">
        <f t="shared" si="0"/>
        <v>21940</v>
      </c>
      <c r="C8" s="4"/>
      <c r="D8" s="156">
        <f>+'School Tax'!B14</f>
        <v>163106</v>
      </c>
      <c r="E8" s="48">
        <f t="shared" si="1"/>
        <v>0.05993895344777786</v>
      </c>
      <c r="F8" s="156">
        <f>+'School Tax'!F14</f>
        <v>21824</v>
      </c>
      <c r="G8" s="58"/>
      <c r="H8" s="294">
        <v>622.9656852207561</v>
      </c>
      <c r="I8" s="293">
        <f t="shared" si="2"/>
        <v>0.027505218120921725</v>
      </c>
      <c r="J8" s="294">
        <f>ROUND(I8*$J$43,0)-20</f>
        <v>47</v>
      </c>
      <c r="L8" s="296">
        <v>113.2430298722667</v>
      </c>
      <c r="M8" s="306">
        <f t="shared" si="3"/>
        <v>0.017196296920986297</v>
      </c>
      <c r="N8" s="156">
        <f t="shared" si="4"/>
        <v>69</v>
      </c>
    </row>
    <row r="9" spans="1:14" ht="13.5" customHeight="1">
      <c r="A9" s="4" t="s">
        <v>13</v>
      </c>
      <c r="B9" s="156">
        <f t="shared" si="0"/>
        <v>19561</v>
      </c>
      <c r="C9" s="4"/>
      <c r="D9" s="156">
        <f>+'School Tax'!B15</f>
        <v>141238</v>
      </c>
      <c r="E9" s="48">
        <f t="shared" si="1"/>
        <v>0.05190279883669055</v>
      </c>
      <c r="F9" s="156">
        <f>+'School Tax'!F15</f>
        <v>18898</v>
      </c>
      <c r="G9" s="58"/>
      <c r="H9" s="294">
        <v>105.65994320742811</v>
      </c>
      <c r="I9" s="293">
        <f t="shared" si="2"/>
        <v>0.004665104119715137</v>
      </c>
      <c r="J9" s="294">
        <f aca="true" t="shared" si="5" ref="J9:J37">ROUND(I9*$J$43,0)</f>
        <v>11</v>
      </c>
      <c r="L9" s="296">
        <v>1074.1996787305156</v>
      </c>
      <c r="M9" s="306">
        <f t="shared" si="3"/>
        <v>0.16312047327516715</v>
      </c>
      <c r="N9" s="156">
        <f t="shared" si="4"/>
        <v>652</v>
      </c>
    </row>
    <row r="10" spans="1:14" ht="14.25" customHeight="1">
      <c r="A10" s="4" t="s">
        <v>14</v>
      </c>
      <c r="B10" s="156">
        <f t="shared" si="0"/>
        <v>73546</v>
      </c>
      <c r="C10" s="4"/>
      <c r="D10" s="156">
        <f>+'School Tax'!B16</f>
        <v>540734</v>
      </c>
      <c r="E10" s="48">
        <f t="shared" si="1"/>
        <v>0.19871145177756006</v>
      </c>
      <c r="F10" s="156">
        <f>+'School Tax'!F16</f>
        <v>72351</v>
      </c>
      <c r="G10" s="58"/>
      <c r="H10" s="295">
        <v>10636.120169337559</v>
      </c>
      <c r="I10" s="293">
        <f t="shared" si="2"/>
        <v>0.46960661262473224</v>
      </c>
      <c r="J10" s="294">
        <f t="shared" si="5"/>
        <v>1151</v>
      </c>
      <c r="L10" s="296">
        <v>71.82868050844239</v>
      </c>
      <c r="M10" s="306">
        <f t="shared" si="3"/>
        <v>0.010907402591215325</v>
      </c>
      <c r="N10" s="156">
        <f t="shared" si="4"/>
        <v>44</v>
      </c>
    </row>
    <row r="11" spans="1:14" ht="14.25" customHeight="1">
      <c r="A11" s="4" t="s">
        <v>15</v>
      </c>
      <c r="B11" s="156">
        <f t="shared" si="0"/>
        <v>153</v>
      </c>
      <c r="C11" s="4"/>
      <c r="D11" s="156">
        <f>+'School Tax'!B17</f>
        <v>2491</v>
      </c>
      <c r="E11" s="48">
        <f t="shared" si="1"/>
        <v>0.0009154042956017231</v>
      </c>
      <c r="F11" s="90">
        <f>+'School Tax'!F17</f>
        <v>153</v>
      </c>
      <c r="G11" s="58"/>
      <c r="H11" s="294">
        <v>0</v>
      </c>
      <c r="I11" s="94">
        <v>0</v>
      </c>
      <c r="J11" s="296">
        <f t="shared" si="5"/>
        <v>0</v>
      </c>
      <c r="L11" s="294"/>
      <c r="M11" s="305">
        <f t="shared" si="3"/>
        <v>0</v>
      </c>
      <c r="N11" s="90">
        <f t="shared" si="4"/>
        <v>0</v>
      </c>
    </row>
    <row r="12" spans="1:14" ht="14.25" customHeight="1">
      <c r="A12" s="4" t="s">
        <v>16</v>
      </c>
      <c r="B12" s="156">
        <f t="shared" si="0"/>
        <v>21502</v>
      </c>
      <c r="C12" s="4"/>
      <c r="D12" s="156">
        <f>+'School Tax'!B18</f>
        <v>158420</v>
      </c>
      <c r="E12" s="48">
        <f t="shared" si="1"/>
        <v>0.058216920316830574</v>
      </c>
      <c r="F12" s="156">
        <f>+'School Tax'!F18</f>
        <v>21197</v>
      </c>
      <c r="G12" s="58"/>
      <c r="H12" s="294">
        <v>216.85613761970475</v>
      </c>
      <c r="I12" s="293">
        <f>+H12/$H$38</f>
        <v>0.009574645133105426</v>
      </c>
      <c r="J12" s="294">
        <f t="shared" si="5"/>
        <v>23</v>
      </c>
      <c r="L12" s="296">
        <v>463.9335792849095</v>
      </c>
      <c r="M12" s="306">
        <f t="shared" si="3"/>
        <v>0.07044971853895128</v>
      </c>
      <c r="N12" s="156">
        <f t="shared" si="4"/>
        <v>282</v>
      </c>
    </row>
    <row r="13" spans="1:14" ht="14.25" customHeight="1">
      <c r="A13" s="4" t="s">
        <v>17</v>
      </c>
      <c r="B13" s="156">
        <f t="shared" si="0"/>
        <v>9008</v>
      </c>
      <c r="C13" s="4"/>
      <c r="D13" s="156">
        <f>+'School Tax'!B19</f>
        <v>66778</v>
      </c>
      <c r="E13" s="48">
        <f t="shared" si="1"/>
        <v>0.024539890827656306</v>
      </c>
      <c r="F13" s="156">
        <f>+'School Tax'!F19</f>
        <v>8935</v>
      </c>
      <c r="G13" s="58"/>
      <c r="H13" s="294">
        <v>677.5429134103974</v>
      </c>
      <c r="I13" s="293">
        <f>+H13/$H$38</f>
        <v>0.029914915157861165</v>
      </c>
      <c r="J13" s="294">
        <f t="shared" si="5"/>
        <v>73</v>
      </c>
      <c r="L13" s="294"/>
      <c r="M13" s="305">
        <f t="shared" si="3"/>
        <v>0</v>
      </c>
      <c r="N13" s="294">
        <f t="shared" si="4"/>
        <v>0</v>
      </c>
    </row>
    <row r="14" spans="1:14" ht="14.25" customHeight="1">
      <c r="A14" s="4" t="s">
        <v>18</v>
      </c>
      <c r="B14" s="156">
        <f t="shared" si="0"/>
        <v>17668</v>
      </c>
      <c r="C14" s="4"/>
      <c r="D14" s="156">
        <f>+'School Tax'!B20</f>
        <v>132045</v>
      </c>
      <c r="E14" s="48">
        <f t="shared" si="1"/>
        <v>0.04852451232947793</v>
      </c>
      <c r="F14" s="156">
        <f>+'School Tax'!F20</f>
        <v>17668</v>
      </c>
      <c r="G14" s="58"/>
      <c r="H14" s="294">
        <v>3.533777364796927</v>
      </c>
      <c r="I14" s="293">
        <f>+H14/$H$38</f>
        <v>0.0001560235491543524</v>
      </c>
      <c r="J14" s="294">
        <f t="shared" si="5"/>
        <v>0</v>
      </c>
      <c r="L14" s="294"/>
      <c r="M14" s="305">
        <f t="shared" si="3"/>
        <v>0</v>
      </c>
      <c r="N14" s="294">
        <f t="shared" si="4"/>
        <v>0</v>
      </c>
    </row>
    <row r="15" spans="1:14" ht="13.5" customHeight="1">
      <c r="A15" s="4" t="s">
        <v>19</v>
      </c>
      <c r="B15" s="156">
        <f t="shared" si="0"/>
        <v>7629</v>
      </c>
      <c r="C15" s="4"/>
      <c r="D15" s="156">
        <f>+'School Tax'!B21</f>
        <v>101771</v>
      </c>
      <c r="E15" s="48">
        <f t="shared" si="1"/>
        <v>0.03739928164098071</v>
      </c>
      <c r="F15" s="90">
        <f>+'School Tax'!F21</f>
        <v>7629</v>
      </c>
      <c r="G15" s="58"/>
      <c r="H15" s="294">
        <v>0</v>
      </c>
      <c r="I15" s="94">
        <v>0</v>
      </c>
      <c r="J15" s="296">
        <f t="shared" si="5"/>
        <v>0</v>
      </c>
      <c r="L15" s="294"/>
      <c r="M15" s="305">
        <f t="shared" si="3"/>
        <v>0</v>
      </c>
      <c r="N15" s="90">
        <f t="shared" si="4"/>
        <v>0</v>
      </c>
    </row>
    <row r="16" spans="1:14" ht="14.25" customHeight="1">
      <c r="A16" s="4" t="s">
        <v>20</v>
      </c>
      <c r="B16" s="156">
        <f t="shared" si="0"/>
        <v>6810</v>
      </c>
      <c r="C16" s="4"/>
      <c r="D16" s="156">
        <f>+'School Tax'!B22</f>
        <v>50437</v>
      </c>
      <c r="E16" s="48">
        <f t="shared" si="1"/>
        <v>0.018534823949122484</v>
      </c>
      <c r="F16" s="156">
        <f>+'School Tax'!F22</f>
        <v>6749</v>
      </c>
      <c r="G16" s="58"/>
      <c r="H16" s="294">
        <v>567.0534744710802</v>
      </c>
      <c r="I16" s="293">
        <f>+H16/$H$38</f>
        <v>0.025036578854301748</v>
      </c>
      <c r="J16" s="294">
        <f t="shared" si="5"/>
        <v>61</v>
      </c>
      <c r="L16" s="294"/>
      <c r="M16" s="305">
        <f t="shared" si="3"/>
        <v>0</v>
      </c>
      <c r="N16" s="294">
        <f t="shared" si="4"/>
        <v>0</v>
      </c>
    </row>
    <row r="17" spans="1:14" ht="14.25" customHeight="1">
      <c r="A17" s="4" t="s">
        <v>21</v>
      </c>
      <c r="B17" s="156">
        <f t="shared" si="0"/>
        <v>4718</v>
      </c>
      <c r="C17" s="4"/>
      <c r="D17" s="156">
        <f>+'School Tax'!B23</f>
        <v>35146</v>
      </c>
      <c r="E17" s="48">
        <f t="shared" si="1"/>
        <v>0.012915615966767626</v>
      </c>
      <c r="F17" s="156">
        <f>+'School Tax'!F23</f>
        <v>4703</v>
      </c>
      <c r="G17" s="58"/>
      <c r="H17" s="294">
        <v>2.355851576531285</v>
      </c>
      <c r="I17" s="293">
        <f>+H17/$H$38</f>
        <v>0.00010401569943623495</v>
      </c>
      <c r="J17" s="294">
        <f t="shared" si="5"/>
        <v>0</v>
      </c>
      <c r="L17" s="296">
        <v>25.432719188866855</v>
      </c>
      <c r="M17" s="306">
        <f t="shared" si="3"/>
        <v>0.003862035404502429</v>
      </c>
      <c r="N17" s="156">
        <f t="shared" si="4"/>
        <v>15</v>
      </c>
    </row>
    <row r="18" spans="1:14" ht="14.25" customHeight="1">
      <c r="A18" s="4" t="s">
        <v>22</v>
      </c>
      <c r="B18" s="156">
        <f t="shared" si="0"/>
        <v>23672</v>
      </c>
      <c r="C18" s="4"/>
      <c r="D18" s="156">
        <f>+'School Tax'!B24</f>
        <v>161057</v>
      </c>
      <c r="E18" s="48">
        <f t="shared" si="1"/>
        <v>0.059185977373234326</v>
      </c>
      <c r="F18" s="156">
        <f>+'School Tax'!F24</f>
        <v>21550</v>
      </c>
      <c r="G18" s="58"/>
      <c r="H18" s="294">
        <v>788.3857300861944</v>
      </c>
      <c r="I18" s="293">
        <f>+H18/$H$38</f>
        <v>0.03480885381633602</v>
      </c>
      <c r="J18" s="294">
        <f t="shared" si="5"/>
        <v>85</v>
      </c>
      <c r="L18" s="296">
        <v>3354.056026201561</v>
      </c>
      <c r="M18" s="306">
        <f t="shared" si="3"/>
        <v>0.5093235617348195</v>
      </c>
      <c r="N18" s="156">
        <f t="shared" si="4"/>
        <v>2037</v>
      </c>
    </row>
    <row r="19" spans="1:14" ht="13.5" customHeight="1">
      <c r="A19" s="4" t="s">
        <v>23</v>
      </c>
      <c r="B19" s="156">
        <f t="shared" si="0"/>
        <v>4897</v>
      </c>
      <c r="C19" s="4"/>
      <c r="D19" s="156">
        <f>+'School Tax'!B25</f>
        <v>81457</v>
      </c>
      <c r="E19" s="48">
        <f t="shared" si="1"/>
        <v>0.02993419819623828</v>
      </c>
      <c r="F19" s="90">
        <f>+'School Tax'!F25</f>
        <v>4897</v>
      </c>
      <c r="G19" s="58"/>
      <c r="H19" s="294">
        <v>1.570567717687523</v>
      </c>
      <c r="I19" s="293">
        <f>+H19/$H$38</f>
        <v>6.934379962415662E-05</v>
      </c>
      <c r="J19" s="294">
        <f t="shared" si="5"/>
        <v>0</v>
      </c>
      <c r="L19" s="294"/>
      <c r="M19" s="305">
        <f t="shared" si="3"/>
        <v>0</v>
      </c>
      <c r="N19" s="90">
        <f t="shared" si="4"/>
        <v>0</v>
      </c>
    </row>
    <row r="20" spans="1:14" ht="13.5" customHeight="1">
      <c r="A20" s="4" t="s">
        <v>24</v>
      </c>
      <c r="B20" s="156">
        <f t="shared" si="0"/>
        <v>6286</v>
      </c>
      <c r="C20" s="4"/>
      <c r="D20" s="156">
        <f>+'School Tax'!B26</f>
        <v>45202</v>
      </c>
      <c r="E20" s="48">
        <f t="shared" si="1"/>
        <v>0.016611041738173057</v>
      </c>
      <c r="F20" s="156">
        <f>+'School Tax'!F26</f>
        <v>6048</v>
      </c>
      <c r="G20" s="58"/>
      <c r="H20" s="294">
        <v>18.061528753406517</v>
      </c>
      <c r="I20" s="293">
        <f>+H20/$H$38</f>
        <v>0.0007974536956778012</v>
      </c>
      <c r="J20" s="294">
        <f t="shared" si="5"/>
        <v>2</v>
      </c>
      <c r="L20" s="296">
        <v>388.08372808271747</v>
      </c>
      <c r="M20" s="306">
        <f t="shared" si="3"/>
        <v>0.058931689004093735</v>
      </c>
      <c r="N20" s="156">
        <f t="shared" si="4"/>
        <v>236</v>
      </c>
    </row>
    <row r="21" spans="1:14" ht="12.75" customHeight="1">
      <c r="A21" s="4" t="s">
        <v>25</v>
      </c>
      <c r="B21" s="156">
        <f t="shared" si="0"/>
        <v>445</v>
      </c>
      <c r="C21" s="4"/>
      <c r="D21" s="156">
        <f>+'School Tax'!B27</f>
        <v>3325</v>
      </c>
      <c r="E21" s="48">
        <f t="shared" si="1"/>
        <v>0.0012218865045667319</v>
      </c>
      <c r="F21" s="156">
        <f>+'School Tax'!F27</f>
        <v>445</v>
      </c>
      <c r="G21" s="58"/>
      <c r="H21" s="294">
        <v>0</v>
      </c>
      <c r="I21" s="94">
        <v>0</v>
      </c>
      <c r="J21" s="296">
        <f t="shared" si="5"/>
        <v>0</v>
      </c>
      <c r="L21" s="294"/>
      <c r="M21" s="305">
        <f t="shared" si="3"/>
        <v>0</v>
      </c>
      <c r="N21" s="294">
        <f t="shared" si="4"/>
        <v>0</v>
      </c>
    </row>
    <row r="22" spans="1:14" ht="13.5" customHeight="1">
      <c r="A22" s="4" t="s">
        <v>26</v>
      </c>
      <c r="B22" s="156">
        <f t="shared" si="0"/>
        <v>13055</v>
      </c>
      <c r="C22" s="4"/>
      <c r="D22" s="156">
        <f>+'School Tax'!B28</f>
        <v>97013</v>
      </c>
      <c r="E22" s="48">
        <f t="shared" si="1"/>
        <v>0.03565078961429545</v>
      </c>
      <c r="F22" s="156">
        <f>+'School Tax'!F28</f>
        <v>12981</v>
      </c>
      <c r="G22" s="58"/>
      <c r="H22" s="294">
        <v>45.310878655285045</v>
      </c>
      <c r="I22" s="293">
        <f>+H22/$H$38</f>
        <v>0.0020005686191569188</v>
      </c>
      <c r="J22" s="294">
        <f t="shared" si="5"/>
        <v>5</v>
      </c>
      <c r="L22" s="296">
        <v>114.12406107028728</v>
      </c>
      <c r="M22" s="306">
        <f t="shared" si="3"/>
        <v>0.017330084175662397</v>
      </c>
      <c r="N22" s="156">
        <f t="shared" si="4"/>
        <v>69</v>
      </c>
    </row>
    <row r="23" spans="1:14" ht="13.5" customHeight="1">
      <c r="A23" s="4" t="s">
        <v>27</v>
      </c>
      <c r="B23" s="156">
        <f t="shared" si="0"/>
        <v>1270</v>
      </c>
      <c r="C23" s="4"/>
      <c r="D23" s="156">
        <f>+'School Tax'!B29</f>
        <v>9181</v>
      </c>
      <c r="E23" s="48">
        <f t="shared" si="1"/>
        <v>0.0033738766912562905</v>
      </c>
      <c r="F23" s="156">
        <f>+'School Tax'!F29</f>
        <v>1228</v>
      </c>
      <c r="G23" s="58"/>
      <c r="H23" s="294">
        <v>0</v>
      </c>
      <c r="I23" s="94">
        <v>0</v>
      </c>
      <c r="J23" s="296">
        <f t="shared" si="5"/>
        <v>0</v>
      </c>
      <c r="L23" s="296">
        <v>69.13782745682413</v>
      </c>
      <c r="M23" s="306">
        <f t="shared" si="3"/>
        <v>0.010498788408968847</v>
      </c>
      <c r="N23" s="156">
        <f t="shared" si="4"/>
        <v>42</v>
      </c>
    </row>
    <row r="24" spans="1:14" ht="12" customHeight="1">
      <c r="A24" s="4" t="s">
        <v>28</v>
      </c>
      <c r="B24" s="156">
        <f t="shared" si="0"/>
        <v>0</v>
      </c>
      <c r="C24" s="4"/>
      <c r="D24" s="156">
        <f>+'School Tax'!B30</f>
        <v>0</v>
      </c>
      <c r="E24" s="48">
        <f t="shared" si="1"/>
        <v>0</v>
      </c>
      <c r="F24" s="156">
        <f>+'School Tax'!F30</f>
        <v>0</v>
      </c>
      <c r="G24" s="58"/>
      <c r="H24" s="294">
        <v>0</v>
      </c>
      <c r="I24" s="94">
        <v>0</v>
      </c>
      <c r="J24" s="296">
        <f t="shared" si="5"/>
        <v>0</v>
      </c>
      <c r="L24" s="294"/>
      <c r="M24" s="305">
        <f t="shared" si="3"/>
        <v>0</v>
      </c>
      <c r="N24" s="294">
        <f t="shared" si="4"/>
        <v>0</v>
      </c>
    </row>
    <row r="25" spans="1:14" ht="12.75">
      <c r="A25" s="4" t="s">
        <v>29</v>
      </c>
      <c r="B25" s="156">
        <f t="shared" si="0"/>
        <v>986</v>
      </c>
      <c r="C25" s="4"/>
      <c r="D25" s="156">
        <f>+'School Tax'!B31</f>
        <v>7370</v>
      </c>
      <c r="E25" s="48">
        <f t="shared" si="1"/>
        <v>0.0027083619665133275</v>
      </c>
      <c r="F25" s="156">
        <f>+'School Tax'!F31</f>
        <v>986</v>
      </c>
      <c r="G25" s="58"/>
      <c r="H25" s="294">
        <v>0</v>
      </c>
      <c r="I25" s="94">
        <v>0</v>
      </c>
      <c r="J25" s="294">
        <f t="shared" si="5"/>
        <v>0</v>
      </c>
      <c r="L25" s="294"/>
      <c r="M25" s="305">
        <f t="shared" si="3"/>
        <v>0</v>
      </c>
      <c r="N25" s="294">
        <f t="shared" si="4"/>
        <v>0</v>
      </c>
    </row>
    <row r="26" spans="1:14" ht="12.75">
      <c r="A26" s="4" t="s">
        <v>30</v>
      </c>
      <c r="B26" s="156">
        <f t="shared" si="0"/>
        <v>306</v>
      </c>
      <c r="C26" s="4"/>
      <c r="D26" s="156">
        <f>+'School Tax'!B32</f>
        <v>2287</v>
      </c>
      <c r="E26" s="48">
        <f t="shared" si="1"/>
        <v>0.000840437424344095</v>
      </c>
      <c r="F26" s="156">
        <f>+'School Tax'!F32</f>
        <v>306</v>
      </c>
      <c r="G26" s="58"/>
      <c r="H26" s="294">
        <v>0</v>
      </c>
      <c r="I26" s="94">
        <v>0</v>
      </c>
      <c r="J26" s="296">
        <f t="shared" si="5"/>
        <v>0</v>
      </c>
      <c r="L26" s="294"/>
      <c r="M26" s="305">
        <f t="shared" si="3"/>
        <v>0</v>
      </c>
      <c r="N26" s="294">
        <f t="shared" si="4"/>
        <v>0</v>
      </c>
    </row>
    <row r="27" spans="1:14" ht="12.75">
      <c r="A27" s="4" t="s">
        <v>31</v>
      </c>
      <c r="B27" s="156">
        <f t="shared" si="0"/>
        <v>0</v>
      </c>
      <c r="C27" s="4"/>
      <c r="D27" s="217">
        <f>+'School Tax'!B33</f>
        <v>0</v>
      </c>
      <c r="E27" s="217">
        <v>0</v>
      </c>
      <c r="F27" s="217">
        <v>0</v>
      </c>
      <c r="G27" s="58"/>
      <c r="H27" s="294">
        <v>0</v>
      </c>
      <c r="I27" s="94">
        <v>0</v>
      </c>
      <c r="J27" s="294">
        <f t="shared" si="5"/>
        <v>0</v>
      </c>
      <c r="L27" s="294"/>
      <c r="M27" s="305">
        <f t="shared" si="3"/>
        <v>0</v>
      </c>
      <c r="N27" s="294">
        <f t="shared" si="4"/>
        <v>0</v>
      </c>
    </row>
    <row r="28" spans="1:14" ht="12.75">
      <c r="A28" s="4" t="s">
        <v>32</v>
      </c>
      <c r="B28" s="156">
        <f t="shared" si="0"/>
        <v>8</v>
      </c>
      <c r="C28" s="4"/>
      <c r="D28" s="217">
        <f>+'School Tax'!B34</f>
        <v>0</v>
      </c>
      <c r="E28" s="217">
        <v>0</v>
      </c>
      <c r="F28" s="217">
        <v>0</v>
      </c>
      <c r="G28" s="58"/>
      <c r="H28" s="294">
        <v>71.85347308420418</v>
      </c>
      <c r="I28" s="293">
        <f>+H28/$H$38</f>
        <v>0.0031724788328051654</v>
      </c>
      <c r="J28" s="294">
        <f t="shared" si="5"/>
        <v>8</v>
      </c>
      <c r="L28" s="294"/>
      <c r="M28" s="305">
        <f t="shared" si="3"/>
        <v>0</v>
      </c>
      <c r="N28" s="294">
        <f t="shared" si="4"/>
        <v>0</v>
      </c>
    </row>
    <row r="29" spans="1:14" ht="12.75">
      <c r="A29" s="4" t="s">
        <v>33</v>
      </c>
      <c r="B29" s="156">
        <f t="shared" si="0"/>
        <v>186</v>
      </c>
      <c r="C29" s="4"/>
      <c r="D29" s="217">
        <v>0</v>
      </c>
      <c r="E29" s="217">
        <v>0</v>
      </c>
      <c r="F29" s="217">
        <v>0</v>
      </c>
      <c r="G29" s="58"/>
      <c r="H29" s="294">
        <v>1713.8820219265097</v>
      </c>
      <c r="I29" s="293">
        <f>+H29/$H$38</f>
        <v>0.07567142133986092</v>
      </c>
      <c r="J29" s="294">
        <f t="shared" si="5"/>
        <v>186</v>
      </c>
      <c r="L29" s="294"/>
      <c r="M29" s="305">
        <f t="shared" si="3"/>
        <v>0</v>
      </c>
      <c r="N29" s="294">
        <f t="shared" si="4"/>
        <v>0</v>
      </c>
    </row>
    <row r="30" spans="1:14" ht="12.75">
      <c r="A30" s="4" t="s">
        <v>6</v>
      </c>
      <c r="B30" s="156">
        <f t="shared" si="0"/>
        <v>0</v>
      </c>
      <c r="C30" s="4"/>
      <c r="D30" s="217">
        <v>0</v>
      </c>
      <c r="E30" s="217">
        <v>0</v>
      </c>
      <c r="F30" s="217">
        <v>0</v>
      </c>
      <c r="G30" s="58"/>
      <c r="H30" s="294">
        <v>0</v>
      </c>
      <c r="I30" s="94">
        <v>0</v>
      </c>
      <c r="J30" s="296">
        <f t="shared" si="5"/>
        <v>0</v>
      </c>
      <c r="L30" s="294"/>
      <c r="M30" s="305">
        <f t="shared" si="3"/>
        <v>0</v>
      </c>
      <c r="N30" s="294">
        <f t="shared" si="4"/>
        <v>0</v>
      </c>
    </row>
    <row r="31" spans="1:14" ht="12.75">
      <c r="A31" s="4" t="s">
        <v>45</v>
      </c>
      <c r="B31" s="156">
        <f t="shared" si="0"/>
        <v>0</v>
      </c>
      <c r="C31" s="4"/>
      <c r="D31" s="217">
        <v>0</v>
      </c>
      <c r="E31" s="94">
        <v>0</v>
      </c>
      <c r="F31" s="217">
        <v>0</v>
      </c>
      <c r="G31" s="58"/>
      <c r="H31" s="294">
        <v>0</v>
      </c>
      <c r="I31" s="94">
        <v>0</v>
      </c>
      <c r="J31" s="294">
        <f t="shared" si="5"/>
        <v>0</v>
      </c>
      <c r="L31" s="294"/>
      <c r="M31" s="305">
        <f t="shared" si="3"/>
        <v>0</v>
      </c>
      <c r="N31" s="294">
        <f t="shared" si="4"/>
        <v>0</v>
      </c>
    </row>
    <row r="32" spans="1:14" ht="12.75">
      <c r="A32" s="60" t="s">
        <v>34</v>
      </c>
      <c r="B32" s="154">
        <f t="shared" si="0"/>
        <v>0</v>
      </c>
      <c r="C32" s="4"/>
      <c r="D32" s="217">
        <v>0</v>
      </c>
      <c r="E32" s="94">
        <v>0</v>
      </c>
      <c r="F32" s="217">
        <v>0</v>
      </c>
      <c r="G32" s="58"/>
      <c r="H32" s="294">
        <v>0</v>
      </c>
      <c r="I32" s="94">
        <v>0</v>
      </c>
      <c r="J32" s="294">
        <f t="shared" si="5"/>
        <v>0</v>
      </c>
      <c r="L32" s="296"/>
      <c r="M32" s="305">
        <f t="shared" si="3"/>
        <v>0</v>
      </c>
      <c r="N32" s="156">
        <f t="shared" si="4"/>
        <v>0</v>
      </c>
    </row>
    <row r="33" spans="1:14" ht="12.75">
      <c r="A33" s="4" t="s">
        <v>3</v>
      </c>
      <c r="B33" s="156">
        <f t="shared" si="0"/>
        <v>0</v>
      </c>
      <c r="C33" s="4"/>
      <c r="D33" s="217">
        <v>0</v>
      </c>
      <c r="E33" s="94">
        <v>0</v>
      </c>
      <c r="F33" s="217">
        <v>0</v>
      </c>
      <c r="G33" s="58"/>
      <c r="H33" s="294">
        <v>0</v>
      </c>
      <c r="I33" s="94">
        <v>0</v>
      </c>
      <c r="J33" s="294">
        <f t="shared" si="5"/>
        <v>0</v>
      </c>
      <c r="L33" s="294"/>
      <c r="M33" s="305">
        <f t="shared" si="3"/>
        <v>0</v>
      </c>
      <c r="N33" s="294">
        <f t="shared" si="4"/>
        <v>0</v>
      </c>
    </row>
    <row r="34" spans="1:14" ht="12.75">
      <c r="A34" s="4" t="s">
        <v>4</v>
      </c>
      <c r="B34" s="156">
        <f t="shared" si="0"/>
        <v>0</v>
      </c>
      <c r="C34" s="4"/>
      <c r="D34" s="217">
        <v>0</v>
      </c>
      <c r="E34" s="94">
        <v>0</v>
      </c>
      <c r="F34" s="217">
        <v>0</v>
      </c>
      <c r="G34" s="58"/>
      <c r="H34" s="294">
        <v>0</v>
      </c>
      <c r="I34" s="94">
        <v>0</v>
      </c>
      <c r="J34" s="294">
        <f t="shared" si="5"/>
        <v>0</v>
      </c>
      <c r="L34" s="294"/>
      <c r="M34" s="305">
        <f t="shared" si="3"/>
        <v>0</v>
      </c>
      <c r="N34" s="294">
        <f t="shared" si="4"/>
        <v>0</v>
      </c>
    </row>
    <row r="35" spans="1:14" ht="12.75">
      <c r="A35" s="4" t="s">
        <v>7</v>
      </c>
      <c r="B35" s="148">
        <f t="shared" si="0"/>
        <v>0</v>
      </c>
      <c r="C35" s="118"/>
      <c r="D35" s="317">
        <v>0</v>
      </c>
      <c r="E35" s="317">
        <v>0</v>
      </c>
      <c r="F35" s="217">
        <v>0</v>
      </c>
      <c r="G35" s="58"/>
      <c r="H35" s="294">
        <v>0</v>
      </c>
      <c r="I35" s="94">
        <v>0</v>
      </c>
      <c r="J35" s="294">
        <f t="shared" si="5"/>
        <v>0</v>
      </c>
      <c r="L35" s="294"/>
      <c r="M35" s="305">
        <f t="shared" si="3"/>
        <v>0</v>
      </c>
      <c r="N35" s="294">
        <f t="shared" si="4"/>
        <v>0</v>
      </c>
    </row>
    <row r="36" spans="1:14" ht="12.75">
      <c r="A36" s="4" t="s">
        <v>106</v>
      </c>
      <c r="B36" s="156">
        <f t="shared" si="0"/>
        <v>0</v>
      </c>
      <c r="C36" s="4"/>
      <c r="D36" s="217">
        <v>0</v>
      </c>
      <c r="E36" s="317">
        <v>0</v>
      </c>
      <c r="F36" s="217">
        <v>0</v>
      </c>
      <c r="G36" s="58"/>
      <c r="H36" s="294">
        <v>0</v>
      </c>
      <c r="I36" s="94">
        <v>0</v>
      </c>
      <c r="J36" s="294">
        <f t="shared" si="5"/>
        <v>0</v>
      </c>
      <c r="L36" s="294"/>
      <c r="M36" s="305">
        <f t="shared" si="3"/>
        <v>0</v>
      </c>
      <c r="N36" s="294">
        <f t="shared" si="4"/>
        <v>0</v>
      </c>
    </row>
    <row r="37" spans="1:14" ht="12" customHeight="1">
      <c r="A37" s="4" t="s">
        <v>93</v>
      </c>
      <c r="B37" s="218">
        <f t="shared" si="0"/>
        <v>0</v>
      </c>
      <c r="C37" s="4"/>
      <c r="D37" s="216">
        <v>0</v>
      </c>
      <c r="E37" s="217">
        <v>0</v>
      </c>
      <c r="F37" s="216">
        <v>0</v>
      </c>
      <c r="G37" s="58"/>
      <c r="H37" s="297">
        <v>0</v>
      </c>
      <c r="I37" s="94">
        <v>0</v>
      </c>
      <c r="J37" s="294">
        <f t="shared" si="5"/>
        <v>0</v>
      </c>
      <c r="L37" s="297"/>
      <c r="M37" s="305">
        <f t="shared" si="3"/>
        <v>0</v>
      </c>
      <c r="N37" s="294">
        <f t="shared" si="4"/>
        <v>0</v>
      </c>
    </row>
    <row r="38" spans="1:14" ht="12.75">
      <c r="A38" s="99" t="s">
        <v>35</v>
      </c>
      <c r="B38" s="318">
        <f>SUM(B5:B37)</f>
        <v>358314</v>
      </c>
      <c r="C38" s="195"/>
      <c r="D38" s="219">
        <f>SUM(D5:D37)</f>
        <v>2721202</v>
      </c>
      <c r="E38" s="196">
        <f>SUM(E5:E37)</f>
        <v>1.0000000000000002</v>
      </c>
      <c r="F38" s="219">
        <f>SUM(F5:F37)</f>
        <v>351932</v>
      </c>
      <c r="G38" s="58"/>
      <c r="H38" s="301">
        <f>SUM(H5:H36)</f>
        <v>22648.999999999996</v>
      </c>
      <c r="I38" s="196">
        <f>SUM(I5:I36)</f>
        <v>1.0000000000000002</v>
      </c>
      <c r="J38" s="302">
        <f>SUM(J5:J36)</f>
        <v>2382</v>
      </c>
      <c r="L38" s="309">
        <f>SUM(L5:L37)</f>
        <v>6585.314872882041</v>
      </c>
      <c r="M38" s="196">
        <f>SUM(M5:M37)</f>
        <v>1.0000000000000002</v>
      </c>
      <c r="N38" s="302">
        <f>SUM(N5:N37)</f>
        <v>4000</v>
      </c>
    </row>
    <row r="39" spans="1:14" ht="12.75">
      <c r="A39" s="96"/>
      <c r="B39" s="319"/>
      <c r="C39" s="96"/>
      <c r="D39" s="82" t="s">
        <v>52</v>
      </c>
      <c r="H39" s="96" t="s">
        <v>227</v>
      </c>
      <c r="I39" s="299"/>
      <c r="J39" s="298"/>
      <c r="L39" s="96" t="s">
        <v>234</v>
      </c>
      <c r="M39" s="299"/>
      <c r="N39" s="298"/>
    </row>
    <row r="40" spans="1:12" ht="12.75">
      <c r="A40" s="96"/>
      <c r="B40" s="319"/>
      <c r="C40" s="96"/>
      <c r="H40" s="82" t="s">
        <v>228</v>
      </c>
      <c r="L40" s="82" t="s">
        <v>228</v>
      </c>
    </row>
    <row r="41" spans="1:12" ht="12.75">
      <c r="A41" s="143"/>
      <c r="H41" s="96" t="s">
        <v>229</v>
      </c>
      <c r="L41" s="96" t="s">
        <v>233</v>
      </c>
    </row>
    <row r="42" ht="12.75">
      <c r="J42" s="190">
        <f>+J43-20-50</f>
        <v>2382</v>
      </c>
    </row>
    <row r="43" spans="6:14" ht="12.75">
      <c r="F43" s="300">
        <v>351932</v>
      </c>
      <c r="H43" s="144"/>
      <c r="I43" s="144"/>
      <c r="J43" s="300">
        <v>2452</v>
      </c>
      <c r="N43" s="124">
        <v>4000</v>
      </c>
    </row>
    <row r="44" spans="8:10" ht="12.75">
      <c r="H44" s="144" t="s">
        <v>230</v>
      </c>
      <c r="I44" s="144"/>
      <c r="J44" s="144"/>
    </row>
    <row r="45" spans="8:10" ht="12.75">
      <c r="H45" s="269" t="s">
        <v>231</v>
      </c>
      <c r="I45" s="144"/>
      <c r="J45" s="144"/>
    </row>
  </sheetData>
  <mergeCells count="3">
    <mergeCell ref="D3:F3"/>
    <mergeCell ref="H3:J3"/>
    <mergeCell ref="L3:N3"/>
  </mergeCells>
  <printOptions/>
  <pageMargins left="0.75" right="0.75" top="0.54" bottom="0.59" header="0.5" footer="0.5"/>
  <pageSetup fitToHeight="1" fitToWidth="1" horizontalDpi="600" verticalDpi="600" orientation="landscape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2:I44"/>
  <sheetViews>
    <sheetView zoomScale="90" zoomScaleNormal="90" workbookViewId="0" topLeftCell="A13">
      <selection activeCell="I6" sqref="I6"/>
    </sheetView>
  </sheetViews>
  <sheetFormatPr defaultColWidth="9.140625" defaultRowHeight="12.75"/>
  <cols>
    <col min="1" max="1" width="9.7109375" style="0" customWidth="1"/>
    <col min="2" max="2" width="13.7109375" style="0" customWidth="1"/>
    <col min="3" max="5" width="13.421875" style="0" customWidth="1"/>
    <col min="6" max="6" width="1.8515625" style="0" customWidth="1"/>
    <col min="7" max="9" width="13.28125" style="0" customWidth="1"/>
    <col min="10" max="10" width="2.140625" style="0" customWidth="1"/>
  </cols>
  <sheetData>
    <row r="2" spans="1:2" ht="18">
      <c r="A2" s="22" t="s">
        <v>263</v>
      </c>
      <c r="B2" s="22"/>
    </row>
    <row r="3" spans="1:9" ht="12.75">
      <c r="A3" s="17"/>
      <c r="B3" s="119" t="s">
        <v>35</v>
      </c>
      <c r="C3" s="355" t="s">
        <v>262</v>
      </c>
      <c r="D3" s="356"/>
      <c r="E3" s="357"/>
      <c r="G3" s="355" t="s">
        <v>145</v>
      </c>
      <c r="H3" s="356"/>
      <c r="I3" s="357"/>
    </row>
    <row r="4" spans="1:9" ht="12.75">
      <c r="A4" s="15"/>
      <c r="B4" s="98" t="s">
        <v>6</v>
      </c>
      <c r="C4" s="19" t="s">
        <v>36</v>
      </c>
      <c r="D4" s="19" t="s">
        <v>37</v>
      </c>
      <c r="E4" s="20" t="s">
        <v>38</v>
      </c>
      <c r="G4" s="19" t="s">
        <v>36</v>
      </c>
      <c r="H4" s="19" t="s">
        <v>37</v>
      </c>
      <c r="I4" s="20" t="s">
        <v>38</v>
      </c>
    </row>
    <row r="5" spans="1:9" ht="12.75">
      <c r="A5" s="4" t="s">
        <v>0</v>
      </c>
      <c r="B5" s="31">
        <f>+E5+I5</f>
        <v>11289</v>
      </c>
      <c r="C5" s="42">
        <f>SUM(Census!H5)</f>
        <v>5219</v>
      </c>
      <c r="D5" s="43">
        <f>SUM(C5/$C$38)</f>
        <v>0.22802341838518</v>
      </c>
      <c r="E5" s="49">
        <f>ROUND(D5*$E$43,0)</f>
        <v>5602</v>
      </c>
      <c r="G5" s="46">
        <f>SUM(PB!J6)</f>
        <v>6333</v>
      </c>
      <c r="H5" s="43">
        <f>SUM(G5/$G$38)</f>
        <v>0.1377784325445933</v>
      </c>
      <c r="I5" s="31">
        <f>ROUND(H5*$I$43,0)</f>
        <v>5687</v>
      </c>
    </row>
    <row r="6" spans="1:9" ht="12.75">
      <c r="A6" s="4" t="s">
        <v>10</v>
      </c>
      <c r="B6" s="46">
        <f aca="true" t="shared" si="0" ref="B6:B37">+E6+I6</f>
        <v>5590</v>
      </c>
      <c r="C6" s="42">
        <f>SUM(Census!H6)</f>
        <v>1287</v>
      </c>
      <c r="D6" s="43">
        <f aca="true" t="shared" si="1" ref="D6:D28">SUM(C6/$C$38)</f>
        <v>0.0562303390422929</v>
      </c>
      <c r="E6" s="28">
        <f>ROUND(D6*$E$43,0)</f>
        <v>1381</v>
      </c>
      <c r="G6" s="46">
        <f>SUM(PB!J7)</f>
        <v>4687</v>
      </c>
      <c r="H6" s="43">
        <f aca="true" t="shared" si="2" ref="H6:H28">SUM(G6/$G$38)</f>
        <v>0.10196865835094092</v>
      </c>
      <c r="I6" s="46">
        <f>ROUND(H6*$I$43,0)</f>
        <v>4209</v>
      </c>
    </row>
    <row r="7" spans="1:9" ht="12.75">
      <c r="A7" s="4" t="s">
        <v>11</v>
      </c>
      <c r="B7" s="46">
        <f t="shared" si="0"/>
        <v>1215</v>
      </c>
      <c r="C7" s="42">
        <f>SUM(Census!H7)</f>
        <v>545</v>
      </c>
      <c r="D7" s="43">
        <f t="shared" si="1"/>
        <v>0.0238116043341489</v>
      </c>
      <c r="E7" s="28">
        <f aca="true" t="shared" si="3" ref="E7:E28">ROUND(D7*$E$43,0)</f>
        <v>585</v>
      </c>
      <c r="G7" s="46">
        <f>SUM(PB!J8)</f>
        <v>701</v>
      </c>
      <c r="H7" s="43">
        <f t="shared" si="2"/>
        <v>0.015250699702156941</v>
      </c>
      <c r="I7" s="46">
        <f>ROUND(H7*$I$43,0)</f>
        <v>630</v>
      </c>
    </row>
    <row r="8" spans="1:9" ht="12.75">
      <c r="A8" s="4" t="s">
        <v>12</v>
      </c>
      <c r="B8" s="46">
        <f t="shared" si="0"/>
        <v>4807</v>
      </c>
      <c r="C8" s="42">
        <f>SUM(Census!H8)</f>
        <v>1159</v>
      </c>
      <c r="D8" s="43">
        <f t="shared" si="1"/>
        <v>0.05063788885005243</v>
      </c>
      <c r="E8" s="28">
        <f t="shared" si="3"/>
        <v>1244</v>
      </c>
      <c r="G8" s="46">
        <f>SUM(PB!J9)</f>
        <v>3968</v>
      </c>
      <c r="H8" s="43">
        <f t="shared" si="2"/>
        <v>0.08632635722989834</v>
      </c>
      <c r="I8" s="46">
        <f aca="true" t="shared" si="4" ref="I8:I28">ROUND(H8*$I$43,0)</f>
        <v>3563</v>
      </c>
    </row>
    <row r="9" spans="1:9" ht="12.75">
      <c r="A9" s="4" t="s">
        <v>13</v>
      </c>
      <c r="B9" s="46">
        <f t="shared" si="0"/>
        <v>4157</v>
      </c>
      <c r="C9" s="42">
        <f>SUM(Census!H9)</f>
        <v>1091</v>
      </c>
      <c r="D9" s="43">
        <f t="shared" si="1"/>
        <v>0.047666899685424674</v>
      </c>
      <c r="E9" s="28">
        <f t="shared" si="3"/>
        <v>1171</v>
      </c>
      <c r="G9" s="46">
        <f>SUM(PB!J10)</f>
        <v>3325</v>
      </c>
      <c r="H9" s="43">
        <f t="shared" si="2"/>
        <v>0.07233748432192842</v>
      </c>
      <c r="I9" s="46">
        <f t="shared" si="4"/>
        <v>2986</v>
      </c>
    </row>
    <row r="10" spans="1:9" ht="12.75">
      <c r="A10" s="4" t="s">
        <v>14</v>
      </c>
      <c r="B10" s="46">
        <f t="shared" si="0"/>
        <v>8029</v>
      </c>
      <c r="C10" s="42">
        <f>SUM(Census!H10)</f>
        <v>3407</v>
      </c>
      <c r="D10" s="43">
        <f t="shared" si="1"/>
        <v>0.14885529535127578</v>
      </c>
      <c r="E10" s="28">
        <f t="shared" si="3"/>
        <v>3657</v>
      </c>
      <c r="G10" s="46">
        <f>SUM(PB!J11)</f>
        <v>4868.104138851802</v>
      </c>
      <c r="H10" s="43">
        <f t="shared" si="2"/>
        <v>0.10590869378096456</v>
      </c>
      <c r="I10" s="46">
        <f t="shared" si="4"/>
        <v>4372</v>
      </c>
    </row>
    <row r="11" spans="1:9" ht="12.75">
      <c r="A11" s="4" t="s">
        <v>15</v>
      </c>
      <c r="B11" s="46">
        <f t="shared" si="0"/>
        <v>4263</v>
      </c>
      <c r="C11" s="42">
        <f>SUM(Census!H11)</f>
        <v>210</v>
      </c>
      <c r="D11" s="43">
        <f t="shared" si="1"/>
        <v>0.00917511359664453</v>
      </c>
      <c r="E11" s="28">
        <f t="shared" si="3"/>
        <v>225</v>
      </c>
      <c r="G11" s="46">
        <f>SUM(PB!J12)</f>
        <v>4497</v>
      </c>
      <c r="H11" s="43">
        <f t="shared" si="2"/>
        <v>0.0978350878182593</v>
      </c>
      <c r="I11" s="46">
        <f t="shared" si="4"/>
        <v>4038</v>
      </c>
    </row>
    <row r="12" spans="1:9" ht="12.75">
      <c r="A12" s="4" t="s">
        <v>16</v>
      </c>
      <c r="B12" s="46">
        <f t="shared" si="0"/>
        <v>3529</v>
      </c>
      <c r="C12" s="42">
        <f>SUM(Census!H12)</f>
        <v>1309</v>
      </c>
      <c r="D12" s="43">
        <f t="shared" si="1"/>
        <v>0.05719154141908424</v>
      </c>
      <c r="E12" s="28">
        <f t="shared" si="3"/>
        <v>1405</v>
      </c>
      <c r="G12" s="46">
        <f>SUM(PB!J13)</f>
        <v>2365</v>
      </c>
      <c r="H12" s="43">
        <f t="shared" si="2"/>
        <v>0.05145207531469496</v>
      </c>
      <c r="I12" s="46">
        <f t="shared" si="4"/>
        <v>2124</v>
      </c>
    </row>
    <row r="13" spans="1:9" ht="12.75">
      <c r="A13" s="4" t="s">
        <v>17</v>
      </c>
      <c r="B13" s="46">
        <f t="shared" si="0"/>
        <v>1742</v>
      </c>
      <c r="C13" s="42">
        <f>SUM(Census!H13)</f>
        <v>507</v>
      </c>
      <c r="D13" s="43">
        <f t="shared" si="1"/>
        <v>0.02215134568332751</v>
      </c>
      <c r="E13" s="28">
        <f t="shared" si="3"/>
        <v>544</v>
      </c>
      <c r="G13" s="46">
        <f>SUM(PB!J14)</f>
        <v>1334</v>
      </c>
      <c r="H13" s="43">
        <f t="shared" si="2"/>
        <v>0.02902201626630151</v>
      </c>
      <c r="I13" s="46">
        <f t="shared" si="4"/>
        <v>1198</v>
      </c>
    </row>
    <row r="14" spans="1:9" ht="12.75">
      <c r="A14" s="4" t="s">
        <v>18</v>
      </c>
      <c r="B14" s="46">
        <f t="shared" si="0"/>
        <v>2143</v>
      </c>
      <c r="C14" s="42">
        <f>SUM(Census!H14)</f>
        <v>1433</v>
      </c>
      <c r="D14" s="43">
        <f t="shared" si="1"/>
        <v>0.0626092275428172</v>
      </c>
      <c r="E14" s="28">
        <f t="shared" si="3"/>
        <v>1538</v>
      </c>
      <c r="G14" s="46">
        <f>SUM(PB!J15)</f>
        <v>674</v>
      </c>
      <c r="H14" s="43">
        <f t="shared" si="2"/>
        <v>0.014663297573828499</v>
      </c>
      <c r="I14" s="46">
        <f t="shared" si="4"/>
        <v>605</v>
      </c>
    </row>
    <row r="15" spans="1:9" ht="12.75">
      <c r="A15" s="4" t="s">
        <v>19</v>
      </c>
      <c r="B15" s="46">
        <f t="shared" si="0"/>
        <v>2724</v>
      </c>
      <c r="C15" s="42">
        <f>SUM(Census!H15)</f>
        <v>955</v>
      </c>
      <c r="D15" s="43">
        <f t="shared" si="1"/>
        <v>0.04172492135616917</v>
      </c>
      <c r="E15" s="28">
        <f t="shared" si="3"/>
        <v>1025</v>
      </c>
      <c r="G15" s="46">
        <f>SUM(PB!J16)</f>
        <v>1892</v>
      </c>
      <c r="H15" s="43">
        <f t="shared" si="2"/>
        <v>0.041161660251755966</v>
      </c>
      <c r="I15" s="46">
        <f t="shared" si="4"/>
        <v>1699</v>
      </c>
    </row>
    <row r="16" spans="1:9" ht="12.75">
      <c r="A16" s="4" t="s">
        <v>20</v>
      </c>
      <c r="B16" s="46">
        <f t="shared" si="0"/>
        <v>1556</v>
      </c>
      <c r="C16" s="42">
        <f>SUM(Census!H16)</f>
        <v>421</v>
      </c>
      <c r="D16" s="43">
        <f t="shared" si="1"/>
        <v>0.018393918210415937</v>
      </c>
      <c r="E16" s="28">
        <f t="shared" si="3"/>
        <v>452</v>
      </c>
      <c r="G16" s="46">
        <f>SUM(PB!J17)</f>
        <v>1229</v>
      </c>
      <c r="H16" s="43">
        <f t="shared" si="2"/>
        <v>0.02673767465613535</v>
      </c>
      <c r="I16" s="46">
        <f t="shared" si="4"/>
        <v>1104</v>
      </c>
    </row>
    <row r="17" spans="1:9" ht="12.75">
      <c r="A17" s="4" t="s">
        <v>21</v>
      </c>
      <c r="B17" s="46">
        <f t="shared" si="0"/>
        <v>1162</v>
      </c>
      <c r="C17" s="42">
        <f>SUM(Census!H17)</f>
        <v>282</v>
      </c>
      <c r="D17" s="43">
        <f t="shared" si="1"/>
        <v>0.012320866829779797</v>
      </c>
      <c r="E17" s="28">
        <f t="shared" si="3"/>
        <v>303</v>
      </c>
      <c r="G17" s="46">
        <f>SUM(PB!J18)</f>
        <v>957</v>
      </c>
      <c r="H17" s="43">
        <f t="shared" si="2"/>
        <v>0.020820142104085865</v>
      </c>
      <c r="I17" s="46">
        <f t="shared" si="4"/>
        <v>859</v>
      </c>
    </row>
    <row r="18" spans="1:9" ht="12.75">
      <c r="A18" s="4" t="s">
        <v>22</v>
      </c>
      <c r="B18" s="46">
        <f t="shared" si="0"/>
        <v>4093</v>
      </c>
      <c r="C18" s="42">
        <f>SUM(Census!H18)</f>
        <v>1309</v>
      </c>
      <c r="D18" s="43">
        <f t="shared" si="1"/>
        <v>0.05719154141908424</v>
      </c>
      <c r="E18" s="28">
        <f t="shared" si="3"/>
        <v>1405</v>
      </c>
      <c r="G18" s="46">
        <f>SUM(PB!J19)</f>
        <v>2993</v>
      </c>
      <c r="H18" s="43">
        <f t="shared" si="2"/>
        <v>0.06511461370692685</v>
      </c>
      <c r="I18" s="46">
        <f t="shared" si="4"/>
        <v>2688</v>
      </c>
    </row>
    <row r="19" spans="1:9" ht="12.75">
      <c r="A19" s="4" t="s">
        <v>23</v>
      </c>
      <c r="B19" s="46">
        <f t="shared" si="0"/>
        <v>2483</v>
      </c>
      <c r="C19" s="42">
        <f>SUM(Census!H19)</f>
        <v>785</v>
      </c>
      <c r="D19" s="43">
        <f t="shared" si="1"/>
        <v>0.03429744844459979</v>
      </c>
      <c r="E19" s="28">
        <f t="shared" si="3"/>
        <v>843</v>
      </c>
      <c r="G19" s="46">
        <f>SUM(PB!J20)</f>
        <v>1826</v>
      </c>
      <c r="H19" s="43">
        <f t="shared" si="2"/>
        <v>0.03972578838250866</v>
      </c>
      <c r="I19" s="46">
        <f t="shared" si="4"/>
        <v>1640</v>
      </c>
    </row>
    <row r="20" spans="1:9" ht="12.75">
      <c r="A20" s="4" t="s">
        <v>24</v>
      </c>
      <c r="B20" s="46">
        <f t="shared" si="0"/>
        <v>1183</v>
      </c>
      <c r="C20" s="42">
        <f>SUM(Census!H20)</f>
        <v>339</v>
      </c>
      <c r="D20" s="43">
        <f t="shared" si="1"/>
        <v>0.014811254806011883</v>
      </c>
      <c r="E20" s="28">
        <f t="shared" si="3"/>
        <v>364</v>
      </c>
      <c r="G20" s="46">
        <f>SUM(PB!J21)</f>
        <v>912</v>
      </c>
      <c r="H20" s="43">
        <f t="shared" si="2"/>
        <v>0.019841138556871796</v>
      </c>
      <c r="I20" s="46">
        <f t="shared" si="4"/>
        <v>819</v>
      </c>
    </row>
    <row r="21" spans="1:9" ht="12.75">
      <c r="A21" s="4" t="s">
        <v>25</v>
      </c>
      <c r="B21" s="46">
        <f t="shared" si="0"/>
        <v>373</v>
      </c>
      <c r="C21" s="42">
        <f>SUM(Census!H21)</f>
        <v>66</v>
      </c>
      <c r="D21" s="43">
        <f t="shared" si="1"/>
        <v>0.0028836071303739953</v>
      </c>
      <c r="E21" s="28">
        <f t="shared" si="3"/>
        <v>71</v>
      </c>
      <c r="G21" s="46">
        <f>SUM(PB!J22)</f>
        <v>336</v>
      </c>
      <c r="H21" s="43">
        <f t="shared" si="2"/>
        <v>0.007309893152531715</v>
      </c>
      <c r="I21" s="46">
        <f t="shared" si="4"/>
        <v>302</v>
      </c>
    </row>
    <row r="22" spans="1:9" ht="12.75">
      <c r="A22" s="4" t="s">
        <v>26</v>
      </c>
      <c r="B22" s="46">
        <f t="shared" si="0"/>
        <v>950</v>
      </c>
      <c r="C22" s="42">
        <f>SUM(Census!H22)</f>
        <v>604</v>
      </c>
      <c r="D22" s="43">
        <f t="shared" si="1"/>
        <v>0.026389374344634745</v>
      </c>
      <c r="E22" s="28">
        <f t="shared" si="3"/>
        <v>648</v>
      </c>
      <c r="G22" s="46">
        <f>SUM(PB!J23)</f>
        <v>336</v>
      </c>
      <c r="H22" s="43">
        <f t="shared" si="2"/>
        <v>0.007309893152531715</v>
      </c>
      <c r="I22" s="46">
        <f t="shared" si="4"/>
        <v>302</v>
      </c>
    </row>
    <row r="23" spans="1:9" ht="12.75">
      <c r="A23" s="4" t="s">
        <v>27</v>
      </c>
      <c r="B23" s="46">
        <f t="shared" si="0"/>
        <v>769</v>
      </c>
      <c r="C23" s="42">
        <f>SUM(Census!H23)</f>
        <v>85</v>
      </c>
      <c r="D23" s="43">
        <f t="shared" si="1"/>
        <v>0.003713736455784691</v>
      </c>
      <c r="E23" s="28">
        <f t="shared" si="3"/>
        <v>91</v>
      </c>
      <c r="G23" s="46">
        <f>SUM(PB!J24)</f>
        <v>755</v>
      </c>
      <c r="H23" s="43">
        <f t="shared" si="2"/>
        <v>0.016425503958813824</v>
      </c>
      <c r="I23" s="46">
        <f t="shared" si="4"/>
        <v>678</v>
      </c>
    </row>
    <row r="24" spans="1:9" ht="12.75">
      <c r="A24" s="4" t="s">
        <v>28</v>
      </c>
      <c r="B24" s="46">
        <f t="shared" si="0"/>
        <v>1015</v>
      </c>
      <c r="C24" s="42">
        <f>SUM(Census!H24)</f>
        <v>150</v>
      </c>
      <c r="D24" s="43">
        <f t="shared" si="1"/>
        <v>0.006553652569031807</v>
      </c>
      <c r="E24" s="28">
        <f t="shared" si="3"/>
        <v>161</v>
      </c>
      <c r="G24" s="46">
        <f>SUM(PB!J25)</f>
        <v>951</v>
      </c>
      <c r="H24" s="43">
        <f t="shared" si="2"/>
        <v>0.02068960829779066</v>
      </c>
      <c r="I24" s="46">
        <f t="shared" si="4"/>
        <v>854</v>
      </c>
    </row>
    <row r="25" spans="1:9" ht="12.75">
      <c r="A25" s="4" t="s">
        <v>29</v>
      </c>
      <c r="B25" s="46">
        <f t="shared" si="0"/>
        <v>437</v>
      </c>
      <c r="C25" s="42">
        <f>SUM(Census!H25)</f>
        <v>124</v>
      </c>
      <c r="D25" s="43">
        <f t="shared" si="1"/>
        <v>0.00541768612373296</v>
      </c>
      <c r="E25" s="28">
        <f t="shared" si="3"/>
        <v>133</v>
      </c>
      <c r="G25" s="46">
        <f>SUM(PB!J26)</f>
        <v>339</v>
      </c>
      <c r="H25" s="43">
        <f t="shared" si="2"/>
        <v>0.007375160055679319</v>
      </c>
      <c r="I25" s="46">
        <f t="shared" si="4"/>
        <v>304</v>
      </c>
    </row>
    <row r="26" spans="1:9" ht="12.75">
      <c r="A26" s="4" t="s">
        <v>30</v>
      </c>
      <c r="B26" s="46">
        <f t="shared" si="0"/>
        <v>191</v>
      </c>
      <c r="C26" s="42">
        <f>SUM(Census!H26)</f>
        <v>41</v>
      </c>
      <c r="D26" s="43">
        <f t="shared" si="1"/>
        <v>0.0017913317022020272</v>
      </c>
      <c r="E26" s="28">
        <f t="shared" si="3"/>
        <v>44</v>
      </c>
      <c r="G26" s="46">
        <f>SUM(PB!J27)</f>
        <v>164</v>
      </c>
      <c r="H26" s="43">
        <f t="shared" si="2"/>
        <v>0.003567924038735718</v>
      </c>
      <c r="I26" s="46">
        <f t="shared" si="4"/>
        <v>147</v>
      </c>
    </row>
    <row r="27" spans="1:9" ht="12.75">
      <c r="A27" s="4" t="s">
        <v>31</v>
      </c>
      <c r="B27" s="46">
        <f t="shared" si="0"/>
        <v>410</v>
      </c>
      <c r="C27" s="42">
        <f>SUM(Census!H27)</f>
        <v>83</v>
      </c>
      <c r="D27" s="43">
        <f t="shared" si="1"/>
        <v>0.003626354421530933</v>
      </c>
      <c r="E27" s="28">
        <f t="shared" si="3"/>
        <v>89</v>
      </c>
      <c r="G27" s="46">
        <f>SUM(PB!J28)</f>
        <v>357</v>
      </c>
      <c r="H27" s="43">
        <f t="shared" si="2"/>
        <v>0.007766761474564947</v>
      </c>
      <c r="I27" s="46">
        <f t="shared" si="4"/>
        <v>321</v>
      </c>
    </row>
    <row r="28" spans="1:9" ht="12.75">
      <c r="A28" s="4" t="s">
        <v>32</v>
      </c>
      <c r="B28" s="46">
        <f t="shared" si="0"/>
        <v>1734</v>
      </c>
      <c r="C28" s="42">
        <f>SUM(Census!H28)</f>
        <v>1477</v>
      </c>
      <c r="D28" s="43">
        <f t="shared" si="1"/>
        <v>0.06453163229639985</v>
      </c>
      <c r="E28" s="28">
        <f t="shared" si="3"/>
        <v>1585</v>
      </c>
      <c r="G28" s="46">
        <f>SUM(PB!J29)</f>
        <v>166</v>
      </c>
      <c r="H28" s="43">
        <f t="shared" si="2"/>
        <v>0.0036114353075007875</v>
      </c>
      <c r="I28" s="46">
        <f t="shared" si="4"/>
        <v>149</v>
      </c>
    </row>
    <row r="29" spans="1:9" ht="12.75">
      <c r="A29" s="4" t="s">
        <v>33</v>
      </c>
      <c r="B29" s="46">
        <f t="shared" si="0"/>
        <v>0</v>
      </c>
      <c r="C29" s="42"/>
      <c r="D29" s="42"/>
      <c r="E29" s="28"/>
      <c r="G29" s="46">
        <f>SUM(PB!J30)</f>
        <v>0</v>
      </c>
      <c r="H29" s="43"/>
      <c r="I29" s="46">
        <f>SUM(PB!L30)</f>
        <v>0</v>
      </c>
    </row>
    <row r="30" spans="1:9" ht="12.75">
      <c r="A30" s="4" t="s">
        <v>6</v>
      </c>
      <c r="B30" s="46">
        <f t="shared" si="0"/>
        <v>0</v>
      </c>
      <c r="C30" s="42"/>
      <c r="D30" s="42"/>
      <c r="E30" s="28"/>
      <c r="G30" s="46">
        <f>SUM(PB!J31)</f>
        <v>0</v>
      </c>
      <c r="H30" s="43"/>
      <c r="I30" s="46">
        <f>SUM(PB!L31)</f>
        <v>0</v>
      </c>
    </row>
    <row r="31" spans="1:9" ht="12.75">
      <c r="A31" s="4" t="s">
        <v>45</v>
      </c>
      <c r="B31" s="46">
        <f t="shared" si="0"/>
        <v>0</v>
      </c>
      <c r="C31" s="42"/>
      <c r="D31" s="42"/>
      <c r="E31" s="28"/>
      <c r="G31" s="46">
        <f>SUM(PB!K32)</f>
        <v>0</v>
      </c>
      <c r="H31" s="43"/>
      <c r="I31" s="46">
        <f>SUM(PB!M32)</f>
        <v>0</v>
      </c>
    </row>
    <row r="32" spans="1:9" ht="12.75">
      <c r="A32" s="4" t="s">
        <v>34</v>
      </c>
      <c r="B32" s="46">
        <f t="shared" si="0"/>
        <v>0</v>
      </c>
      <c r="C32" s="42"/>
      <c r="D32" s="42"/>
      <c r="E32" s="46"/>
      <c r="G32" s="46">
        <f>SUM(PB!K33)</f>
        <v>0</v>
      </c>
      <c r="H32" s="42"/>
      <c r="I32" s="46">
        <f>SUM(PB!M33)</f>
        <v>0</v>
      </c>
    </row>
    <row r="33" spans="1:9" ht="12.75">
      <c r="A33" s="4" t="s">
        <v>3</v>
      </c>
      <c r="B33" s="46">
        <f t="shared" si="0"/>
        <v>0</v>
      </c>
      <c r="C33" s="42"/>
      <c r="D33" s="42"/>
      <c r="E33" s="46"/>
      <c r="G33" s="46">
        <f>SUM(PB!K34)</f>
        <v>0</v>
      </c>
      <c r="H33" s="42"/>
      <c r="I33" s="46">
        <f>SUM(PB!M34)</f>
        <v>0</v>
      </c>
    </row>
    <row r="34" spans="1:9" ht="12.75">
      <c r="A34" s="4" t="s">
        <v>4</v>
      </c>
      <c r="B34" s="46">
        <f t="shared" si="0"/>
        <v>0</v>
      </c>
      <c r="C34" s="42"/>
      <c r="D34" s="42"/>
      <c r="E34" s="46"/>
      <c r="G34" s="46">
        <f>SUM(PB!K35)</f>
        <v>0</v>
      </c>
      <c r="H34" s="42"/>
      <c r="I34" s="46">
        <f>SUM(PB!M35)</f>
        <v>0</v>
      </c>
    </row>
    <row r="35" spans="1:9" ht="12.75">
      <c r="A35" s="4" t="s">
        <v>7</v>
      </c>
      <c r="B35" s="46">
        <f t="shared" si="0"/>
        <v>0</v>
      </c>
      <c r="C35" s="29"/>
      <c r="D35" s="29"/>
      <c r="E35" s="46"/>
      <c r="G35" s="46">
        <f>SUM(PB!K36)</f>
        <v>0</v>
      </c>
      <c r="H35" s="29"/>
      <c r="I35" s="46">
        <f>SUM(PB!M36)</f>
        <v>0</v>
      </c>
    </row>
    <row r="36" spans="1:9" ht="12.75">
      <c r="A36" s="4" t="s">
        <v>106</v>
      </c>
      <c r="B36" s="28">
        <f t="shared" si="0"/>
        <v>0</v>
      </c>
      <c r="C36" s="28"/>
      <c r="D36" s="29"/>
      <c r="E36" s="46"/>
      <c r="G36" s="28">
        <v>0</v>
      </c>
      <c r="H36" s="29"/>
      <c r="I36" s="28">
        <v>0</v>
      </c>
    </row>
    <row r="37" spans="1:9" ht="12.75">
      <c r="A37" s="4" t="s">
        <v>93</v>
      </c>
      <c r="B37" s="92">
        <f t="shared" si="0"/>
        <v>0</v>
      </c>
      <c r="C37" s="92"/>
      <c r="D37" s="93"/>
      <c r="E37" s="92"/>
      <c r="G37" s="92">
        <v>0</v>
      </c>
      <c r="H37" s="93"/>
      <c r="I37" s="92">
        <v>0</v>
      </c>
    </row>
    <row r="38" spans="1:9" ht="12.75">
      <c r="A38" s="99" t="s">
        <v>35</v>
      </c>
      <c r="B38" s="265">
        <f>SUM(B5:B28)</f>
        <v>65844</v>
      </c>
      <c r="C38" s="40">
        <f>SUM(C5:C37)</f>
        <v>22888</v>
      </c>
      <c r="D38" s="197">
        <f>SUM(D5:D37)</f>
        <v>1</v>
      </c>
      <c r="E38" s="45">
        <f>SUM(E5:E37)</f>
        <v>24566</v>
      </c>
      <c r="G38" s="33">
        <f>SUM(G5:G37)</f>
        <v>45965.104138851806</v>
      </c>
      <c r="H38" s="197">
        <f>SUM(H5:H37)</f>
        <v>0.9999999999999997</v>
      </c>
      <c r="I38" s="45">
        <f>SUM(I5:I37)</f>
        <v>41278</v>
      </c>
    </row>
    <row r="39" spans="1:7" ht="12.75">
      <c r="A39" s="143"/>
      <c r="B39" s="311"/>
      <c r="C39" s="96" t="s">
        <v>139</v>
      </c>
      <c r="E39" s="81"/>
      <c r="G39" s="82" t="s">
        <v>144</v>
      </c>
    </row>
    <row r="40" spans="1:4" ht="12.75">
      <c r="A40" s="96" t="s">
        <v>148</v>
      </c>
      <c r="B40" s="144"/>
      <c r="C40" s="144"/>
      <c r="D40" s="144"/>
    </row>
    <row r="41" spans="1:9" ht="12" customHeight="1" hidden="1">
      <c r="A41" s="144"/>
      <c r="B41" s="312">
        <f>SUM(B5:B28)</f>
        <v>65844</v>
      </c>
      <c r="C41" s="144"/>
      <c r="D41" s="144"/>
      <c r="E41" s="53">
        <f>SUM(E5:E29)</f>
        <v>24566</v>
      </c>
      <c r="I41" s="53">
        <f>SUM(I5:I28)</f>
        <v>41278</v>
      </c>
    </row>
    <row r="42" spans="1:4" ht="12.75">
      <c r="A42" s="96" t="s">
        <v>307</v>
      </c>
      <c r="B42" s="144"/>
      <c r="C42" s="144"/>
      <c r="D42" s="144"/>
    </row>
    <row r="43" spans="1:9" ht="12.75">
      <c r="A43" s="96"/>
      <c r="B43" s="96"/>
      <c r="C43" s="96"/>
      <c r="D43" s="96"/>
      <c r="E43" s="124">
        <v>24566</v>
      </c>
      <c r="I43" s="124">
        <f>3968+37310</f>
        <v>41278</v>
      </c>
    </row>
    <row r="44" spans="1:4" ht="12.75">
      <c r="A44" s="246"/>
      <c r="B44" s="144"/>
      <c r="C44" s="144"/>
      <c r="D44" s="144"/>
    </row>
  </sheetData>
  <mergeCells count="2">
    <mergeCell ref="C3:E3"/>
    <mergeCell ref="G3:I3"/>
  </mergeCells>
  <printOptions/>
  <pageMargins left="0.75" right="0.75" top="0.54" bottom="0.59" header="0.5" footer="0.5"/>
  <pageSetup fitToWidth="2"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2:F43"/>
  <sheetViews>
    <sheetView zoomScale="90" zoomScaleNormal="90" workbookViewId="0" topLeftCell="A4">
      <selection activeCell="B42" sqref="B42"/>
    </sheetView>
  </sheetViews>
  <sheetFormatPr defaultColWidth="9.140625" defaultRowHeight="12.75"/>
  <cols>
    <col min="1" max="1" width="9.7109375" style="0" customWidth="1"/>
    <col min="2" max="4" width="14.7109375" style="0" customWidth="1"/>
    <col min="5" max="5" width="2.00390625" style="0" customWidth="1"/>
  </cols>
  <sheetData>
    <row r="2" ht="18">
      <c r="A2" s="22" t="s">
        <v>91</v>
      </c>
    </row>
    <row r="3" spans="1:4" ht="12.75">
      <c r="A3" s="11"/>
      <c r="B3" s="355" t="s">
        <v>35</v>
      </c>
      <c r="C3" s="356"/>
      <c r="D3" s="357"/>
    </row>
    <row r="4" spans="1:4" ht="12.75">
      <c r="A4" s="12"/>
      <c r="B4" s="19" t="s">
        <v>36</v>
      </c>
      <c r="C4" s="19" t="s">
        <v>37</v>
      </c>
      <c r="D4" s="20" t="s">
        <v>38</v>
      </c>
    </row>
    <row r="5" spans="1:4" ht="12.75">
      <c r="A5" s="4" t="s">
        <v>0</v>
      </c>
      <c r="B5" s="13"/>
      <c r="C5" s="15"/>
      <c r="D5" s="31">
        <v>12810</v>
      </c>
    </row>
    <row r="6" spans="1:4" ht="12.75">
      <c r="A6" s="4" t="s">
        <v>10</v>
      </c>
      <c r="B6" s="13"/>
      <c r="C6" s="15"/>
      <c r="D6" s="28">
        <v>3768</v>
      </c>
    </row>
    <row r="7" spans="1:4" ht="12.75">
      <c r="A7" s="4" t="s">
        <v>11</v>
      </c>
      <c r="B7" s="13"/>
      <c r="C7" s="15"/>
      <c r="D7" s="28">
        <v>1897</v>
      </c>
    </row>
    <row r="8" spans="1:4" ht="12.75">
      <c r="A8" s="4" t="s">
        <v>12</v>
      </c>
      <c r="B8" s="13"/>
      <c r="C8" s="15"/>
      <c r="D8" s="28">
        <v>3564</v>
      </c>
    </row>
    <row r="9" spans="1:4" ht="12.75">
      <c r="A9" s="4" t="s">
        <v>13</v>
      </c>
      <c r="B9" s="13"/>
      <c r="C9" s="15"/>
      <c r="D9" s="28">
        <v>3410</v>
      </c>
    </row>
    <row r="10" spans="1:4" ht="12.75">
      <c r="A10" s="4" t="s">
        <v>14</v>
      </c>
      <c r="B10" s="13"/>
      <c r="C10" s="15"/>
      <c r="D10" s="28">
        <v>8139</v>
      </c>
    </row>
    <row r="11" spans="1:4" ht="12.75">
      <c r="A11" s="4" t="s">
        <v>15</v>
      </c>
      <c r="B11" s="13"/>
      <c r="C11" s="15"/>
      <c r="D11" s="28">
        <v>802</v>
      </c>
    </row>
    <row r="12" spans="1:4" ht="12.75">
      <c r="A12" s="4" t="s">
        <v>16</v>
      </c>
      <c r="B12" s="13"/>
      <c r="C12" s="15"/>
      <c r="D12" s="28">
        <v>3856</v>
      </c>
    </row>
    <row r="13" spans="1:4" ht="12.75">
      <c r="A13" s="4" t="s">
        <v>17</v>
      </c>
      <c r="B13" s="13"/>
      <c r="C13" s="15"/>
      <c r="D13" s="28">
        <v>1666</v>
      </c>
    </row>
    <row r="14" spans="1:4" ht="12.75">
      <c r="A14" s="4" t="s">
        <v>18</v>
      </c>
      <c r="B14" s="13"/>
      <c r="C14" s="15"/>
      <c r="D14" s="28">
        <v>1388</v>
      </c>
    </row>
    <row r="15" spans="1:4" ht="12.75">
      <c r="A15" s="4" t="s">
        <v>19</v>
      </c>
      <c r="B15" s="13"/>
      <c r="C15" s="15"/>
      <c r="D15" s="28">
        <v>1331</v>
      </c>
    </row>
    <row r="16" spans="1:4" ht="12.75">
      <c r="A16" s="4" t="s">
        <v>20</v>
      </c>
      <c r="B16" s="13"/>
      <c r="C16" s="15"/>
      <c r="D16" s="28">
        <v>1320</v>
      </c>
    </row>
    <row r="17" spans="1:4" ht="12.75">
      <c r="A17" s="4" t="s">
        <v>21</v>
      </c>
      <c r="B17" s="13"/>
      <c r="C17" s="15"/>
      <c r="D17" s="28">
        <v>722</v>
      </c>
    </row>
    <row r="18" spans="1:4" ht="12.75">
      <c r="A18" s="4" t="s">
        <v>22</v>
      </c>
      <c r="B18" s="13"/>
      <c r="C18" s="15"/>
      <c r="D18" s="28">
        <v>3845</v>
      </c>
    </row>
    <row r="19" spans="1:4" ht="12.75">
      <c r="A19" s="4" t="s">
        <v>23</v>
      </c>
      <c r="B19" s="13"/>
      <c r="C19" s="15"/>
      <c r="D19" s="28">
        <v>1086</v>
      </c>
    </row>
    <row r="20" spans="1:4" ht="12.75">
      <c r="A20" s="4" t="s">
        <v>24</v>
      </c>
      <c r="B20" s="13"/>
      <c r="C20" s="15"/>
      <c r="D20" s="28">
        <v>699</v>
      </c>
    </row>
    <row r="21" spans="1:4" ht="12.75">
      <c r="A21" s="4" t="s">
        <v>25</v>
      </c>
      <c r="B21" s="13"/>
      <c r="C21" s="15"/>
      <c r="D21" s="28">
        <v>207</v>
      </c>
    </row>
    <row r="22" spans="1:4" ht="12.75">
      <c r="A22" s="4" t="s">
        <v>26</v>
      </c>
      <c r="B22" s="13"/>
      <c r="C22" s="15"/>
      <c r="D22" s="28">
        <v>1768</v>
      </c>
    </row>
    <row r="23" spans="1:4" ht="12.75">
      <c r="A23" s="4" t="s">
        <v>27</v>
      </c>
      <c r="B23" s="13"/>
      <c r="C23" s="15"/>
      <c r="D23" s="28">
        <v>219</v>
      </c>
    </row>
    <row r="24" spans="1:4" ht="12.75">
      <c r="A24" s="4" t="s">
        <v>28</v>
      </c>
      <c r="B24" s="13"/>
      <c r="C24" s="15"/>
      <c r="D24" s="28">
        <v>321</v>
      </c>
    </row>
    <row r="25" spans="1:4" ht="12.75">
      <c r="A25" s="4" t="s">
        <v>29</v>
      </c>
      <c r="B25" s="13"/>
      <c r="C25" s="15"/>
      <c r="D25" s="28">
        <v>345</v>
      </c>
    </row>
    <row r="26" spans="1:4" ht="12.75">
      <c r="A26" s="4" t="s">
        <v>30</v>
      </c>
      <c r="B26" s="13"/>
      <c r="C26" s="15"/>
      <c r="D26" s="28">
        <v>84</v>
      </c>
    </row>
    <row r="27" spans="1:4" ht="12.75">
      <c r="A27" s="4" t="s">
        <v>31</v>
      </c>
      <c r="B27" s="13"/>
      <c r="C27" s="15"/>
      <c r="D27" s="28">
        <v>307</v>
      </c>
    </row>
    <row r="28" spans="1:4" ht="12.75">
      <c r="A28" s="4" t="s">
        <v>32</v>
      </c>
      <c r="B28" s="13"/>
      <c r="C28" s="15"/>
      <c r="D28" s="28">
        <v>4064</v>
      </c>
    </row>
    <row r="29" spans="1:4" ht="12.75">
      <c r="A29" s="4" t="s">
        <v>33</v>
      </c>
      <c r="B29" s="13"/>
      <c r="C29" s="15"/>
      <c r="D29" s="28">
        <v>1124</v>
      </c>
    </row>
    <row r="30" spans="1:6" ht="12.75">
      <c r="A30" s="4" t="s">
        <v>6</v>
      </c>
      <c r="B30" s="13"/>
      <c r="C30" s="15"/>
      <c r="D30" s="28">
        <f>ROUND(2101*0.48,0)</f>
        <v>1008</v>
      </c>
      <c r="F30" s="38"/>
    </row>
    <row r="31" spans="1:4" ht="12.75">
      <c r="A31" s="4" t="s">
        <v>45</v>
      </c>
      <c r="B31" s="13"/>
      <c r="C31" s="15"/>
      <c r="D31" s="28">
        <f>ROUND(2101*0.52,0)</f>
        <v>1093</v>
      </c>
    </row>
    <row r="32" spans="1:4" ht="12.75">
      <c r="A32" s="4" t="s">
        <v>34</v>
      </c>
      <c r="B32" s="13"/>
      <c r="C32" s="15"/>
      <c r="D32" s="28">
        <v>7583</v>
      </c>
    </row>
    <row r="33" spans="1:4" ht="12.75">
      <c r="A33" s="4" t="s">
        <v>3</v>
      </c>
      <c r="B33" s="13"/>
      <c r="C33" s="15"/>
      <c r="D33" s="64">
        <v>803</v>
      </c>
    </row>
    <row r="34" spans="1:4" ht="12.75">
      <c r="A34" s="4" t="s">
        <v>4</v>
      </c>
      <c r="B34" s="13"/>
      <c r="C34" s="15"/>
      <c r="D34" s="28">
        <v>2211</v>
      </c>
    </row>
    <row r="35" spans="1:4" ht="12.75">
      <c r="A35" s="4" t="s">
        <v>7</v>
      </c>
      <c r="B35" s="29">
        <v>0</v>
      </c>
      <c r="C35" s="29">
        <v>0</v>
      </c>
      <c r="D35" s="46">
        <v>0</v>
      </c>
    </row>
    <row r="36" spans="1:4" ht="12.75">
      <c r="A36" s="4" t="s">
        <v>106</v>
      </c>
      <c r="B36" s="28"/>
      <c r="C36" s="29"/>
      <c r="D36" s="46">
        <v>0</v>
      </c>
    </row>
    <row r="37" spans="1:4" ht="12.75">
      <c r="A37" s="4" t="s">
        <v>93</v>
      </c>
      <c r="B37" s="16"/>
      <c r="C37" s="15"/>
      <c r="D37" s="33">
        <v>944</v>
      </c>
    </row>
    <row r="38" spans="1:4" ht="12.75">
      <c r="A38" s="99" t="s">
        <v>35</v>
      </c>
      <c r="B38" s="16"/>
      <c r="C38" s="132"/>
      <c r="D38" s="50">
        <f>SUM(D5:D37)</f>
        <v>72384</v>
      </c>
    </row>
    <row r="39" ht="12.75">
      <c r="A39" s="96" t="s">
        <v>143</v>
      </c>
    </row>
    <row r="40" ht="12.75">
      <c r="D40" s="88"/>
    </row>
    <row r="41" spans="1:6" ht="12.75">
      <c r="A41" s="276"/>
      <c r="B41" s="63"/>
      <c r="C41" s="63"/>
      <c r="D41" s="63"/>
      <c r="E41" s="63"/>
      <c r="F41" s="201"/>
    </row>
    <row r="42" spans="1:5" ht="12.75">
      <c r="A42" s="276"/>
      <c r="B42" s="63"/>
      <c r="C42" s="63"/>
      <c r="D42" s="63"/>
      <c r="E42" s="63"/>
    </row>
    <row r="43" spans="1:5" ht="12.75">
      <c r="A43" s="276"/>
      <c r="B43" s="63"/>
      <c r="C43" s="63"/>
      <c r="D43" s="63"/>
      <c r="E43" s="63"/>
    </row>
  </sheetData>
  <mergeCells count="1">
    <mergeCell ref="B3:D3"/>
  </mergeCells>
  <printOptions/>
  <pageMargins left="0.75" right="0.75" top="0.54" bottom="0.59" header="0.5" footer="0.5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H39"/>
  <sheetViews>
    <sheetView zoomScale="90" zoomScaleNormal="90" workbookViewId="0" topLeftCell="A7">
      <selection activeCell="B42" sqref="B42"/>
    </sheetView>
  </sheetViews>
  <sheetFormatPr defaultColWidth="9.140625" defaultRowHeight="12.75"/>
  <cols>
    <col min="2" max="2" width="11.7109375" style="0" customWidth="1"/>
    <col min="3" max="3" width="12.8515625" style="0" customWidth="1"/>
    <col min="4" max="4" width="13.8515625" style="0" customWidth="1"/>
  </cols>
  <sheetData>
    <row r="1" spans="1:5" ht="18">
      <c r="A1" s="361" t="s">
        <v>110</v>
      </c>
      <c r="B1" s="361"/>
      <c r="C1" s="361"/>
      <c r="D1" s="361"/>
      <c r="E1" t="s">
        <v>135</v>
      </c>
    </row>
    <row r="2" spans="1:4" ht="18">
      <c r="A2" s="362" t="s">
        <v>111</v>
      </c>
      <c r="B2" s="362"/>
      <c r="C2" s="362"/>
      <c r="D2" s="362"/>
    </row>
    <row r="3" spans="1:4" ht="13.5" customHeight="1">
      <c r="A3" s="11"/>
      <c r="B3" s="355" t="s">
        <v>35</v>
      </c>
      <c r="C3" s="356"/>
      <c r="D3" s="357"/>
    </row>
    <row r="4" spans="1:4" ht="13.5" customHeight="1">
      <c r="A4" s="12"/>
      <c r="B4" s="19" t="s">
        <v>36</v>
      </c>
      <c r="C4" s="19" t="s">
        <v>37</v>
      </c>
      <c r="D4" s="20" t="s">
        <v>38</v>
      </c>
    </row>
    <row r="5" spans="1:4" ht="13.5" customHeight="1">
      <c r="A5" s="4" t="s">
        <v>0</v>
      </c>
      <c r="B5" s="13"/>
      <c r="C5" s="15"/>
      <c r="D5" s="28">
        <v>2054</v>
      </c>
    </row>
    <row r="6" spans="1:4" ht="12.75">
      <c r="A6" s="4" t="s">
        <v>10</v>
      </c>
      <c r="B6" s="13"/>
      <c r="C6" s="15"/>
      <c r="D6" s="28">
        <v>532</v>
      </c>
    </row>
    <row r="7" spans="1:4" ht="12.75">
      <c r="A7" s="4" t="s">
        <v>11</v>
      </c>
      <c r="B7" s="13"/>
      <c r="C7" s="15"/>
      <c r="D7" s="28">
        <v>222</v>
      </c>
    </row>
    <row r="8" spans="1:4" ht="12.75">
      <c r="A8" s="4" t="s">
        <v>12</v>
      </c>
      <c r="B8" s="13"/>
      <c r="C8" s="15"/>
      <c r="D8" s="28">
        <v>474</v>
      </c>
    </row>
    <row r="9" spans="1:4" ht="12.75">
      <c r="A9" s="4" t="s">
        <v>13</v>
      </c>
      <c r="B9" s="13"/>
      <c r="C9" s="15"/>
      <c r="D9" s="28">
        <v>446</v>
      </c>
    </row>
    <row r="10" spans="1:4" ht="12.75">
      <c r="A10" s="4" t="s">
        <v>14</v>
      </c>
      <c r="B10" s="13"/>
      <c r="C10" s="15"/>
      <c r="D10" s="28">
        <v>1347</v>
      </c>
    </row>
    <row r="11" spans="1:4" ht="12.75">
      <c r="A11" s="4" t="s">
        <v>15</v>
      </c>
      <c r="B11" s="13"/>
      <c r="C11" s="15"/>
      <c r="D11" s="28">
        <v>94</v>
      </c>
    </row>
    <row r="12" spans="1:4" ht="12.75">
      <c r="A12" s="4" t="s">
        <v>16</v>
      </c>
      <c r="B12" s="13"/>
      <c r="C12" s="15"/>
      <c r="D12" s="28">
        <v>534</v>
      </c>
    </row>
    <row r="13" spans="1:4" ht="12.75">
      <c r="A13" s="4" t="s">
        <v>17</v>
      </c>
      <c r="B13" s="13"/>
      <c r="C13" s="15"/>
      <c r="D13" s="28">
        <v>206</v>
      </c>
    </row>
    <row r="14" spans="1:4" ht="12.75">
      <c r="A14" s="4" t="s">
        <v>18</v>
      </c>
      <c r="B14" s="13"/>
      <c r="C14" s="15"/>
      <c r="D14" s="28">
        <v>426</v>
      </c>
    </row>
    <row r="15" spans="1:4" ht="12.75">
      <c r="A15" s="4" t="s">
        <v>19</v>
      </c>
      <c r="B15" s="13"/>
      <c r="C15" s="15"/>
      <c r="D15" s="28">
        <v>317</v>
      </c>
    </row>
    <row r="16" spans="1:4" ht="12.75">
      <c r="A16" s="4" t="s">
        <v>20</v>
      </c>
      <c r="B16" s="13"/>
      <c r="C16" s="15"/>
      <c r="D16" s="28">
        <v>173</v>
      </c>
    </row>
    <row r="17" spans="1:4" ht="12.75">
      <c r="A17" s="4" t="s">
        <v>21</v>
      </c>
      <c r="B17" s="13"/>
      <c r="C17" s="15"/>
      <c r="D17" s="28">
        <v>115</v>
      </c>
    </row>
    <row r="18" spans="1:4" ht="12.75">
      <c r="A18" s="4" t="s">
        <v>22</v>
      </c>
      <c r="B18" s="13"/>
      <c r="C18" s="15"/>
      <c r="D18" s="28">
        <v>535</v>
      </c>
    </row>
    <row r="19" spans="1:4" ht="12.75">
      <c r="A19" s="4" t="s">
        <v>23</v>
      </c>
      <c r="B19" s="13"/>
      <c r="C19" s="15"/>
      <c r="D19" s="28">
        <v>277</v>
      </c>
    </row>
    <row r="20" spans="1:4" ht="12.75">
      <c r="A20" s="4" t="s">
        <v>24</v>
      </c>
      <c r="B20" s="13"/>
      <c r="C20" s="15"/>
      <c r="D20" s="28">
        <v>140</v>
      </c>
    </row>
    <row r="21" spans="1:4" ht="12.75">
      <c r="A21" s="4" t="s">
        <v>25</v>
      </c>
      <c r="B21" s="13"/>
      <c r="C21" s="15"/>
      <c r="D21" s="28">
        <v>29</v>
      </c>
    </row>
    <row r="22" spans="1:4" ht="12.75">
      <c r="A22" s="4" t="s">
        <v>26</v>
      </c>
      <c r="B22" s="13"/>
      <c r="C22" s="15"/>
      <c r="D22" s="28">
        <v>243</v>
      </c>
    </row>
    <row r="23" spans="1:4" ht="12.75">
      <c r="A23" s="4" t="s">
        <v>27</v>
      </c>
      <c r="B23" s="13"/>
      <c r="C23" s="15"/>
      <c r="D23" s="28">
        <v>38</v>
      </c>
    </row>
    <row r="24" spans="1:4" ht="12.75">
      <c r="A24" s="4" t="s">
        <v>28</v>
      </c>
      <c r="B24" s="13"/>
      <c r="C24" s="15"/>
      <c r="D24" s="28">
        <v>66</v>
      </c>
    </row>
    <row r="25" spans="1:4" ht="12.75">
      <c r="A25" s="4" t="s">
        <v>29</v>
      </c>
      <c r="B25" s="13"/>
      <c r="C25" s="15"/>
      <c r="D25" s="28">
        <v>53</v>
      </c>
    </row>
    <row r="26" spans="1:4" ht="12.75">
      <c r="A26" s="4" t="s">
        <v>30</v>
      </c>
      <c r="B26" s="13"/>
      <c r="C26" s="15"/>
      <c r="D26" s="28">
        <v>18</v>
      </c>
    </row>
    <row r="27" spans="1:4" ht="12.75">
      <c r="A27" s="4" t="s">
        <v>31</v>
      </c>
      <c r="B27" s="13"/>
      <c r="C27" s="15"/>
      <c r="D27" s="28">
        <v>36</v>
      </c>
    </row>
    <row r="28" spans="1:4" ht="12.75">
      <c r="A28" s="4" t="s">
        <v>32</v>
      </c>
      <c r="B28" s="13"/>
      <c r="C28" s="15"/>
      <c r="D28" s="28">
        <v>588</v>
      </c>
    </row>
    <row r="29" spans="1:4" ht="12.75">
      <c r="A29" s="4" t="s">
        <v>33</v>
      </c>
      <c r="B29" s="13"/>
      <c r="C29" s="15"/>
      <c r="D29" s="28">
        <v>132</v>
      </c>
    </row>
    <row r="30" spans="1:4" ht="12.75">
      <c r="A30" s="4" t="s">
        <v>6</v>
      </c>
      <c r="B30" s="13"/>
      <c r="C30" s="15"/>
      <c r="D30" s="28">
        <f>ROUND(428*0.48,0)</f>
        <v>205</v>
      </c>
    </row>
    <row r="31" spans="1:4" ht="12.75">
      <c r="A31" s="4" t="s">
        <v>45</v>
      </c>
      <c r="B31" s="13"/>
      <c r="C31" s="15"/>
      <c r="D31" s="28">
        <f>ROUND(428*0.52,0)</f>
        <v>223</v>
      </c>
    </row>
    <row r="32" spans="1:4" ht="12.75">
      <c r="A32" s="4" t="s">
        <v>34</v>
      </c>
      <c r="B32" s="13"/>
      <c r="C32" s="15"/>
      <c r="D32" s="28">
        <v>908</v>
      </c>
    </row>
    <row r="33" spans="1:8" ht="12.75">
      <c r="A33" s="4" t="s">
        <v>3</v>
      </c>
      <c r="B33" s="13"/>
      <c r="C33" s="15"/>
      <c r="D33" s="28">
        <v>179</v>
      </c>
      <c r="H33" s="53"/>
    </row>
    <row r="34" spans="1:8" ht="12.75">
      <c r="A34" s="4" t="s">
        <v>4</v>
      </c>
      <c r="B34" s="13"/>
      <c r="C34" s="15"/>
      <c r="D34" s="28">
        <v>380</v>
      </c>
      <c r="H34" t="s">
        <v>153</v>
      </c>
    </row>
    <row r="35" spans="1:4" ht="12.75">
      <c r="A35" s="4" t="s">
        <v>7</v>
      </c>
      <c r="B35" s="29">
        <v>0</v>
      </c>
      <c r="C35" s="29">
        <v>0</v>
      </c>
      <c r="D35" s="28">
        <v>0</v>
      </c>
    </row>
    <row r="36" spans="1:4" ht="12.75">
      <c r="A36" s="4" t="s">
        <v>106</v>
      </c>
      <c r="B36" s="28"/>
      <c r="C36" s="29"/>
      <c r="D36" s="28">
        <v>0</v>
      </c>
    </row>
    <row r="37" spans="1:4" ht="12.75">
      <c r="A37" s="4" t="s">
        <v>93</v>
      </c>
      <c r="B37" s="16"/>
      <c r="C37" s="15"/>
      <c r="D37" s="33">
        <v>163</v>
      </c>
    </row>
    <row r="38" spans="1:4" ht="12.75">
      <c r="A38" s="99" t="s">
        <v>35</v>
      </c>
      <c r="B38" s="16"/>
      <c r="C38" s="132"/>
      <c r="D38" s="50">
        <f>SUM(D5:D37)</f>
        <v>11153</v>
      </c>
    </row>
    <row r="39" ht="12.75">
      <c r="A39" s="96" t="s">
        <v>143</v>
      </c>
    </row>
  </sheetData>
  <mergeCells count="3">
    <mergeCell ref="B3:D3"/>
    <mergeCell ref="A1:D1"/>
    <mergeCell ref="A2:D2"/>
  </mergeCells>
  <printOptions/>
  <pageMargins left="0.75" right="0.75" top="0.54" bottom="0.59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StoneC</dc:creator>
  <cp:keywords/>
  <dc:description/>
  <cp:lastModifiedBy> </cp:lastModifiedBy>
  <cp:lastPrinted>2008-01-08T17:00:00Z</cp:lastPrinted>
  <dcterms:created xsi:type="dcterms:W3CDTF">2002-06-03T18:58:59Z</dcterms:created>
  <dcterms:modified xsi:type="dcterms:W3CDTF">2008-01-22T19:46:45Z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