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45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<sst xmlns="http://schemas.openxmlformats.org/spreadsheetml/2006/main" count="172" uniqueCount="134">
  <si>
    <t xml:space="preserve"> </t>
  </si>
  <si>
    <t>Industrial Boilers:</t>
  </si>
  <si>
    <t>Commercial Boilers:</t>
  </si>
  <si>
    <t>Food Manufacturing</t>
  </si>
  <si>
    <t>Petroleum Refining</t>
  </si>
  <si>
    <t>Metals</t>
  </si>
  <si>
    <t>Other Manufacturing</t>
  </si>
  <si>
    <t>Major Boiler Type and Primary Industry Category</t>
  </si>
  <si>
    <t xml:space="preserve">311, 312, </t>
  </si>
  <si>
    <t>MMBtu/hr</t>
  </si>
  <si>
    <t>Maximum Total Boiler Capacity</t>
  </si>
  <si>
    <t>Natural Gas</t>
  </si>
  <si>
    <t>biomass</t>
  </si>
  <si>
    <t>Comments</t>
  </si>
  <si>
    <t xml:space="preserve">322, </t>
  </si>
  <si>
    <t>Chemicals and Allied Products</t>
  </si>
  <si>
    <t xml:space="preserve">325, </t>
  </si>
  <si>
    <t>Natural gas, coal, coke,</t>
  </si>
  <si>
    <t>Increase in GHG</t>
  </si>
  <si>
    <t>Not net</t>
  </si>
  <si>
    <t>primary refinery gas, natural gas</t>
  </si>
  <si>
    <t>coke, breeze, natural gas</t>
  </si>
  <si>
    <t>Office</t>
  </si>
  <si>
    <t>Warehouse</t>
  </si>
  <si>
    <t>Retail</t>
  </si>
  <si>
    <t>Education</t>
  </si>
  <si>
    <t>Public Assembly</t>
  </si>
  <si>
    <t>Other</t>
  </si>
  <si>
    <t xml:space="preserve">624, </t>
  </si>
  <si>
    <t>441, 445-454</t>
  </si>
  <si>
    <t>Natural gas</t>
  </si>
  <si>
    <t>Construction</t>
  </si>
  <si>
    <t>Total</t>
  </si>
  <si>
    <t>Grand Total</t>
  </si>
  <si>
    <t>Other Boilers:</t>
  </si>
  <si>
    <t>Common Non Manufacturing Boilers:</t>
  </si>
  <si>
    <t>All Mining</t>
  </si>
  <si>
    <t>Waste to Energy (MSW)</t>
  </si>
  <si>
    <t>* Total of 93 NHW cement kiln Facilities</t>
  </si>
  <si>
    <t>Sub Total:</t>
  </si>
  <si>
    <t>coal, petroleum, dry natural gas</t>
  </si>
  <si>
    <t>---</t>
  </si>
  <si>
    <t>scrap tires</t>
  </si>
  <si>
    <t>natural gas, oil, coal, coke</t>
  </si>
  <si>
    <t>Qualitative Overview - User Benefits of Solid Waste Use for Fuel</t>
  </si>
  <si>
    <t>Pulp and Paper Mills</t>
  </si>
  <si>
    <t>Electric Utility Boilers</t>
  </si>
  <si>
    <t>Estimated Total Number of Non Hazardous and Non 129 Boilers Capable of Burning WDF</t>
  </si>
  <si>
    <t>based on biomass and scrap tires only</t>
  </si>
  <si>
    <t>estimated based on black liquor plus scrap tires</t>
  </si>
  <si>
    <t>-----</t>
  </si>
  <si>
    <t>MSW</t>
  </si>
  <si>
    <t>Btu based on EIA average all MSW</t>
  </si>
  <si>
    <t>down from three facilities in 1998, biomass tax credits can hurt TDF facilities competitiveness</t>
  </si>
  <si>
    <t>TDF can limit kiln capacity, scrap tires tipping fees can be as much as $30 ton.</t>
  </si>
  <si>
    <t>NAICS</t>
  </si>
  <si>
    <t>Agriculture (crop &amp; livestock production)</t>
  </si>
  <si>
    <t>natural gas, oil</t>
  </si>
  <si>
    <t>by products (Other: plastics, scrap tires)</t>
  </si>
  <si>
    <t>331, 332</t>
  </si>
  <si>
    <t>313, 339, 321, 333, 336, 511, 326, 316, 327</t>
  </si>
  <si>
    <t>721, 722</t>
  </si>
  <si>
    <t>Lodging, Restaurant</t>
  </si>
  <si>
    <t>Most Common Solid Waste Ingredients Potentially Affected</t>
  </si>
  <si>
    <t>Benefits from avoiding landfill, moisture content is the biggest problem with biomass.</t>
  </si>
  <si>
    <t>black liquor, Coal, Natural Gas</t>
  </si>
  <si>
    <t>wood biomass</t>
  </si>
  <si>
    <t>Includes prison systems NAICS 922140)</t>
  </si>
  <si>
    <t>922140, others</t>
  </si>
  <si>
    <t>black liquor (Other: pulping, scrap tires, wood biomass)</t>
  </si>
  <si>
    <t>used oil, scrap tires</t>
  </si>
  <si>
    <t>tons/yr</t>
  </si>
  <si>
    <t>MMBtu/yr</t>
  </si>
  <si>
    <t>biomass, scrap tires?</t>
  </si>
  <si>
    <t>scrap tires?</t>
  </si>
  <si>
    <t>Health Care Facilities</t>
  </si>
  <si>
    <t>scrap wood and materials</t>
  </si>
  <si>
    <t>biomass, manure</t>
  </si>
  <si>
    <t>Boilers</t>
  </si>
  <si>
    <r>
      <t xml:space="preserve">Total Btu Value Secondary Fuel </t>
    </r>
    <r>
      <rPr>
        <sz val="8"/>
        <rFont val="Times New Roman"/>
        <family val="1"/>
      </rPr>
      <t>(Based on Average Capacity Factor and Adjusted MCR for Industrial) and Btu value where Appropriate</t>
    </r>
  </si>
  <si>
    <t>Most Common Primary Fuel(s)</t>
  </si>
  <si>
    <t>assumed Btu value average of 6500/lb for all in this sector</t>
  </si>
  <si>
    <t>Weighted average secondary fuel percent, assumed 7% average capacity factor and 5% MCR, 5000 average Btu for secondary fuels</t>
  </si>
  <si>
    <t>Estimated Solid Waste Derived Fuel Used Per Year</t>
  </si>
  <si>
    <t>gallons gasoline equivalent</t>
  </si>
  <si>
    <t>----------</t>
  </si>
  <si>
    <t>--------------------</t>
  </si>
  <si>
    <t>---------------------</t>
  </si>
  <si>
    <t>-------------</t>
  </si>
  <si>
    <t>------------------------</t>
  </si>
  <si>
    <t>----------------------</t>
  </si>
  <si>
    <t>-------------------------</t>
  </si>
  <si>
    <t>---------------</t>
  </si>
  <si>
    <t>--------------------------------</t>
  </si>
  <si>
    <t>-------------------</t>
  </si>
  <si>
    <t>-------------------------------</t>
  </si>
  <si>
    <t>----------------------------</t>
  </si>
  <si>
    <t>-----------------------------</t>
  </si>
  <si>
    <t>---------------------------</t>
  </si>
  <si>
    <t>------------------------------</t>
  </si>
  <si>
    <t>-----------------------------------</t>
  </si>
  <si>
    <t>-----------------</t>
  </si>
  <si>
    <t>(MTCE/yr)</t>
  </si>
  <si>
    <t>Energy Savings/yr</t>
  </si>
  <si>
    <t xml:space="preserve">Estimated Total Solid Waste Derived Fuel Value                   </t>
  </si>
  <si>
    <t>based on WARM</t>
  </si>
  <si>
    <t>GHG Impacts</t>
  </si>
  <si>
    <t>No further info identified within available time.</t>
  </si>
  <si>
    <t>MSW, (also some scrap tires)</t>
  </si>
  <si>
    <t xml:space="preserve">foundry sands, slags, bottom ash, mill scale, spent lime, CKD, scrap tires </t>
  </si>
  <si>
    <t>fuel cost savings, readily available source, avoided landfill disposal costs</t>
  </si>
  <si>
    <t>fuel cost savings, readily available sources, avoided landfill disposal costs</t>
  </si>
  <si>
    <t>fuel cost savings</t>
  </si>
  <si>
    <t>food scraps, scrap textile materials</t>
  </si>
  <si>
    <t>Adjusted up by 8.9 percent to account for missing information on non manufacturing boilers</t>
  </si>
  <si>
    <r>
      <t xml:space="preserve">Average Percent Solid Waste Fuel                </t>
    </r>
    <r>
      <rPr>
        <i/>
        <sz val="8"/>
        <rFont val="Arial"/>
        <family val="2"/>
      </rPr>
      <t>(% of total Btu generated)</t>
    </r>
    <r>
      <rPr>
        <b/>
        <sz val="10"/>
        <rFont val="Arial"/>
        <family val="2"/>
      </rPr>
      <t xml:space="preserve"> </t>
    </r>
  </si>
  <si>
    <t>Baseline Annual Environmental Benefits of Secondary Fuel Use</t>
  </si>
  <si>
    <t>very convenient and reliable on-site source, fuel cost savings, avoided landfill disposal costs</t>
  </si>
  <si>
    <t>convenient on-site source for some materials, fuel cost savings</t>
  </si>
  <si>
    <t>wood biomass, paper, scrap tires</t>
  </si>
  <si>
    <t>readily available supply, fuel cost savings</t>
  </si>
  <si>
    <t>Non HW Burning Cement Kilns*</t>
  </si>
  <si>
    <t xml:space="preserve">maintain a diversified source of fuel, tax incentives, occasional government grants and loans, fuel cost savings plus tipping revenues </t>
  </si>
  <si>
    <t>Specialty (Dedicated Tire-Derived Fuel)</t>
  </si>
  <si>
    <t>Most Common Secondary/Solid Waste Fuel(s)</t>
  </si>
  <si>
    <t>Main: scrap tires.  Lesser used: plastics, paint wastes, spent lubricants, wood chips, diapers, solvents, used oil, MSW, sewage sludge, cattle renderings.</t>
  </si>
  <si>
    <t>biomass, scrap tires, used oil</t>
  </si>
  <si>
    <t>Total Annual Tire Btu</t>
  </si>
  <si>
    <t xml:space="preserve">Btu Value One Barrel oil </t>
  </si>
  <si>
    <t>Total U.S. barrels oil per annual TDF</t>
  </si>
  <si>
    <t>** Does not include industrial furnaces, brick kilns, etc.</t>
  </si>
  <si>
    <t>Adjusted Grand Total</t>
  </si>
  <si>
    <t>179,141**</t>
  </si>
  <si>
    <t>Identification of Nonhazardous Materials That Are Solid Waste.   EPA Exhibit 1: Preliminary Estimate of Total Non Hazardous Secondary Materials  Used Annually in Boilers and Kilns.  Sept. 24, 2008.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</si>
</sst>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 horizontal="center"/>
    </xf>
    <xf numFmtId="4" fontId="0" fillId="0" borderId="0" xfId="0" applyNumberFormat="1" applyFont="1" applyAlignment="1" quotePrefix="1">
      <alignment horizontal="center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 quotePrefix="1">
      <alignment horizontal="center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 vertical="center" wrapText="1"/>
    </xf>
    <xf numFmtId="10" fontId="2" fillId="0" borderId="0" xfId="0" applyNumberFormat="1" applyFont="1" applyAlignment="1" quotePrefix="1">
      <alignment horizontal="center"/>
    </xf>
    <xf numFmtId="0" fontId="0" fillId="0" borderId="0" xfId="0" applyAlignment="1" quotePrefix="1">
      <alignment horizontal="center" vertical="center" wrapText="1"/>
    </xf>
    <xf numFmtId="0" fontId="0" fillId="0" borderId="0" xfId="0" applyAlignment="1" quotePrefix="1">
      <alignment horizontal="center" wrapText="1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 quotePrefix="1">
      <alignment horizontal="center"/>
    </xf>
    <xf numFmtId="10" fontId="10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5"/>
  <sheetViews>
    <sheetView tabSelected="1" workbookViewId="0" topLeftCell="A1">
      <pane xSplit="1" ySplit="5" topLeftCell="L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P1"/>
    </sheetView>
  </sheetViews>
  <sheetFormatPr defaultColWidth="9.140625" defaultRowHeight="12.75"/>
  <cols>
    <col min="1" max="1" width="35.7109375" style="0" customWidth="1"/>
    <col min="2" max="2" width="15.7109375" style="0" customWidth="1"/>
    <col min="3" max="3" width="20.7109375" style="0" customWidth="1"/>
    <col min="4" max="4" width="15.7109375" style="0" customWidth="1"/>
    <col min="5" max="5" width="28.7109375" style="0" customWidth="1"/>
    <col min="6" max="6" width="34.7109375" style="0" customWidth="1"/>
    <col min="7" max="10" width="20.7109375" style="0" customWidth="1"/>
    <col min="11" max="11" width="15.7109375" style="0" customWidth="1"/>
    <col min="12" max="12" width="20.7109375" style="0" customWidth="1"/>
    <col min="13" max="13" width="35.7109375" style="0" customWidth="1"/>
    <col min="14" max="14" width="30.7109375" style="0" customWidth="1"/>
    <col min="16" max="16" width="25.7109375" style="0" customWidth="1"/>
  </cols>
  <sheetData>
    <row r="1" spans="1:16" ht="15.75">
      <c r="A1" s="52" t="s">
        <v>133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69">
      <c r="A3" s="1" t="s">
        <v>7</v>
      </c>
      <c r="B3" s="3" t="s">
        <v>55</v>
      </c>
      <c r="C3" s="3" t="s">
        <v>47</v>
      </c>
      <c r="D3" s="3" t="s">
        <v>10</v>
      </c>
      <c r="E3" s="3" t="s">
        <v>80</v>
      </c>
      <c r="F3" s="3" t="s">
        <v>124</v>
      </c>
      <c r="G3" s="3" t="s">
        <v>115</v>
      </c>
      <c r="H3" s="11" t="s">
        <v>79</v>
      </c>
      <c r="I3" s="11" t="s">
        <v>104</v>
      </c>
      <c r="J3" s="11" t="s">
        <v>83</v>
      </c>
      <c r="K3" s="49" t="s">
        <v>116</v>
      </c>
      <c r="L3" s="49"/>
      <c r="M3" s="3" t="s">
        <v>44</v>
      </c>
      <c r="N3" s="3" t="s">
        <v>13</v>
      </c>
      <c r="O3" s="2"/>
      <c r="P3" s="3" t="s">
        <v>63</v>
      </c>
    </row>
    <row r="4" spans="3:14" ht="12.75">
      <c r="C4" s="6" t="s">
        <v>78</v>
      </c>
      <c r="D4" s="9" t="s">
        <v>9</v>
      </c>
      <c r="H4" s="9" t="s">
        <v>9</v>
      </c>
      <c r="I4" s="9" t="s">
        <v>72</v>
      </c>
      <c r="J4" s="9" t="s">
        <v>71</v>
      </c>
      <c r="K4" s="7" t="s">
        <v>106</v>
      </c>
      <c r="L4" s="7" t="s">
        <v>103</v>
      </c>
      <c r="N4" t="s">
        <v>19</v>
      </c>
    </row>
    <row r="5" spans="11:12" ht="12.75">
      <c r="K5" s="7" t="s">
        <v>102</v>
      </c>
      <c r="L5" s="38" t="s">
        <v>84</v>
      </c>
    </row>
    <row r="6" spans="11:16" ht="12.75">
      <c r="K6" t="s">
        <v>105</v>
      </c>
      <c r="P6" s="31"/>
    </row>
    <row r="7" spans="1:16" ht="12.75">
      <c r="A7" s="4" t="s">
        <v>1</v>
      </c>
      <c r="M7" s="30"/>
      <c r="P7" s="31"/>
    </row>
    <row r="8" spans="1:16" ht="38.25">
      <c r="A8" s="5" t="s">
        <v>3</v>
      </c>
      <c r="B8" s="6" t="s">
        <v>8</v>
      </c>
      <c r="C8" s="8">
        <v>10610</v>
      </c>
      <c r="D8" s="8">
        <v>209735</v>
      </c>
      <c r="E8" s="6" t="s">
        <v>11</v>
      </c>
      <c r="F8" s="30" t="s">
        <v>12</v>
      </c>
      <c r="G8" s="12">
        <f>1-0.58</f>
        <v>0.42000000000000004</v>
      </c>
      <c r="H8" s="8">
        <f>+((G8*D8)*0.6)*0.31</f>
        <v>16384.4982</v>
      </c>
      <c r="I8" s="8">
        <f>+H8*2000</f>
        <v>32768996.400000002</v>
      </c>
      <c r="J8" s="8">
        <f>+((I8*1000000)/7325)/2000</f>
        <v>2236791.563139932</v>
      </c>
      <c r="K8" s="8">
        <v>265354</v>
      </c>
      <c r="L8" s="14">
        <f aca="true" t="shared" si="0" ref="L8:L13">8.015*I8</f>
        <v>262643506.14600003</v>
      </c>
      <c r="M8" s="30" t="s">
        <v>110</v>
      </c>
      <c r="N8" s="31" t="s">
        <v>64</v>
      </c>
      <c r="P8" s="31"/>
    </row>
    <row r="9" spans="1:16" ht="38.25">
      <c r="A9" s="5" t="s">
        <v>45</v>
      </c>
      <c r="B9" s="6" t="s">
        <v>14</v>
      </c>
      <c r="C9" s="8">
        <v>3460</v>
      </c>
      <c r="D9" s="8">
        <v>376350</v>
      </c>
      <c r="E9" s="6" t="s">
        <v>65</v>
      </c>
      <c r="F9" s="30" t="s">
        <v>69</v>
      </c>
      <c r="G9" s="12">
        <v>0.65</v>
      </c>
      <c r="H9" s="8">
        <f>+((G9*D9)*0.7)*0.66</f>
        <v>113017.905</v>
      </c>
      <c r="I9" s="8">
        <f>+(H9*2000)+(539300*2000*14000)/1000000</f>
        <v>241136210</v>
      </c>
      <c r="J9" s="8">
        <f>+((I9*1000000)/6000)/2000+539300</f>
        <v>20633984.166666668</v>
      </c>
      <c r="K9" s="8"/>
      <c r="L9" s="14">
        <f t="shared" si="0"/>
        <v>1932706723.15</v>
      </c>
      <c r="M9" s="30" t="s">
        <v>117</v>
      </c>
      <c r="N9" s="34" t="s">
        <v>49</v>
      </c>
      <c r="P9" s="31"/>
    </row>
    <row r="10" spans="1:16" ht="25.5">
      <c r="A10" s="5" t="s">
        <v>15</v>
      </c>
      <c r="B10" s="6" t="s">
        <v>16</v>
      </c>
      <c r="C10" s="8">
        <v>11980</v>
      </c>
      <c r="D10" s="8">
        <v>334875</v>
      </c>
      <c r="E10" s="6" t="s">
        <v>17</v>
      </c>
      <c r="F10" s="30" t="s">
        <v>58</v>
      </c>
      <c r="G10" s="12">
        <v>0.39</v>
      </c>
      <c r="H10" s="8">
        <f>+((G10*D10)*0.7)*0.5</f>
        <v>45710.4375</v>
      </c>
      <c r="I10" s="8">
        <f>+H10*2000</f>
        <v>91420875</v>
      </c>
      <c r="J10" s="8">
        <f>+((I10*1000000)/14200)/2000</f>
        <v>3219044.8943661973</v>
      </c>
      <c r="K10" s="8">
        <v>-128000</v>
      </c>
      <c r="L10" s="14">
        <f t="shared" si="0"/>
        <v>732738313.125</v>
      </c>
      <c r="M10" s="30" t="s">
        <v>111</v>
      </c>
      <c r="N10" s="31" t="s">
        <v>18</v>
      </c>
      <c r="P10" s="31"/>
    </row>
    <row r="11" spans="1:16" ht="25.5">
      <c r="A11" s="5" t="s">
        <v>4</v>
      </c>
      <c r="B11" s="6">
        <v>324</v>
      </c>
      <c r="C11" s="8">
        <v>1200</v>
      </c>
      <c r="D11" s="8">
        <v>171515</v>
      </c>
      <c r="E11" s="6" t="s">
        <v>20</v>
      </c>
      <c r="F11" s="30" t="s">
        <v>70</v>
      </c>
      <c r="G11" s="12">
        <v>0.13</v>
      </c>
      <c r="H11" s="8">
        <f>+((G11*D11)*0.72)*0.25</f>
        <v>4013.451</v>
      </c>
      <c r="I11" s="8">
        <f>+H11*2000</f>
        <v>8026902</v>
      </c>
      <c r="J11" s="8">
        <f>+((I11*1000000)/13200)/2000</f>
        <v>304049.3181818182</v>
      </c>
      <c r="K11" s="8"/>
      <c r="L11" s="14">
        <f t="shared" si="0"/>
        <v>64335619.53</v>
      </c>
      <c r="M11" s="30" t="s">
        <v>118</v>
      </c>
      <c r="N11" s="31"/>
      <c r="P11" s="31"/>
    </row>
    <row r="12" spans="1:16" ht="12.75">
      <c r="A12" s="5" t="s">
        <v>5</v>
      </c>
      <c r="B12" s="6" t="s">
        <v>59</v>
      </c>
      <c r="C12" s="8">
        <v>3330</v>
      </c>
      <c r="D12" s="8">
        <v>112635</v>
      </c>
      <c r="E12" s="6" t="s">
        <v>21</v>
      </c>
      <c r="F12" s="30" t="s">
        <v>74</v>
      </c>
      <c r="G12" s="12">
        <v>0.02</v>
      </c>
      <c r="H12" s="8">
        <f>+((G12*D12)*0.75)*0.47</f>
        <v>794.07675</v>
      </c>
      <c r="I12" s="8">
        <f>+H12*2000</f>
        <v>1588153.5</v>
      </c>
      <c r="J12" s="8">
        <f>+((I12*1000000)/13000)/2000</f>
        <v>61082.82692307692</v>
      </c>
      <c r="K12" s="8"/>
      <c r="L12" s="14">
        <f t="shared" si="0"/>
        <v>12729050.3025</v>
      </c>
      <c r="M12" s="30" t="s">
        <v>112</v>
      </c>
      <c r="N12" s="31"/>
      <c r="P12" s="31"/>
    </row>
    <row r="13" spans="1:16" ht="51">
      <c r="A13" s="37" t="s">
        <v>6</v>
      </c>
      <c r="B13" s="36" t="s">
        <v>60</v>
      </c>
      <c r="C13" s="8">
        <v>12435</v>
      </c>
      <c r="D13" s="8">
        <v>283475</v>
      </c>
      <c r="E13" s="6" t="s">
        <v>57</v>
      </c>
      <c r="F13" s="30" t="s">
        <v>73</v>
      </c>
      <c r="G13" s="12">
        <f>((I8/(I8+I10+I11+I12)*G8))+((I10/(I8+I10+I11+I12)*G10))+((I11/(I8+I10+I11+I12)*G11))+((I12/(I8+I10+I11+I12)*G12))</f>
        <v>0.3773581529306153</v>
      </c>
      <c r="H13" s="8">
        <f>+((G13*D13)*0.7)*0.5</f>
        <v>37440.06084070216</v>
      </c>
      <c r="I13" s="8">
        <f>+H13*2000</f>
        <v>74880121.68140431</v>
      </c>
      <c r="J13" s="8">
        <f>+((I13*1000000)/5000)/2000</f>
        <v>7488012.168140432</v>
      </c>
      <c r="K13" s="8"/>
      <c r="L13" s="14">
        <f t="shared" si="0"/>
        <v>600164175.2764555</v>
      </c>
      <c r="M13" s="30" t="s">
        <v>112</v>
      </c>
      <c r="N13" s="31" t="s">
        <v>82</v>
      </c>
      <c r="P13" s="31"/>
    </row>
    <row r="14" spans="3:16" ht="12.75">
      <c r="C14" s="8"/>
      <c r="D14" s="8"/>
      <c r="E14" s="6"/>
      <c r="F14" s="30"/>
      <c r="G14" s="12"/>
      <c r="H14" s="10"/>
      <c r="I14" s="8"/>
      <c r="J14" s="8"/>
      <c r="K14" s="8"/>
      <c r="L14" s="14"/>
      <c r="M14" s="30"/>
      <c r="N14" s="31"/>
      <c r="P14" s="31"/>
    </row>
    <row r="15" spans="1:16" ht="12.75">
      <c r="A15" s="15" t="s">
        <v>32</v>
      </c>
      <c r="B15" s="39" t="s">
        <v>85</v>
      </c>
      <c r="C15" s="16">
        <f>+SUM(C8:C13)</f>
        <v>43015</v>
      </c>
      <c r="D15" s="16">
        <f>+SUM(D8:D13)</f>
        <v>1488585</v>
      </c>
      <c r="E15" s="39" t="s">
        <v>86</v>
      </c>
      <c r="F15" s="40" t="s">
        <v>87</v>
      </c>
      <c r="G15" s="41" t="s">
        <v>88</v>
      </c>
      <c r="H15" s="16">
        <f>+SUM(H8:H13)</f>
        <v>217360.42929070216</v>
      </c>
      <c r="I15" s="16">
        <f>+SUM(I8:I13)</f>
        <v>449821258.58140427</v>
      </c>
      <c r="J15" s="16">
        <f>+SUM(J8:J13)</f>
        <v>33942964.937418126</v>
      </c>
      <c r="K15" s="8"/>
      <c r="L15" s="16">
        <f>+SUM(L8:L13)</f>
        <v>3605317387.5299554</v>
      </c>
      <c r="M15" s="42" t="s">
        <v>89</v>
      </c>
      <c r="N15" s="43" t="s">
        <v>90</v>
      </c>
      <c r="P15" s="43" t="s">
        <v>91</v>
      </c>
    </row>
    <row r="16" spans="2:16" ht="12.75">
      <c r="B16" s="6"/>
      <c r="C16" s="8"/>
      <c r="D16" s="8"/>
      <c r="F16" s="30"/>
      <c r="G16" s="12"/>
      <c r="H16" s="10"/>
      <c r="I16" s="8"/>
      <c r="J16" s="8"/>
      <c r="K16" s="8"/>
      <c r="L16" s="14"/>
      <c r="M16" s="30"/>
      <c r="N16" s="31"/>
      <c r="P16" s="31"/>
    </row>
    <row r="17" spans="1:16" ht="25.5">
      <c r="A17" s="4" t="s">
        <v>2</v>
      </c>
      <c r="B17" s="6"/>
      <c r="C17" s="8"/>
      <c r="D17" s="8"/>
      <c r="F17" s="30"/>
      <c r="G17" s="12"/>
      <c r="H17" s="10"/>
      <c r="I17" s="8"/>
      <c r="J17" s="8"/>
      <c r="K17" s="8"/>
      <c r="L17" s="14"/>
      <c r="M17" s="30"/>
      <c r="N17" s="31" t="s">
        <v>81</v>
      </c>
      <c r="P17" s="31"/>
    </row>
    <row r="18" spans="1:16" ht="12.75">
      <c r="A18" s="5" t="s">
        <v>22</v>
      </c>
      <c r="B18" s="13">
        <v>813541921</v>
      </c>
      <c r="C18" s="8">
        <v>28030</v>
      </c>
      <c r="D18" s="8">
        <v>297090</v>
      </c>
      <c r="E18" s="6" t="s">
        <v>30</v>
      </c>
      <c r="F18" s="30"/>
      <c r="G18" s="12">
        <v>0.13</v>
      </c>
      <c r="H18" s="8">
        <f>G18*D18</f>
        <v>38621.700000000004</v>
      </c>
      <c r="I18" s="8">
        <f aca="true" t="shared" si="1" ref="I18:I25">+H18*2000</f>
        <v>77243400.00000001</v>
      </c>
      <c r="J18" s="8">
        <f>+((I18*1000000)/6500)/2000</f>
        <v>5941800.000000001</v>
      </c>
      <c r="K18" s="8"/>
      <c r="L18" s="14">
        <f aca="true" t="shared" si="2" ref="L18:L25">8.015*I18</f>
        <v>619105851.0000001</v>
      </c>
      <c r="M18" s="30"/>
      <c r="P18" s="31"/>
    </row>
    <row r="19" spans="1:16" ht="12.75">
      <c r="A19" s="5" t="s">
        <v>23</v>
      </c>
      <c r="B19" s="13">
        <v>421422</v>
      </c>
      <c r="C19" s="8">
        <v>5365</v>
      </c>
      <c r="D19" s="8">
        <v>72385</v>
      </c>
      <c r="E19" s="6" t="s">
        <v>30</v>
      </c>
      <c r="F19" s="30"/>
      <c r="G19" s="12">
        <v>0.13</v>
      </c>
      <c r="H19" s="8">
        <f aca="true" t="shared" si="3" ref="H19:H25">G19*D19</f>
        <v>9410.050000000001</v>
      </c>
      <c r="I19" s="8">
        <f t="shared" si="1"/>
        <v>18820100.000000004</v>
      </c>
      <c r="J19" s="8">
        <f aca="true" t="shared" si="4" ref="J19:J25">+((I19*1000000)/6500)/2000</f>
        <v>1447700.0000000002</v>
      </c>
      <c r="K19" s="8"/>
      <c r="L19" s="14">
        <f t="shared" si="2"/>
        <v>150843101.50000003</v>
      </c>
      <c r="M19" s="30"/>
      <c r="N19" s="31"/>
      <c r="P19" s="31"/>
    </row>
    <row r="20" spans="1:16" ht="12.75">
      <c r="A20" s="5" t="s">
        <v>24</v>
      </c>
      <c r="B20" s="6" t="s">
        <v>29</v>
      </c>
      <c r="C20" s="8">
        <v>5585</v>
      </c>
      <c r="D20" s="8">
        <v>47230</v>
      </c>
      <c r="E20" s="6" t="s">
        <v>30</v>
      </c>
      <c r="F20" s="30"/>
      <c r="G20" s="12">
        <v>0.13</v>
      </c>
      <c r="H20" s="8">
        <f t="shared" si="3"/>
        <v>6139.900000000001</v>
      </c>
      <c r="I20" s="8">
        <f t="shared" si="1"/>
        <v>12279800.000000002</v>
      </c>
      <c r="J20" s="8">
        <f t="shared" si="4"/>
        <v>944600.0000000001</v>
      </c>
      <c r="K20" s="8"/>
      <c r="L20" s="14">
        <f t="shared" si="2"/>
        <v>98422597.00000001</v>
      </c>
      <c r="M20" s="30"/>
      <c r="N20" s="31"/>
      <c r="P20" s="31"/>
    </row>
    <row r="21" spans="1:16" ht="12.75">
      <c r="A21" s="5" t="s">
        <v>25</v>
      </c>
      <c r="B21" s="6">
        <v>611</v>
      </c>
      <c r="C21" s="8">
        <v>35895</v>
      </c>
      <c r="D21" s="8">
        <v>128790</v>
      </c>
      <c r="E21" s="6" t="s">
        <v>30</v>
      </c>
      <c r="F21" s="30" t="s">
        <v>119</v>
      </c>
      <c r="G21" s="12">
        <v>0.13</v>
      </c>
      <c r="H21" s="8">
        <f t="shared" si="3"/>
        <v>16742.7</v>
      </c>
      <c r="I21" s="8">
        <f t="shared" si="1"/>
        <v>33485400</v>
      </c>
      <c r="J21" s="8">
        <f t="shared" si="4"/>
        <v>2575800</v>
      </c>
      <c r="K21" s="8"/>
      <c r="L21" s="14">
        <f t="shared" si="2"/>
        <v>268385481.00000003</v>
      </c>
      <c r="M21" s="30" t="s">
        <v>120</v>
      </c>
      <c r="N21" s="31"/>
      <c r="P21" s="31"/>
    </row>
    <row r="22" spans="1:16" ht="12.75">
      <c r="A22" s="5" t="s">
        <v>26</v>
      </c>
      <c r="B22" s="6" t="s">
        <v>28</v>
      </c>
      <c r="C22" s="8">
        <v>7280</v>
      </c>
      <c r="D22" s="8">
        <v>55205</v>
      </c>
      <c r="E22" s="6" t="s">
        <v>30</v>
      </c>
      <c r="F22" s="30" t="s">
        <v>66</v>
      </c>
      <c r="G22" s="12">
        <v>0.13</v>
      </c>
      <c r="H22" s="8">
        <f t="shared" si="3"/>
        <v>7176.650000000001</v>
      </c>
      <c r="I22" s="8">
        <f t="shared" si="1"/>
        <v>14353300.000000002</v>
      </c>
      <c r="J22" s="8">
        <f t="shared" si="4"/>
        <v>1104100.0000000002</v>
      </c>
      <c r="K22" s="8"/>
      <c r="L22" s="14">
        <f t="shared" si="2"/>
        <v>115041699.50000003</v>
      </c>
      <c r="M22" s="30"/>
      <c r="N22" s="31"/>
      <c r="P22" s="31"/>
    </row>
    <row r="23" spans="1:16" ht="12.75">
      <c r="A23" s="5" t="s">
        <v>62</v>
      </c>
      <c r="B23" s="6" t="s">
        <v>61</v>
      </c>
      <c r="C23" s="8">
        <v>10545</v>
      </c>
      <c r="D23" s="8">
        <v>140830</v>
      </c>
      <c r="E23" s="6" t="s">
        <v>30</v>
      </c>
      <c r="F23" s="30" t="s">
        <v>113</v>
      </c>
      <c r="G23" s="12">
        <v>0.13</v>
      </c>
      <c r="H23" s="8">
        <f t="shared" si="3"/>
        <v>18307.9</v>
      </c>
      <c r="I23" s="8">
        <f t="shared" si="1"/>
        <v>36615800</v>
      </c>
      <c r="J23" s="8">
        <f t="shared" si="4"/>
        <v>2816600</v>
      </c>
      <c r="K23" s="8"/>
      <c r="L23" s="14">
        <f t="shared" si="2"/>
        <v>293475637</v>
      </c>
      <c r="M23" s="30"/>
      <c r="N23" s="31"/>
      <c r="P23" s="31"/>
    </row>
    <row r="24" spans="1:16" ht="12.75">
      <c r="A24" s="5" t="s">
        <v>75</v>
      </c>
      <c r="B24" s="6">
        <v>621</v>
      </c>
      <c r="C24" s="8">
        <v>15190</v>
      </c>
      <c r="D24" s="8">
        <v>317110</v>
      </c>
      <c r="E24" s="6" t="s">
        <v>30</v>
      </c>
      <c r="F24" s="30" t="s">
        <v>66</v>
      </c>
      <c r="G24" s="12">
        <v>0.13</v>
      </c>
      <c r="H24" s="8">
        <f t="shared" si="3"/>
        <v>41224.3</v>
      </c>
      <c r="I24" s="8">
        <f t="shared" si="1"/>
        <v>82448600</v>
      </c>
      <c r="J24" s="8">
        <f t="shared" si="4"/>
        <v>6342200</v>
      </c>
      <c r="K24" s="8"/>
      <c r="L24" s="14">
        <f t="shared" si="2"/>
        <v>660825529</v>
      </c>
      <c r="M24" s="30"/>
      <c r="N24" s="31"/>
      <c r="P24" s="31"/>
    </row>
    <row r="25" spans="1:16" ht="25.5">
      <c r="A25" s="5" t="s">
        <v>27</v>
      </c>
      <c r="B25" s="6" t="s">
        <v>68</v>
      </c>
      <c r="C25" s="8">
        <v>11900</v>
      </c>
      <c r="D25" s="8">
        <v>88970</v>
      </c>
      <c r="E25" s="6" t="s">
        <v>30</v>
      </c>
      <c r="F25" s="30" t="s">
        <v>66</v>
      </c>
      <c r="G25" s="12">
        <v>0.13</v>
      </c>
      <c r="H25" s="8">
        <f t="shared" si="3"/>
        <v>11566.1</v>
      </c>
      <c r="I25" s="8">
        <f t="shared" si="1"/>
        <v>23132200</v>
      </c>
      <c r="J25" s="8">
        <f t="shared" si="4"/>
        <v>1779400</v>
      </c>
      <c r="K25" s="8"/>
      <c r="L25" s="14">
        <f t="shared" si="2"/>
        <v>185404583</v>
      </c>
      <c r="M25" s="30"/>
      <c r="N25" s="31" t="s">
        <v>67</v>
      </c>
      <c r="P25" s="31"/>
    </row>
    <row r="26" spans="1:16" ht="12.75">
      <c r="A26" s="15" t="s">
        <v>32</v>
      </c>
      <c r="B26" s="39" t="s">
        <v>92</v>
      </c>
      <c r="C26" s="16">
        <f>+SUM(C18:C25)</f>
        <v>119790</v>
      </c>
      <c r="D26" s="16">
        <f>+SUM(D18:D25)</f>
        <v>1147610</v>
      </c>
      <c r="E26" s="39" t="s">
        <v>90</v>
      </c>
      <c r="F26" s="40" t="s">
        <v>93</v>
      </c>
      <c r="G26" s="41" t="s">
        <v>94</v>
      </c>
      <c r="H26" s="16">
        <f>+SUM(H18:H25)</f>
        <v>149189.30000000002</v>
      </c>
      <c r="I26" s="18">
        <f>+SUM(I18:I25)</f>
        <v>298378600</v>
      </c>
      <c r="J26" s="16">
        <f>+SUM(J18:J25)</f>
        <v>22952200</v>
      </c>
      <c r="K26" s="8"/>
      <c r="L26" s="16">
        <f>+SUM(L18:L25)</f>
        <v>2391504479</v>
      </c>
      <c r="M26" s="42" t="s">
        <v>95</v>
      </c>
      <c r="N26" s="43" t="s">
        <v>96</v>
      </c>
      <c r="P26" s="43" t="s">
        <v>98</v>
      </c>
    </row>
    <row r="27" spans="2:16" ht="12.75">
      <c r="B27" s="6"/>
      <c r="C27" s="8"/>
      <c r="D27" s="8"/>
      <c r="F27" s="30"/>
      <c r="G27" s="12"/>
      <c r="H27" s="10"/>
      <c r="I27" s="8"/>
      <c r="J27" s="8"/>
      <c r="K27" s="8"/>
      <c r="L27" s="14"/>
      <c r="M27" s="30"/>
      <c r="N27" s="31"/>
      <c r="P27" s="31"/>
    </row>
    <row r="28" spans="1:16" ht="25.5">
      <c r="A28" s="4" t="s">
        <v>35</v>
      </c>
      <c r="B28" s="6"/>
      <c r="C28" s="8"/>
      <c r="D28" s="8"/>
      <c r="F28" s="30"/>
      <c r="G28" s="12"/>
      <c r="H28" s="10"/>
      <c r="I28" s="8"/>
      <c r="J28" s="8"/>
      <c r="K28" s="8"/>
      <c r="L28" s="14"/>
      <c r="M28" s="30"/>
      <c r="N28" s="31" t="s">
        <v>107</v>
      </c>
      <c r="P28" s="31"/>
    </row>
    <row r="29" spans="1:16" ht="12.75">
      <c r="A29" s="5" t="s">
        <v>56</v>
      </c>
      <c r="B29" s="13">
        <v>111112115</v>
      </c>
      <c r="C29" s="8">
        <f>+C32*0.304</f>
        <v>4864</v>
      </c>
      <c r="D29" s="8"/>
      <c r="F29" s="30" t="s">
        <v>77</v>
      </c>
      <c r="G29" s="12"/>
      <c r="H29" s="10"/>
      <c r="I29" s="8"/>
      <c r="J29" s="8"/>
      <c r="K29" s="8"/>
      <c r="L29" s="14"/>
      <c r="M29" s="30"/>
      <c r="N29" s="31"/>
      <c r="P29" s="31"/>
    </row>
    <row r="30" spans="1:16" ht="12.75">
      <c r="A30" s="5" t="s">
        <v>36</v>
      </c>
      <c r="B30" s="13">
        <v>212211</v>
      </c>
      <c r="C30" s="8">
        <f>+C32*0.443</f>
        <v>7088</v>
      </c>
      <c r="D30" s="8"/>
      <c r="F30" s="30"/>
      <c r="G30" s="12"/>
      <c r="H30" s="10"/>
      <c r="I30" s="8"/>
      <c r="J30" s="8"/>
      <c r="K30" s="8"/>
      <c r="L30" s="14"/>
      <c r="M30" s="30"/>
      <c r="N30" s="31"/>
      <c r="P30" s="31"/>
    </row>
    <row r="31" spans="1:16" ht="12.75">
      <c r="A31" s="5" t="s">
        <v>31</v>
      </c>
      <c r="B31" s="6">
        <v>235</v>
      </c>
      <c r="C31" s="8">
        <f>+C32*0.253</f>
        <v>4048</v>
      </c>
      <c r="D31" s="8"/>
      <c r="F31" s="30" t="s">
        <v>76</v>
      </c>
      <c r="G31" s="12"/>
      <c r="H31" s="10"/>
      <c r="I31" s="8"/>
      <c r="J31" s="8"/>
      <c r="K31" s="8"/>
      <c r="L31" s="14"/>
      <c r="M31" s="30"/>
      <c r="N31" s="31"/>
      <c r="P31" s="31"/>
    </row>
    <row r="32" spans="1:16" ht="12.75">
      <c r="A32" s="15" t="s">
        <v>39</v>
      </c>
      <c r="B32" s="39" t="s">
        <v>92</v>
      </c>
      <c r="C32" s="16">
        <v>16000</v>
      </c>
      <c r="D32" s="16">
        <f>+SUM(D29:D31)</f>
        <v>0</v>
      </c>
      <c r="E32" s="39" t="s">
        <v>87</v>
      </c>
      <c r="F32" s="39" t="s">
        <v>89</v>
      </c>
      <c r="G32" s="41" t="s">
        <v>91</v>
      </c>
      <c r="H32" s="16">
        <f>+SUM(H29:H31)</f>
        <v>0</v>
      </c>
      <c r="I32" s="16">
        <f>+SUM(I29:I31)</f>
        <v>0</v>
      </c>
      <c r="J32" s="16">
        <f>+SUM(J29:J31)</f>
        <v>0</v>
      </c>
      <c r="K32" s="16">
        <f>+SUM(K29:K31)</f>
        <v>0</v>
      </c>
      <c r="L32" s="16">
        <f>+SUM(L29:L31)</f>
        <v>0</v>
      </c>
      <c r="M32" s="42" t="s">
        <v>97</v>
      </c>
      <c r="N32" s="43" t="s">
        <v>95</v>
      </c>
      <c r="P32" s="43" t="s">
        <v>87</v>
      </c>
    </row>
    <row r="33" spans="1:16" ht="12.75">
      <c r="A33" s="15"/>
      <c r="B33" s="15"/>
      <c r="C33" s="16"/>
      <c r="D33" s="16"/>
      <c r="E33" s="2"/>
      <c r="F33" s="15"/>
      <c r="G33" s="17"/>
      <c r="H33" s="18"/>
      <c r="I33" s="16"/>
      <c r="J33" s="16"/>
      <c r="K33" s="16"/>
      <c r="L33" s="14"/>
      <c r="M33" s="30"/>
      <c r="N33" s="31"/>
      <c r="P33" s="31"/>
    </row>
    <row r="34" spans="1:16" ht="12.75">
      <c r="A34" s="20" t="s">
        <v>34</v>
      </c>
      <c r="B34" s="15"/>
      <c r="C34" s="16"/>
      <c r="D34" s="16"/>
      <c r="E34" s="2"/>
      <c r="F34" s="15"/>
      <c r="G34" s="17"/>
      <c r="H34" s="18"/>
      <c r="I34" s="16"/>
      <c r="J34" s="16"/>
      <c r="K34" s="16"/>
      <c r="L34" s="14"/>
      <c r="M34" s="30"/>
      <c r="N34" s="31"/>
      <c r="P34" s="31"/>
    </row>
    <row r="35" spans="1:18" ht="25.5">
      <c r="A35" s="22" t="s">
        <v>46</v>
      </c>
      <c r="B35" s="23">
        <v>221100</v>
      </c>
      <c r="C35" s="27">
        <v>68</v>
      </c>
      <c r="D35" s="16"/>
      <c r="E35" s="24" t="s">
        <v>40</v>
      </c>
      <c r="F35" s="23" t="s">
        <v>126</v>
      </c>
      <c r="G35" s="25">
        <v>0.04</v>
      </c>
      <c r="H35" s="26" t="s">
        <v>41</v>
      </c>
      <c r="I35" s="27">
        <f>2710000000+((373300*2000*14000)/1000000)</f>
        <v>2720452400</v>
      </c>
      <c r="J35" s="8">
        <f>+(((I35*1000000)/7325)/2000)+373300</f>
        <v>186069709.556314</v>
      </c>
      <c r="K35" s="27"/>
      <c r="L35" s="14">
        <f>8.015*I35</f>
        <v>21804425986</v>
      </c>
      <c r="M35" s="33"/>
      <c r="N35" s="32" t="s">
        <v>48</v>
      </c>
      <c r="O35" s="24"/>
      <c r="P35" s="32"/>
      <c r="Q35" s="24"/>
      <c r="R35" s="24"/>
    </row>
    <row r="36" spans="1:18" ht="25.5">
      <c r="A36" s="21" t="s">
        <v>37</v>
      </c>
      <c r="B36" s="23">
        <v>221</v>
      </c>
      <c r="C36" s="27">
        <v>110</v>
      </c>
      <c r="D36" s="16"/>
      <c r="E36" s="24" t="s">
        <v>51</v>
      </c>
      <c r="F36" s="23" t="s">
        <v>108</v>
      </c>
      <c r="G36" s="25">
        <v>1</v>
      </c>
      <c r="H36" s="28"/>
      <c r="I36" s="27">
        <f>(J36*2000*5865)/1000000</f>
        <v>380052000</v>
      </c>
      <c r="J36" s="27">
        <v>32400000</v>
      </c>
      <c r="K36" s="27"/>
      <c r="L36" s="14">
        <f>8.015*I36</f>
        <v>3046116780</v>
      </c>
      <c r="M36" s="33"/>
      <c r="N36" s="32" t="s">
        <v>52</v>
      </c>
      <c r="O36" s="24"/>
      <c r="P36" s="32"/>
      <c r="Q36" s="24"/>
      <c r="R36" s="24"/>
    </row>
    <row r="37" spans="1:18" ht="63.75">
      <c r="A37" s="33" t="s">
        <v>121</v>
      </c>
      <c r="B37" s="30">
        <v>327310</v>
      </c>
      <c r="C37" s="8">
        <v>157</v>
      </c>
      <c r="D37" s="8"/>
      <c r="E37" t="s">
        <v>43</v>
      </c>
      <c r="F37" s="29" t="s">
        <v>125</v>
      </c>
      <c r="G37" s="25">
        <v>0.15</v>
      </c>
      <c r="H37" s="28"/>
      <c r="I37" s="27">
        <f>(J37*2000*14000)/1000000</f>
        <v>22456000</v>
      </c>
      <c r="J37" s="27">
        <v>802000</v>
      </c>
      <c r="K37" s="27"/>
      <c r="L37" s="14">
        <f>8.015*I37</f>
        <v>179984840</v>
      </c>
      <c r="M37" s="33" t="s">
        <v>122</v>
      </c>
      <c r="N37" s="33" t="s">
        <v>54</v>
      </c>
      <c r="O37" s="24"/>
      <c r="P37" s="32" t="s">
        <v>109</v>
      </c>
      <c r="Q37" s="24"/>
      <c r="R37" s="24"/>
    </row>
    <row r="38" spans="1:18" ht="38.25">
      <c r="A38" s="33" t="s">
        <v>123</v>
      </c>
      <c r="B38" s="6"/>
      <c r="C38" s="8">
        <v>1</v>
      </c>
      <c r="D38" s="8"/>
      <c r="E38" t="s">
        <v>42</v>
      </c>
      <c r="F38" s="35" t="s">
        <v>50</v>
      </c>
      <c r="G38" s="25">
        <v>1</v>
      </c>
      <c r="H38" s="28"/>
      <c r="I38" s="27">
        <f>(J38*14000*2000)/1000000</f>
        <v>3872400</v>
      </c>
      <c r="J38" s="27">
        <v>138300</v>
      </c>
      <c r="K38" s="27"/>
      <c r="L38" s="14">
        <f>8.015*I38</f>
        <v>31037286.000000004</v>
      </c>
      <c r="M38" s="33"/>
      <c r="N38" s="32" t="s">
        <v>53</v>
      </c>
      <c r="O38" s="24"/>
      <c r="P38" s="32"/>
      <c r="Q38" s="24"/>
      <c r="R38" s="24"/>
    </row>
    <row r="39" spans="1:16" ht="12.75">
      <c r="A39" s="15" t="s">
        <v>39</v>
      </c>
      <c r="B39" s="39" t="s">
        <v>101</v>
      </c>
      <c r="C39" s="16">
        <f>SUM(C35:C38)</f>
        <v>336</v>
      </c>
      <c r="D39" s="16">
        <f>SUM(D35:D38)</f>
        <v>0</v>
      </c>
      <c r="E39" s="39" t="s">
        <v>96</v>
      </c>
      <c r="F39" s="39" t="s">
        <v>100</v>
      </c>
      <c r="G39" s="41" t="s">
        <v>87</v>
      </c>
      <c r="H39" s="16">
        <f>SUM(H35:H38)</f>
        <v>0</v>
      </c>
      <c r="I39" s="16">
        <f>SUM(I35:I38)</f>
        <v>3126832800</v>
      </c>
      <c r="J39" s="16">
        <f>SUM(J35:J38)</f>
        <v>219410009.556314</v>
      </c>
      <c r="K39" s="16">
        <f>SUM(K35:K38)</f>
        <v>0</v>
      </c>
      <c r="L39" s="16">
        <f>SUM(L35:L38)</f>
        <v>25061564892</v>
      </c>
      <c r="M39" s="42" t="s">
        <v>95</v>
      </c>
      <c r="N39" s="43" t="s">
        <v>99</v>
      </c>
      <c r="P39" s="43" t="s">
        <v>98</v>
      </c>
    </row>
    <row r="40" spans="1:16" ht="12.75">
      <c r="A40" s="5"/>
      <c r="B40" s="6"/>
      <c r="C40" s="8"/>
      <c r="D40" s="8"/>
      <c r="F40" s="6"/>
      <c r="G40" s="12"/>
      <c r="H40" s="10"/>
      <c r="I40" s="8"/>
      <c r="J40" s="8"/>
      <c r="K40" s="8"/>
      <c r="L40" s="14"/>
      <c r="M40" s="30"/>
      <c r="N40" s="31"/>
      <c r="P40" s="31"/>
    </row>
    <row r="41" spans="1:19" ht="15">
      <c r="A41" s="19" t="s">
        <v>33</v>
      </c>
      <c r="B41" s="15"/>
      <c r="C41" s="16">
        <f>+C15+C26+C32+C39</f>
        <v>179141</v>
      </c>
      <c r="D41" s="16">
        <f>+D15+D26+D32+D39</f>
        <v>2636195</v>
      </c>
      <c r="E41" s="16" t="s">
        <v>0</v>
      </c>
      <c r="F41" s="16" t="s">
        <v>0</v>
      </c>
      <c r="G41" s="16" t="s">
        <v>0</v>
      </c>
      <c r="H41" s="16">
        <f>+H15+H26+H32+H39</f>
        <v>366549.72929070215</v>
      </c>
      <c r="I41" s="16">
        <f>+I15+I26+I32+I39</f>
        <v>3875032658.581404</v>
      </c>
      <c r="J41" s="16">
        <f>+J15+J26+J32+J39</f>
        <v>276305174.4937321</v>
      </c>
      <c r="K41" s="16">
        <f>+K15+K26+K32+K39</f>
        <v>0</v>
      </c>
      <c r="L41" s="16">
        <f>+L15+L26+L32+L39</f>
        <v>31058386758.529953</v>
      </c>
      <c r="M41" s="16" t="s">
        <v>0</v>
      </c>
      <c r="N41" s="16" t="s">
        <v>0</v>
      </c>
      <c r="O41" s="16" t="s">
        <v>0</v>
      </c>
      <c r="P41" s="16" t="s">
        <v>0</v>
      </c>
      <c r="Q41" s="16" t="s">
        <v>0</v>
      </c>
      <c r="R41" s="16" t="s">
        <v>0</v>
      </c>
      <c r="S41" s="16" t="s">
        <v>0</v>
      </c>
    </row>
    <row r="42" spans="2:16" ht="12.75">
      <c r="B42" s="6"/>
      <c r="C42" s="8"/>
      <c r="D42" s="8"/>
      <c r="F42" s="6"/>
      <c r="G42" s="12"/>
      <c r="H42" s="10"/>
      <c r="I42" s="8"/>
      <c r="J42" s="8"/>
      <c r="K42" s="8"/>
      <c r="L42" s="14"/>
      <c r="M42" s="30"/>
      <c r="N42" s="31"/>
      <c r="P42" s="31"/>
    </row>
    <row r="43" spans="1:16" ht="39">
      <c r="A43" s="44" t="s">
        <v>131</v>
      </c>
      <c r="B43" s="44"/>
      <c r="C43" s="46" t="s">
        <v>132</v>
      </c>
      <c r="D43" s="45">
        <f>D41*1.089</f>
        <v>2870816.355</v>
      </c>
      <c r="E43" s="47" t="s">
        <v>94</v>
      </c>
      <c r="F43" s="47" t="s">
        <v>91</v>
      </c>
      <c r="G43" s="48" t="s">
        <v>101</v>
      </c>
      <c r="H43" s="45">
        <f>H41*1.089</f>
        <v>399172.65519757464</v>
      </c>
      <c r="I43" s="45">
        <f>I41*1.089</f>
        <v>4219910565.195149</v>
      </c>
      <c r="J43" s="45">
        <f>J41*1.089</f>
        <v>300896335.02367425</v>
      </c>
      <c r="K43" s="45">
        <f>K41*1.089</f>
        <v>0</v>
      </c>
      <c r="L43" s="45">
        <f>L41*1.089</f>
        <v>33822583180.03912</v>
      </c>
      <c r="M43" s="42" t="s">
        <v>95</v>
      </c>
      <c r="N43" s="31" t="s">
        <v>114</v>
      </c>
      <c r="P43" s="31"/>
    </row>
    <row r="44" spans="2:16" ht="12.75">
      <c r="B44" s="6"/>
      <c r="C44" s="8"/>
      <c r="D44" s="8"/>
      <c r="F44" s="6"/>
      <c r="G44" s="12"/>
      <c r="H44" s="10"/>
      <c r="I44" s="8"/>
      <c r="J44" s="8"/>
      <c r="K44" s="8"/>
      <c r="L44" s="14"/>
      <c r="M44" s="30"/>
      <c r="N44" s="31"/>
      <c r="P44" s="31"/>
    </row>
    <row r="45" spans="2:16" ht="12.75">
      <c r="B45" s="6"/>
      <c r="C45" s="8"/>
      <c r="D45" s="8"/>
      <c r="F45" s="6"/>
      <c r="G45" s="12"/>
      <c r="H45" s="10"/>
      <c r="I45" s="8"/>
      <c r="J45" s="8"/>
      <c r="K45" s="8"/>
      <c r="L45" s="14"/>
      <c r="M45" s="30"/>
      <c r="N45" s="31"/>
      <c r="P45" s="31"/>
    </row>
    <row r="46" spans="1:16" ht="12.75">
      <c r="A46" t="s">
        <v>38</v>
      </c>
      <c r="B46" s="6"/>
      <c r="C46" s="8"/>
      <c r="D46" s="8"/>
      <c r="F46" s="6"/>
      <c r="G46" s="12"/>
      <c r="H46" s="10"/>
      <c r="I46" s="8"/>
      <c r="J46" s="8"/>
      <c r="K46" s="8"/>
      <c r="L46" s="14"/>
      <c r="M46" s="30"/>
      <c r="N46" s="31"/>
      <c r="P46" s="31"/>
    </row>
    <row r="47" spans="2:16" ht="12.75">
      <c r="B47" s="6"/>
      <c r="C47" s="8"/>
      <c r="D47" s="8"/>
      <c r="F47" s="6"/>
      <c r="G47" s="12"/>
      <c r="H47" s="10"/>
      <c r="I47" s="8"/>
      <c r="J47" s="8"/>
      <c r="K47" s="8"/>
      <c r="L47" s="14"/>
      <c r="M47" s="30"/>
      <c r="N47" s="31"/>
      <c r="P47" s="31"/>
    </row>
    <row r="48" spans="1:16" ht="12.75">
      <c r="A48" s="51" t="s">
        <v>130</v>
      </c>
      <c r="B48" s="51"/>
      <c r="C48" s="51"/>
      <c r="D48" s="8"/>
      <c r="F48" s="6"/>
      <c r="G48" s="12"/>
      <c r="H48" s="10"/>
      <c r="I48" s="8"/>
      <c r="J48" s="8"/>
      <c r="K48" s="8"/>
      <c r="L48" s="14"/>
      <c r="M48" s="30"/>
      <c r="N48" s="31"/>
      <c r="P48" s="31"/>
    </row>
    <row r="49" spans="3:16" ht="12.75">
      <c r="C49" s="8"/>
      <c r="D49" s="8"/>
      <c r="H49" s="10"/>
      <c r="I49" s="8"/>
      <c r="J49" s="8"/>
      <c r="M49" s="30"/>
      <c r="N49" s="31"/>
      <c r="P49" s="31"/>
    </row>
    <row r="50" spans="3:16" ht="12.75">
      <c r="C50" s="8"/>
      <c r="D50" s="8"/>
      <c r="H50" s="10"/>
      <c r="I50" s="8"/>
      <c r="J50" s="8"/>
      <c r="M50" s="30"/>
      <c r="N50" s="31"/>
      <c r="P50" s="31"/>
    </row>
    <row r="51" spans="3:16" ht="12.75">
      <c r="C51" s="8"/>
      <c r="D51" s="8"/>
      <c r="I51" s="8"/>
      <c r="J51" s="8"/>
      <c r="M51" s="30"/>
      <c r="N51" s="31"/>
      <c r="P51" s="31"/>
    </row>
    <row r="52" spans="3:16" ht="12.75">
      <c r="C52" s="8"/>
      <c r="D52" s="8"/>
      <c r="I52" s="8"/>
      <c r="J52" s="8"/>
      <c r="M52" s="30"/>
      <c r="N52" s="31"/>
      <c r="P52" s="31"/>
    </row>
    <row r="53" spans="3:16" ht="12.75">
      <c r="C53" s="8"/>
      <c r="D53" s="8"/>
      <c r="I53" s="8"/>
      <c r="J53" s="8"/>
      <c r="M53" s="30"/>
      <c r="N53" s="31"/>
      <c r="P53" s="31"/>
    </row>
    <row r="54" spans="3:16" ht="12.75">
      <c r="C54" s="8"/>
      <c r="D54" s="8"/>
      <c r="I54" s="8"/>
      <c r="J54" s="8"/>
      <c r="M54" s="30"/>
      <c r="N54" s="31"/>
      <c r="P54" s="31"/>
    </row>
    <row r="55" spans="3:16" ht="12.75">
      <c r="C55" s="8"/>
      <c r="D55" s="8"/>
      <c r="I55" s="8"/>
      <c r="J55" s="8"/>
      <c r="M55" s="30"/>
      <c r="N55" s="31"/>
      <c r="P55" s="31"/>
    </row>
    <row r="56" spans="3:16" ht="12.75">
      <c r="C56" s="8"/>
      <c r="D56" s="8"/>
      <c r="I56" s="8"/>
      <c r="J56" s="8"/>
      <c r="M56" s="30"/>
      <c r="N56" s="31"/>
      <c r="P56" s="31"/>
    </row>
    <row r="57" spans="9:16" ht="12.75">
      <c r="I57" s="8"/>
      <c r="J57" s="8"/>
      <c r="M57" s="30"/>
      <c r="N57" s="31"/>
      <c r="P57" s="31"/>
    </row>
    <row r="58" spans="9:16" ht="12.75">
      <c r="I58" s="8"/>
      <c r="J58" s="8"/>
      <c r="M58" s="30"/>
      <c r="N58" s="31"/>
      <c r="P58" s="31"/>
    </row>
    <row r="59" spans="9:16" ht="12.75">
      <c r="I59" s="8"/>
      <c r="J59" s="8"/>
      <c r="M59" s="30"/>
      <c r="N59" s="31"/>
      <c r="P59" s="31"/>
    </row>
    <row r="60" spans="9:16" ht="12.75">
      <c r="I60" s="8"/>
      <c r="J60" s="8"/>
      <c r="M60" s="30"/>
      <c r="N60" s="31"/>
      <c r="P60" s="31"/>
    </row>
    <row r="61" spans="9:16" ht="12.75">
      <c r="I61" s="8"/>
      <c r="J61" s="8"/>
      <c r="M61" s="30"/>
      <c r="N61" s="31"/>
      <c r="P61" s="31"/>
    </row>
    <row r="62" spans="9:16" ht="12.75">
      <c r="I62" s="8"/>
      <c r="J62" s="8"/>
      <c r="M62" s="30"/>
      <c r="N62" s="31"/>
      <c r="P62" s="31"/>
    </row>
    <row r="63" spans="9:16" ht="12.75">
      <c r="I63" s="8"/>
      <c r="J63" s="8"/>
      <c r="M63" s="30"/>
      <c r="N63" s="31"/>
      <c r="P63" s="31"/>
    </row>
    <row r="64" spans="9:16" ht="12.75">
      <c r="I64" s="8"/>
      <c r="J64" s="8"/>
      <c r="M64" s="30"/>
      <c r="N64" s="31"/>
      <c r="P64" s="31"/>
    </row>
    <row r="65" spans="9:16" ht="12.75">
      <c r="I65" s="8"/>
      <c r="J65" s="8"/>
      <c r="M65" s="30"/>
      <c r="N65" s="31"/>
      <c r="P65" s="31"/>
    </row>
    <row r="66" spans="9:16" ht="12.75">
      <c r="I66" s="8"/>
      <c r="J66" s="8"/>
      <c r="M66" s="30"/>
      <c r="N66" s="31"/>
      <c r="P66" s="31"/>
    </row>
    <row r="67" spans="9:16" ht="12.75">
      <c r="I67" s="8"/>
      <c r="J67" s="8"/>
      <c r="M67" s="30"/>
      <c r="N67" s="31"/>
      <c r="P67" s="31"/>
    </row>
    <row r="68" spans="9:16" ht="12.75">
      <c r="I68" s="8"/>
      <c r="J68" s="8"/>
      <c r="M68" s="30"/>
      <c r="N68" s="31"/>
      <c r="P68" s="31"/>
    </row>
    <row r="69" spans="9:16" ht="12.75">
      <c r="I69" s="8"/>
      <c r="J69" s="8"/>
      <c r="M69" s="30"/>
      <c r="N69" s="31"/>
      <c r="P69" s="31"/>
    </row>
    <row r="70" spans="9:16" ht="12.75">
      <c r="I70" s="8"/>
      <c r="J70" s="8"/>
      <c r="M70" s="30"/>
      <c r="N70" s="31"/>
      <c r="P70" s="31"/>
    </row>
    <row r="71" spans="9:16" ht="12.75">
      <c r="I71" s="8"/>
      <c r="J71" s="8"/>
      <c r="M71" s="30"/>
      <c r="N71" s="31"/>
      <c r="P71" s="31"/>
    </row>
    <row r="72" spans="9:16" ht="12.75">
      <c r="I72" s="8"/>
      <c r="J72" s="8"/>
      <c r="M72" s="30"/>
      <c r="N72" s="31"/>
      <c r="P72" s="31"/>
    </row>
    <row r="73" spans="9:16" ht="12.75">
      <c r="I73" s="8"/>
      <c r="J73" s="8"/>
      <c r="M73" s="30"/>
      <c r="N73" s="31"/>
      <c r="P73" s="31"/>
    </row>
    <row r="74" spans="9:16" ht="12.75">
      <c r="I74" s="8"/>
      <c r="J74" s="8"/>
      <c r="M74" s="30"/>
      <c r="N74" s="31"/>
      <c r="P74" s="31"/>
    </row>
    <row r="75" spans="9:16" ht="12.75">
      <c r="I75" s="8"/>
      <c r="J75" s="8"/>
      <c r="M75" s="30"/>
      <c r="N75" s="31"/>
      <c r="P75" s="31"/>
    </row>
    <row r="76" spans="9:16" ht="12.75">
      <c r="I76" s="8"/>
      <c r="J76" s="8"/>
      <c r="M76" s="30"/>
      <c r="N76" s="31"/>
      <c r="P76" s="31"/>
    </row>
    <row r="77" spans="9:16" ht="12.75">
      <c r="I77" s="8"/>
      <c r="J77" s="8"/>
      <c r="M77" s="30"/>
      <c r="N77" s="31"/>
      <c r="P77" s="31"/>
    </row>
    <row r="78" spans="9:16" ht="12.75">
      <c r="I78" s="8"/>
      <c r="J78" s="8"/>
      <c r="M78" s="30"/>
      <c r="N78" s="31"/>
      <c r="P78" s="31"/>
    </row>
    <row r="79" spans="9:16" ht="12.75">
      <c r="I79" s="8"/>
      <c r="J79" s="8"/>
      <c r="M79" s="30"/>
      <c r="N79" s="31"/>
      <c r="P79" s="31"/>
    </row>
    <row r="80" spans="9:16" ht="12.75">
      <c r="I80" s="8"/>
      <c r="J80" s="8"/>
      <c r="M80" s="30"/>
      <c r="N80" s="31"/>
      <c r="P80" s="31"/>
    </row>
    <row r="81" spans="9:16" ht="12.75">
      <c r="I81" s="8"/>
      <c r="J81" s="8"/>
      <c r="M81" s="30"/>
      <c r="N81" s="31"/>
      <c r="P81" s="31"/>
    </row>
    <row r="82" spans="9:16" ht="12.75">
      <c r="I82" s="8"/>
      <c r="J82" s="8"/>
      <c r="M82" s="30"/>
      <c r="N82" s="31"/>
      <c r="P82" s="31"/>
    </row>
    <row r="83" spans="9:16" ht="12.75">
      <c r="I83" s="8"/>
      <c r="J83" s="8"/>
      <c r="M83" s="30"/>
      <c r="N83" s="31"/>
      <c r="P83" s="31"/>
    </row>
    <row r="84" spans="9:16" ht="12.75">
      <c r="I84" s="8"/>
      <c r="J84" s="8"/>
      <c r="M84" s="30"/>
      <c r="N84" s="31"/>
      <c r="P84" s="31"/>
    </row>
    <row r="85" spans="9:16" ht="12.75">
      <c r="I85" s="8"/>
      <c r="J85" s="8"/>
      <c r="M85" s="30"/>
      <c r="N85" s="31"/>
      <c r="P85" s="31"/>
    </row>
    <row r="86" spans="13:16" ht="12.75">
      <c r="M86" s="30"/>
      <c r="N86" s="31"/>
      <c r="P86" s="31"/>
    </row>
    <row r="87" spans="13:16" ht="12.75">
      <c r="M87" s="30"/>
      <c r="N87" s="31"/>
      <c r="P87" s="31"/>
    </row>
    <row r="88" spans="13:16" ht="12.75">
      <c r="M88" s="30"/>
      <c r="N88" s="31"/>
      <c r="P88" s="31"/>
    </row>
    <row r="89" spans="13:16" ht="12.75">
      <c r="M89" s="30"/>
      <c r="N89" s="31"/>
      <c r="P89" s="31"/>
    </row>
    <row r="90" ht="12.75">
      <c r="M90" s="30"/>
    </row>
    <row r="91" ht="12.75">
      <c r="M91" s="30"/>
    </row>
    <row r="92" ht="12.75">
      <c r="M92" s="30"/>
    </row>
    <row r="93" ht="12.75">
      <c r="M93" s="30"/>
    </row>
    <row r="94" ht="12.75">
      <c r="M94" s="30"/>
    </row>
    <row r="95" ht="12.75">
      <c r="M95" s="30"/>
    </row>
    <row r="96" ht="12.75">
      <c r="M96" s="30"/>
    </row>
    <row r="97" ht="12.75">
      <c r="M97" s="30"/>
    </row>
    <row r="98" ht="12.75">
      <c r="M98" s="30"/>
    </row>
    <row r="99" ht="12.75">
      <c r="M99" s="30"/>
    </row>
    <row r="100" ht="12.75">
      <c r="M100" s="30"/>
    </row>
    <row r="101" ht="12.75">
      <c r="M101" s="30"/>
    </row>
    <row r="102" ht="12.75">
      <c r="M102" s="30"/>
    </row>
    <row r="103" ht="12.75">
      <c r="M103" s="30"/>
    </row>
    <row r="104" ht="12.75">
      <c r="M104" s="30"/>
    </row>
    <row r="105" ht="12.75">
      <c r="M105" s="30"/>
    </row>
    <row r="106" ht="12.75">
      <c r="M106" s="30"/>
    </row>
    <row r="107" ht="12.75">
      <c r="M107" s="30"/>
    </row>
    <row r="108" ht="12.75">
      <c r="M108" s="30"/>
    </row>
    <row r="109" ht="12.75">
      <c r="M109" s="30"/>
    </row>
    <row r="110" ht="12.75">
      <c r="M110" s="30"/>
    </row>
    <row r="111" ht="12.75">
      <c r="M111" s="30"/>
    </row>
    <row r="112" ht="12.75">
      <c r="M112" s="30"/>
    </row>
    <row r="113" ht="12.75">
      <c r="M113" s="30"/>
    </row>
    <row r="114" ht="12.75">
      <c r="M114" s="30"/>
    </row>
    <row r="115" ht="12.75">
      <c r="M115" s="30"/>
    </row>
    <row r="116" ht="12.75">
      <c r="M116" s="30"/>
    </row>
    <row r="117" ht="12.75">
      <c r="M117" s="30"/>
    </row>
    <row r="118" ht="12.75">
      <c r="M118" s="30"/>
    </row>
    <row r="119" ht="12.75">
      <c r="M119" s="30"/>
    </row>
    <row r="120" ht="12.75">
      <c r="M120" s="30"/>
    </row>
    <row r="121" ht="12.75">
      <c r="M121" s="30"/>
    </row>
    <row r="122" ht="12.75">
      <c r="M122" s="30"/>
    </row>
    <row r="123" ht="12.75">
      <c r="M123" s="30"/>
    </row>
    <row r="124" ht="12.75">
      <c r="M124" s="30"/>
    </row>
    <row r="125" ht="12.75">
      <c r="M125" s="30"/>
    </row>
    <row r="126" ht="12.75">
      <c r="M126" s="30"/>
    </row>
    <row r="127" ht="12.75">
      <c r="M127" s="30"/>
    </row>
    <row r="128" ht="12.75">
      <c r="M128" s="30"/>
    </row>
    <row r="129" ht="12.75">
      <c r="M129" s="30"/>
    </row>
    <row r="130" ht="12.75">
      <c r="M130" s="30"/>
    </row>
    <row r="131" ht="12.75">
      <c r="M131" s="30"/>
    </row>
    <row r="132" ht="12.75">
      <c r="M132" s="30"/>
    </row>
    <row r="133" ht="12.75">
      <c r="M133" s="30"/>
    </row>
    <row r="134" ht="12.75">
      <c r="M134" s="30"/>
    </row>
    <row r="135" ht="12.75">
      <c r="M135" s="30"/>
    </row>
    <row r="136" ht="12.75">
      <c r="M136" s="30"/>
    </row>
    <row r="137" ht="12.75">
      <c r="M137" s="30"/>
    </row>
    <row r="138" ht="12.75">
      <c r="M138" s="30"/>
    </row>
    <row r="139" ht="12.75">
      <c r="M139" s="30"/>
    </row>
    <row r="140" ht="12.75">
      <c r="M140" s="30"/>
    </row>
    <row r="141" ht="12.75">
      <c r="M141" s="30"/>
    </row>
    <row r="142" ht="12.75">
      <c r="M142" s="30"/>
    </row>
    <row r="143" ht="12.75">
      <c r="M143" s="30"/>
    </row>
    <row r="144" ht="12.75">
      <c r="M144" s="30"/>
    </row>
    <row r="145" ht="12.75">
      <c r="M145" s="30"/>
    </row>
  </sheetData>
  <mergeCells count="4">
    <mergeCell ref="K3:L3"/>
    <mergeCell ref="A2:P2"/>
    <mergeCell ref="A48:C48"/>
    <mergeCell ref="A1:P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E21"/>
  <sheetViews>
    <sheetView workbookViewId="0" topLeftCell="A1">
      <selection activeCell="E21" sqref="E21"/>
    </sheetView>
  </sheetViews>
  <sheetFormatPr defaultColWidth="9.140625" defaultRowHeight="12.75"/>
  <cols>
    <col min="5" max="5" width="40.7109375" style="0" customWidth="1"/>
  </cols>
  <sheetData>
    <row r="17" spans="1:5" ht="12.75">
      <c r="A17" t="s">
        <v>127</v>
      </c>
      <c r="E17" s="8">
        <f>(2144640*2000)*14000</f>
        <v>60049920000000</v>
      </c>
    </row>
    <row r="19" spans="1:5" ht="12.75">
      <c r="A19" t="s">
        <v>128</v>
      </c>
      <c r="E19" s="8">
        <v>5800000</v>
      </c>
    </row>
    <row r="21" spans="1:5" ht="12.75">
      <c r="A21" t="s">
        <v>129</v>
      </c>
      <c r="E21" s="8">
        <f>E17/E19</f>
        <v>10353434.48275862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</dc:creator>
  <cp:keywords/>
  <dc:description/>
  <cp:lastModifiedBy>EPA</cp:lastModifiedBy>
  <dcterms:created xsi:type="dcterms:W3CDTF">2008-04-21T15:01:26Z</dcterms:created>
  <dcterms:modified xsi:type="dcterms:W3CDTF">2008-10-15T17:15:23Z</dcterms:modified>
  <cp:category/>
  <cp:version/>
  <cp:contentType/>
  <cp:contentStatus/>
</cp:coreProperties>
</file>