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0" windowWidth="18015" windowHeight="12585" activeTab="3"/>
  </bookViews>
  <sheets>
    <sheet name="Sheet1" sheetId="1" r:id="rId1"/>
    <sheet name="Trans" sheetId="2" r:id="rId2"/>
    <sheet name="Trans (2)" sheetId="3" r:id="rId3"/>
    <sheet name="Trans nova" sheetId="4" r:id="rId4"/>
    <sheet name="C oa" sheetId="5" r:id="rId5"/>
    <sheet name="C nova" sheetId="6" r:id="rId6"/>
    <sheet name="Trans oa" sheetId="7" r:id="rId7"/>
    <sheet name="Trans oa ang" sheetId="8" r:id="rId8"/>
    <sheet name="Trans oa dperp" sheetId="9" r:id="rId9"/>
    <sheet name="print oa dperp" sheetId="10" r:id="rId10"/>
    <sheet name="Sheet2" sheetId="11" r:id="rId11"/>
    <sheet name="Data" sheetId="12" r:id="rId12"/>
    <sheet name="sites" sheetId="13" r:id="rId13"/>
    <sheet name="Axis" sheetId="14" r:id="rId14"/>
    <sheet name="Sheet3" sheetId="15" r:id="rId15"/>
    <sheet name="Sheet4" sheetId="16" r:id="rId16"/>
    <sheet name="Sheet5" sheetId="17" r:id="rId17"/>
    <sheet name="Sh5 tbl1" sheetId="18" r:id="rId18"/>
    <sheet name="Sh5 tbl2" sheetId="19" r:id="rId19"/>
    <sheet name="Output fmt" sheetId="20" r:id="rId20"/>
    <sheet name="Spec Rel (old)" sheetId="21" r:id="rId21"/>
    <sheet name="SR tests" sheetId="22" r:id="rId22"/>
    <sheet name="SR alt (old)" sheetId="23" r:id="rId23"/>
    <sheet name="Spec Rel curr" sheetId="24" r:id="rId24"/>
    <sheet name="Spec Rel (dev)" sheetId="25" r:id="rId25"/>
    <sheet name="Monuments" sheetId="26" r:id="rId26"/>
    <sheet name="Off Axis" sheetId="27" r:id="rId27"/>
    <sheet name="Off Axis old" sheetId="28" r:id="rId28"/>
    <sheet name="GCC to  beam" sheetId="29" r:id="rId29"/>
  </sheets>
  <definedNames>
    <definedName name="_xlnm.Print_Titles" localSheetId="13">'Axis'!$5:$8</definedName>
    <definedName name="_xlnm.Print_Titles" localSheetId="28">'GCC to  beam'!$A:$B,'GCC to  beam'!$8:$13</definedName>
    <definedName name="_xlnm.Print_Titles" localSheetId="26">'Off Axis'!$5:$8</definedName>
  </definedNames>
  <calcPr fullCalcOnLoad="1"/>
</workbook>
</file>

<file path=xl/sharedStrings.xml><?xml version="1.0" encoding="utf-8"?>
<sst xmlns="http://schemas.openxmlformats.org/spreadsheetml/2006/main" count="2602" uniqueCount="616">
  <si>
    <t>a</t>
  </si>
  <si>
    <t>b</t>
  </si>
  <si>
    <t>Latitude</t>
  </si>
  <si>
    <t>Longitude</t>
  </si>
  <si>
    <t>Ellipsoid height</t>
  </si>
  <si>
    <t>N</t>
  </si>
  <si>
    <r>
      <t>e</t>
    </r>
    <r>
      <rPr>
        <vertAlign val="superscript"/>
        <sz val="10"/>
        <rFont val="Arial"/>
        <family val="2"/>
      </rPr>
      <t>2</t>
    </r>
  </si>
  <si>
    <t>N+h</t>
  </si>
  <si>
    <t>u</t>
  </si>
  <si>
    <t>v</t>
  </si>
  <si>
    <t>w</t>
  </si>
  <si>
    <t>du</t>
  </si>
  <si>
    <t>dv</t>
  </si>
  <si>
    <t>dw</t>
  </si>
  <si>
    <t>d</t>
  </si>
  <si>
    <t>dn</t>
  </si>
  <si>
    <t>de</t>
  </si>
  <si>
    <t>'</t>
  </si>
  <si>
    <t>"</t>
  </si>
  <si>
    <t>radian</t>
  </si>
  <si>
    <t>All lengths in meters</t>
  </si>
  <si>
    <t>1/f</t>
  </si>
  <si>
    <t>A-B</t>
  </si>
  <si>
    <t>ddn</t>
  </si>
  <si>
    <t>dde</t>
  </si>
  <si>
    <t>ddu</t>
  </si>
  <si>
    <t>dd</t>
  </si>
  <si>
    <t>SHAFT</t>
  </si>
  <si>
    <t xml:space="preserve">SHAFT </t>
  </si>
  <si>
    <t>ref A 1</t>
  </si>
  <si>
    <t>ref B 1</t>
  </si>
  <si>
    <t>ddv</t>
  </si>
  <si>
    <t>ddw</t>
  </si>
  <si>
    <t xml:space="preserve"> Part B VB June 11 with 4 CORS </t>
  </si>
  <si>
    <t xml:space="preserve"> Part A WS June 9, h from optical</t>
  </si>
  <si>
    <t>line 4</t>
  </si>
  <si>
    <t>line 3</t>
  </si>
  <si>
    <t xml:space="preserve"> Part A</t>
  </si>
  <si>
    <t xml:space="preserve"> Part B </t>
  </si>
  <si>
    <t>n (m)</t>
  </si>
  <si>
    <t>e (m)</t>
  </si>
  <si>
    <t>u (m)</t>
  </si>
  <si>
    <t>Vertical Angle</t>
  </si>
  <si>
    <t>dn (m)</t>
  </si>
  <si>
    <t>de (m)</t>
  </si>
  <si>
    <t>du (m)</t>
  </si>
  <si>
    <t>D slope (m)</t>
  </si>
  <si>
    <t>Azimuth</t>
  </si>
  <si>
    <t>dl (n,e,u)</t>
  </si>
  <si>
    <t>VB June 14</t>
  </si>
  <si>
    <t>(assumed best</t>
  </si>
  <si>
    <t xml:space="preserve"> value)</t>
  </si>
  <si>
    <t>line 1</t>
  </si>
  <si>
    <t>GPS 1994</t>
  </si>
  <si>
    <t>GPS 1999</t>
  </si>
  <si>
    <t>avg. 3 days</t>
  </si>
  <si>
    <t>GPS 1998</t>
  </si>
  <si>
    <t>line 2</t>
  </si>
  <si>
    <t>VB   May 28</t>
  </si>
  <si>
    <t xml:space="preserve"> e-mail  adj.</t>
  </si>
  <si>
    <t>with 2 HARN</t>
  </si>
  <si>
    <t>(h from GPS)</t>
  </si>
  <si>
    <t>(h from optical)</t>
  </si>
  <si>
    <t>WS June 9</t>
  </si>
  <si>
    <t>SHAFT from</t>
  </si>
  <si>
    <t>measured GPS</t>
  </si>
  <si>
    <t>HARN, then 5</t>
  </si>
  <si>
    <t>e-mail  CORS</t>
  </si>
  <si>
    <t>//dD (m)</t>
  </si>
  <si>
    <t>WS June 29 avg 8 CORS baselines.</t>
  </si>
  <si>
    <t>rel just above</t>
  </si>
  <si>
    <t>adjusted</t>
  </si>
  <si>
    <t>X</t>
  </si>
  <si>
    <t>Y</t>
  </si>
  <si>
    <t>Z</t>
  </si>
  <si>
    <t>dX</t>
  </si>
  <si>
    <t>dY</t>
  </si>
  <si>
    <t>dZ</t>
  </si>
  <si>
    <t>SHAFT-6589</t>
  </si>
  <si>
    <t>measured from</t>
  </si>
  <si>
    <r>
      <t>total chi</t>
    </r>
    <r>
      <rPr>
        <vertAlign val="superscript"/>
        <sz val="10"/>
        <rFont val="Arial"/>
        <family val="2"/>
      </rPr>
      <t>2</t>
    </r>
  </si>
  <si>
    <r>
      <t>chi</t>
    </r>
    <r>
      <rPr>
        <vertAlign val="superscript"/>
        <sz val="10"/>
        <rFont val="Arial"/>
        <family val="2"/>
      </rPr>
      <t>2</t>
    </r>
  </si>
  <si>
    <r>
      <t>sub tot chi</t>
    </r>
    <r>
      <rPr>
        <vertAlign val="superscript"/>
        <sz val="10"/>
        <rFont val="Arial"/>
        <family val="2"/>
      </rPr>
      <t>2</t>
    </r>
  </si>
  <si>
    <r>
      <t>avg, chi</t>
    </r>
    <r>
      <rPr>
        <vertAlign val="superscript"/>
        <sz val="10"/>
        <rFont val="Arial"/>
        <family val="2"/>
      </rPr>
      <t>2</t>
    </r>
  </si>
  <si>
    <t>Wt (1.9cm)</t>
  </si>
  <si>
    <t>MYRE</t>
  </si>
  <si>
    <t>JERRY</t>
  </si>
  <si>
    <t>meas 4/18</t>
  </si>
  <si>
    <t>meas 4/19</t>
  </si>
  <si>
    <t>meas 4/20</t>
  </si>
  <si>
    <t>Sum</t>
  </si>
  <si>
    <t>Sum/8</t>
  </si>
  <si>
    <t>WS July 12. HARN.only, Adjust by hand</t>
  </si>
  <si>
    <t xml:space="preserve">CTM Correlated CORS Adjustment (rec. 27 Aug. 99) </t>
  </si>
  <si>
    <t>A ref A1; B ref B1</t>
  </si>
  <si>
    <t>deg</t>
  </si>
  <si>
    <t>microradian</t>
  </si>
  <si>
    <t>d azimuth</t>
  </si>
  <si>
    <t>d vertical</t>
  </si>
  <si>
    <t>TS Sept 8. NGS with 1 CORS in NAD83 1997.0</t>
  </si>
  <si>
    <t>Angles B1 to B2</t>
  </si>
  <si>
    <t>Angles A1 to A2</t>
  </si>
  <si>
    <t>azimuth</t>
  </si>
  <si>
    <t>vertical</t>
  </si>
  <si>
    <t>rad</t>
  </si>
  <si>
    <t>dd(n,e,u) len</t>
  </si>
  <si>
    <t xml:space="preserve">relative to SHAFT at CTM Correlated CORS Adjustment (rec. 27 Aug. 99) </t>
  </si>
  <si>
    <t>CFMI</t>
  </si>
  <si>
    <t>ACTRN1</t>
  </si>
  <si>
    <t>FAR Ctr</t>
  </si>
  <si>
    <t>Start of NuMI HORN 1, rel to the Center of FMI, still need 66589 GPS link</t>
  </si>
  <si>
    <t>relative to TS Sept 8. NGS with 1 CORS in NAD83 1997.0</t>
  </si>
  <si>
    <t>TS Sept 8. NGS with 1 CORS in ITRF96 1999.2968</t>
  </si>
  <si>
    <t>TS Oct 1. NGS with 1 CORS in ITRF96 1999.2968</t>
  </si>
  <si>
    <t>TS Oct 1. NGS with 1 CORS in NAD83 1997.0 (WS conv)</t>
  </si>
  <si>
    <t>DEEP</t>
  </si>
  <si>
    <t>HMLE</t>
  </si>
  <si>
    <t>rel SHAFT</t>
  </si>
  <si>
    <t>CORS NGS</t>
  </si>
  <si>
    <t>CORS VB</t>
  </si>
  <si>
    <r>
      <t>D</t>
    </r>
    <r>
      <rPr>
        <sz val="10"/>
        <rFont val="Arial"/>
        <family val="0"/>
      </rPr>
      <t>"</t>
    </r>
  </si>
  <si>
    <r>
      <t>D</t>
    </r>
    <r>
      <rPr>
        <sz val="10"/>
        <rFont val="Arial"/>
        <family val="0"/>
      </rPr>
      <t xml:space="preserve"> m</t>
    </r>
  </si>
  <si>
    <t>Inertial L27</t>
  </si>
  <si>
    <t>Inertial L10</t>
  </si>
  <si>
    <t>Inertial L12</t>
  </si>
  <si>
    <t>Inertial L23</t>
  </si>
  <si>
    <t>Surface</t>
  </si>
  <si>
    <t>Cage Surface</t>
  </si>
  <si>
    <t>Ellipsoid</t>
  </si>
  <si>
    <t>height (m)</t>
  </si>
  <si>
    <t>(m)</t>
  </si>
  <si>
    <t>Local Geodetic System,</t>
  </si>
  <si>
    <t>tangent at SHAFT</t>
  </si>
  <si>
    <t xml:space="preserve">        Latitude</t>
  </si>
  <si>
    <t xml:space="preserve">        Longitude</t>
  </si>
  <si>
    <t>FAR Ctr 99</t>
  </si>
  <si>
    <t>FARctr 2001</t>
  </si>
  <si>
    <t>(NAD83)</t>
  </si>
  <si>
    <t>(FNAL)</t>
  </si>
  <si>
    <t>y input</t>
  </si>
  <si>
    <t>z input</t>
  </si>
  <si>
    <r>
      <t xml:space="preserve">Long        </t>
    </r>
    <r>
      <rPr>
        <vertAlign val="superscript"/>
        <sz val="10"/>
        <rFont val="Arial"/>
        <family val="2"/>
      </rPr>
      <t xml:space="preserve"> 0</t>
    </r>
  </si>
  <si>
    <r>
      <t xml:space="preserve">Lat 1        </t>
    </r>
    <r>
      <rPr>
        <vertAlign val="superscript"/>
        <sz val="10"/>
        <rFont val="Arial"/>
        <family val="2"/>
      </rPr>
      <t xml:space="preserve"> 0</t>
    </r>
  </si>
  <si>
    <r>
      <t xml:space="preserve">Lat k-1      </t>
    </r>
    <r>
      <rPr>
        <vertAlign val="superscript"/>
        <sz val="10"/>
        <rFont val="Arial"/>
        <family val="2"/>
      </rPr>
      <t xml:space="preserve"> 0</t>
    </r>
  </si>
  <si>
    <r>
      <t xml:space="preserve">Lat k        </t>
    </r>
    <r>
      <rPr>
        <vertAlign val="superscript"/>
        <sz val="10"/>
        <rFont val="Arial"/>
        <family val="2"/>
      </rPr>
      <t xml:space="preserve"> 0</t>
    </r>
  </si>
  <si>
    <t>h        m</t>
  </si>
  <si>
    <t>Find Lat, Long, h from x,y,z</t>
  </si>
  <si>
    <t>Only change cells with black borders.</t>
  </si>
  <si>
    <t>Do it by using paste special (value)</t>
  </si>
  <si>
    <t>1. Enter x,y,z</t>
  </si>
  <si>
    <t>2. Copy "Lat 1" or red border cell</t>
  </si>
  <si>
    <t xml:space="preserve">    to black border Lat k-1 cell.</t>
  </si>
  <si>
    <t>3. Iterate Latitude equation by</t>
  </si>
  <si>
    <t xml:space="preserve">    copying red border cell to black</t>
  </si>
  <si>
    <t xml:space="preserve">    border cell until they agree. </t>
  </si>
  <si>
    <t>x input</t>
  </si>
  <si>
    <t>FARctr-Actrn1</t>
  </si>
  <si>
    <t>x</t>
  </si>
  <si>
    <t>y</t>
  </si>
  <si>
    <t>z</t>
  </si>
  <si>
    <t>c</t>
  </si>
  <si>
    <r>
      <t>w</t>
    </r>
    <r>
      <rPr>
        <sz val="10"/>
        <rFont val="Arial"/>
        <family val="2"/>
      </rPr>
      <t xml:space="preserve"> Earth</t>
    </r>
  </si>
  <si>
    <t>radian/sec</t>
  </si>
  <si>
    <t>m/s</t>
  </si>
  <si>
    <t xml:space="preserve">Earth Rotation </t>
  </si>
  <si>
    <t>Trans 1</t>
  </si>
  <si>
    <t>T1</t>
  </si>
  <si>
    <t>spec rel</t>
  </si>
  <si>
    <t>second</t>
  </si>
  <si>
    <t xml:space="preserve">Far Aim </t>
  </si>
  <si>
    <t>flight time</t>
  </si>
  <si>
    <t>FARaim-Actrn</t>
  </si>
  <si>
    <t>Far goal</t>
  </si>
  <si>
    <t>FARgoal-Actrn</t>
  </si>
  <si>
    <t>Above - spec rel</t>
  </si>
  <si>
    <t>Sqrt(1-(v/c)**2)</t>
  </si>
  <si>
    <r>
      <t>1+vu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>'/c**2</t>
    </r>
  </si>
  <si>
    <t>FAR goal</t>
  </si>
  <si>
    <t>Earth Rot: horn</t>
  </si>
  <si>
    <r>
      <t>D</t>
    </r>
    <r>
      <rPr>
        <sz val="10"/>
        <rFont val="Arial"/>
        <family val="0"/>
      </rPr>
      <t xml:space="preserve"> FAR beam{SR} rotate</t>
    </r>
  </si>
  <si>
    <r>
      <t>D</t>
    </r>
    <r>
      <rPr>
        <sz val="10"/>
        <rFont val="Arial"/>
        <family val="0"/>
      </rPr>
      <t xml:space="preserve"> FAR far rotation</t>
    </r>
  </si>
  <si>
    <r>
      <t>D</t>
    </r>
    <r>
      <rPr>
        <sz val="10"/>
        <rFont val="Arial"/>
        <family val="0"/>
      </rPr>
      <t xml:space="preserve"> FAR (beam{SR}-far)</t>
    </r>
  </si>
  <si>
    <r>
      <t>D</t>
    </r>
    <r>
      <rPr>
        <sz val="10"/>
        <rFont val="Arial"/>
        <family val="0"/>
      </rPr>
      <t xml:space="preserve"> FAR beam{non} rotate</t>
    </r>
  </si>
  <si>
    <r>
      <t>D</t>
    </r>
    <r>
      <rPr>
        <sz val="10"/>
        <rFont val="Arial"/>
        <family val="0"/>
      </rPr>
      <t xml:space="preserve"> FAR (beam{non}-far)</t>
    </r>
  </si>
  <si>
    <r>
      <t>D</t>
    </r>
    <r>
      <rPr>
        <sz val="10"/>
        <rFont val="Arial"/>
        <family val="0"/>
      </rPr>
      <t xml:space="preserve"> FAR beam{SR-non} </t>
    </r>
  </si>
  <si>
    <t>T1 u'</t>
  </si>
  <si>
    <t>T1 u</t>
  </si>
  <si>
    <t>survey</t>
  </si>
  <si>
    <r>
      <t>q</t>
    </r>
    <r>
      <rPr>
        <sz val="10"/>
        <rFont val="Arial"/>
        <family val="2"/>
      </rPr>
      <t xml:space="preserve"> Trans 1</t>
    </r>
  </si>
  <si>
    <r>
      <t>w</t>
    </r>
    <r>
      <rPr>
        <sz val="10"/>
        <rFont val="Arial"/>
        <family val="0"/>
      </rPr>
      <t>t =</t>
    </r>
  </si>
  <si>
    <r>
      <t>q</t>
    </r>
    <r>
      <rPr>
        <sz val="10"/>
        <rFont val="Arial"/>
        <family val="2"/>
      </rPr>
      <t xml:space="preserve"> Trans 2 = -</t>
    </r>
  </si>
  <si>
    <t>Trans 2</t>
  </si>
  <si>
    <t>T2 u</t>
  </si>
  <si>
    <t>FarGoal-source</t>
  </si>
  <si>
    <t>FarGoal</t>
  </si>
  <si>
    <t>source</t>
  </si>
  <si>
    <t xml:space="preserve">T1 u </t>
  </si>
  <si>
    <t xml:space="preserve">T2  </t>
  </si>
  <si>
    <t>Actrn</t>
  </si>
  <si>
    <t>source-actrn</t>
  </si>
  <si>
    <t>Uses Geocentric Cartesian Coordinate System (GCCS), right handed with z axis (+North) along Earth spin axis</t>
  </si>
  <si>
    <t>CS 2 at instant beam arrives at center of Far detector at Soudan, GCCS non-rotating relative to stars</t>
  </si>
  <si>
    <t>v is the velocity of the primed CS relative to the unprimed CS and is the velocity of horn 1 due to earth rotation.</t>
  </si>
  <si>
    <t>the far detector because of earth rotation</t>
  </si>
  <si>
    <r>
      <t>In "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 FAR far rotation": D FAR means displacement at the far detector, "far rotation" means due to motion of</t>
    </r>
  </si>
  <si>
    <t>using special relativity) and the motion of the far detector.</t>
  </si>
  <si>
    <r>
      <t>D</t>
    </r>
    <r>
      <rPr>
        <sz val="10"/>
        <rFont val="Arial"/>
        <family val="0"/>
      </rPr>
      <t xml:space="preserve"> FAR (beam{SR}-far) means difference in displacement at the far detector between the beam (calculated</t>
    </r>
  </si>
  <si>
    <t>Check that beam aimed at "Far Aim" hits "Far Goal"</t>
  </si>
  <si>
    <t>Effect, including Special Relativity, of Earth Rotation on the NuMI Beam.</t>
  </si>
  <si>
    <t>and +x axis through the prime (Greenwich) Meridan.  Units are meter, m/s.</t>
  </si>
  <si>
    <t>Primed coordinate system (CS) at instant beam enters horn 1 at Fermilab, GCCS rotating with the Earth.</t>
  </si>
  <si>
    <t>Unprimed coordinate system at instant beam enters horn 1 at Fermilab, GCCS non-rotating relative to stars</t>
  </si>
  <si>
    <t>u is the velocity of the neutrino beam (assumed here to be at the speed of light, c).</t>
  </si>
  <si>
    <t>Special Relativity effects and notation follow J. D. Jackson "Classical Electrodynamics", p 360 (1962).</t>
  </si>
  <si>
    <t>Far Aim is where the beam must be pointed to achieve this.</t>
  </si>
  <si>
    <t>FAR goal is where the beam should be when it reaches the far detector, ie the surveyed FARctr 2001 in CS 2,</t>
  </si>
  <si>
    <t>Trans 2 takes primed CS into CS 2.</t>
  </si>
  <si>
    <t>Transformation 1 rotates prime CS so that v is along x' (you also need to interchange x,z in Jackson formulas).</t>
  </si>
  <si>
    <t>Source is where the beam appears to come from in CS 2.</t>
  </si>
  <si>
    <t>m</t>
  </si>
  <si>
    <r>
      <t>Sqrt(1-(v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>/c)**2)</t>
    </r>
  </si>
  <si>
    <r>
      <t>1+v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>u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>'/c**2</t>
    </r>
  </si>
  <si>
    <r>
      <t>v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Orbit</t>
    </r>
  </si>
  <si>
    <r>
      <t>w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Orbit</t>
    </r>
  </si>
  <si>
    <r>
      <t>r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Orbit</t>
    </r>
  </si>
  <si>
    <r>
      <t>D</t>
    </r>
    <r>
      <rPr>
        <sz val="10"/>
        <rFont val="Arial"/>
        <family val="0"/>
      </rPr>
      <t xml:space="preserve"> FAR far orbit</t>
    </r>
  </si>
  <si>
    <t>Horn 1</t>
  </si>
  <si>
    <t>FarCtr</t>
  </si>
  <si>
    <t>Along</t>
  </si>
  <si>
    <t>x'</t>
  </si>
  <si>
    <t>Far-Horn</t>
  </si>
  <si>
    <t>u'</t>
  </si>
  <si>
    <t xml:space="preserve">u </t>
  </si>
  <si>
    <t>t</t>
  </si>
  <si>
    <t>Far arrival</t>
  </si>
  <si>
    <t>D</t>
  </si>
  <si>
    <r>
      <t>x'+</t>
    </r>
    <r>
      <rPr>
        <sz val="10"/>
        <rFont val="Symbol"/>
        <family val="1"/>
      </rPr>
      <t>D</t>
    </r>
  </si>
  <si>
    <r>
      <t>D</t>
    </r>
    <r>
      <rPr>
        <sz val="10"/>
        <rFont val="Arial"/>
        <family val="0"/>
      </rPr>
      <t xml:space="preserve"> beam beam rotation</t>
    </r>
  </si>
  <si>
    <r>
      <t xml:space="preserve">FAR corr </t>
    </r>
    <r>
      <rPr>
        <sz val="10"/>
        <rFont val="Symbol"/>
        <family val="1"/>
      </rPr>
      <t>D</t>
    </r>
    <r>
      <rPr>
        <sz val="10"/>
        <rFont val="Arial"/>
        <family val="2"/>
      </rPr>
      <t xml:space="preserve"> rotation</t>
    </r>
  </si>
  <si>
    <t>x T1</t>
  </si>
  <si>
    <t>t T1</t>
  </si>
  <si>
    <r>
      <t>u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T1 </t>
    </r>
  </si>
  <si>
    <t>difference</t>
  </si>
  <si>
    <t>FAR aim</t>
  </si>
  <si>
    <r>
      <t>In "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 FAR far rotation": 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 FAR means displacement at the far detector, "far rotation" means due to motion of</t>
    </r>
  </si>
  <si>
    <t>d T1</t>
  </si>
  <si>
    <t>t' flight time</t>
  </si>
  <si>
    <t>t (flight time)</t>
  </si>
  <si>
    <t>FARctr-Actrn</t>
  </si>
  <si>
    <t>detector between the beam (calculated using special relativity) and the motion of the far detector.</t>
  </si>
  <si>
    <r>
      <t xml:space="preserve">the far detector because of earth rotation. </t>
    </r>
    <r>
      <rPr>
        <sz val="10"/>
        <rFont val="Symbol"/>
        <family val="1"/>
      </rPr>
      <t xml:space="preserve"> D</t>
    </r>
    <r>
      <rPr>
        <sz val="10"/>
        <rFont val="Arial"/>
        <family val="0"/>
      </rPr>
      <t xml:space="preserve"> FAR (beam{SR}-far) means difference in displacement at the </t>
    </r>
  </si>
  <si>
    <t>Unprimed coordinate system (CS) at instant beam enters horn 1 at Fermilab, GCCS non-rotating relative to stars</t>
  </si>
  <si>
    <t>Trans 2 takes unprimed CS into CS 2.  NR means calculated without using relativity.</t>
  </si>
  <si>
    <t>Source is where the beam appears to come from, viewed from the far detector, in CS 2.</t>
  </si>
  <si>
    <t xml:space="preserve">horn: Earth rot </t>
  </si>
  <si>
    <t>&lt;net SR effect</t>
  </si>
  <si>
    <r>
      <t>D</t>
    </r>
    <r>
      <rPr>
        <sz val="10"/>
        <rFont val="Arial"/>
        <family val="0"/>
      </rPr>
      <t xml:space="preserve"> beam beam{NR} rot</t>
    </r>
  </si>
  <si>
    <r>
      <t>D</t>
    </r>
    <r>
      <rPr>
        <sz val="10"/>
        <rFont val="Arial"/>
        <family val="0"/>
      </rPr>
      <t xml:space="preserve"> FAR (beam{NR}-far)</t>
    </r>
  </si>
  <si>
    <r>
      <t>D</t>
    </r>
    <r>
      <rPr>
        <sz val="10"/>
        <rFont val="Arial"/>
        <family val="0"/>
      </rPr>
      <t xml:space="preserve"> FAR beam{SR-NR} </t>
    </r>
  </si>
  <si>
    <t>FAR Aim</t>
  </si>
  <si>
    <t>NAD 83</t>
  </si>
  <si>
    <t>Primed CS at instant beam enters horn 1 at Fermilab, GCCS with horn 1 velocity of Earth rotation (at t=0).</t>
  </si>
  <si>
    <t>NAD 83 - Fermi CS  from NGS, Fermi on 66589, 63, &amp; 91</t>
  </si>
  <si>
    <t>(Fermi)</t>
  </si>
  <si>
    <t>Fermi</t>
  </si>
  <si>
    <t>ft</t>
  </si>
  <si>
    <t>LTCS_Z</t>
  </si>
  <si>
    <t>ws 5 dec 01</t>
  </si>
  <si>
    <t>NAD 83 - Fermi CS</t>
  </si>
  <si>
    <t xml:space="preserve"> </t>
  </si>
  <si>
    <t>DKINHL</t>
  </si>
  <si>
    <t>FNAL m</t>
  </si>
  <si>
    <t>m1  ft</t>
  </si>
  <si>
    <t>m   ft</t>
  </si>
  <si>
    <r>
      <t xml:space="preserve">    </t>
    </r>
    <r>
      <rPr>
        <sz val="10"/>
        <rFont val="Arial"/>
        <family val="2"/>
      </rPr>
      <t xml:space="preserve"> 24 Feb 00</t>
    </r>
  </si>
  <si>
    <t>m1  m</t>
  </si>
  <si>
    <t>Lucas 011207</t>
  </si>
  <si>
    <t>DWNRN1</t>
  </si>
  <si>
    <t>m1   ft</t>
  </si>
  <si>
    <t>diff above 2</t>
  </si>
  <si>
    <t>distance</t>
  </si>
  <si>
    <t>right of beam</t>
  </si>
  <si>
    <t>along beam</t>
  </si>
  <si>
    <t>up from beam</t>
  </si>
  <si>
    <t>x'   ("East")</t>
  </si>
  <si>
    <t>y'  ("North")</t>
  </si>
  <si>
    <t>z'  ("Up")</t>
  </si>
  <si>
    <t>Transform selected vectors into beam based CS (x' is in the x,y plane)</t>
  </si>
  <si>
    <r>
      <t>q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 xml:space="preserve"> (radian)</t>
    </r>
  </si>
  <si>
    <r>
      <t>q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(radian)</t>
    </r>
  </si>
  <si>
    <t>Fermi-NAD83</t>
  </si>
  <si>
    <t>Far Ctr 01-99</t>
  </si>
  <si>
    <t>DO NOT</t>
  </si>
  <si>
    <t>USE</t>
  </si>
  <si>
    <t>(cor. 011207)</t>
  </si>
  <si>
    <t>Beam sheet</t>
  </si>
  <si>
    <t>cr 011207</t>
  </si>
  <si>
    <r>
      <t xml:space="preserve">  D </t>
    </r>
    <r>
      <rPr>
        <sz val="10"/>
        <rFont val="Arial"/>
        <family val="2"/>
      </rPr>
      <t>FAR (beam{SR}-far)</t>
    </r>
  </si>
  <si>
    <r>
      <t xml:space="preserve">  D</t>
    </r>
    <r>
      <rPr>
        <sz val="10"/>
        <rFont val="Arial"/>
        <family val="0"/>
      </rPr>
      <t xml:space="preserve"> FAR (beam{SR}-far)</t>
    </r>
  </si>
  <si>
    <t>Net Changes</t>
  </si>
  <si>
    <t>FarGoal T2=</t>
  </si>
  <si>
    <t>FARctr 01</t>
  </si>
  <si>
    <t>source T2</t>
  </si>
  <si>
    <t>POINT NAME</t>
  </si>
  <si>
    <t>X(+EAST)</t>
  </si>
  <si>
    <t>Y(+NORTH)</t>
  </si>
  <si>
    <t>Z(+UP)</t>
  </si>
  <si>
    <t>tBRASS_5</t>
  </si>
  <si>
    <t>TS Oct 1.  NAD83 1997.0 (WS conv)</t>
  </si>
  <si>
    <t xml:space="preserve">Garmin GPS III+ in NAD83, 19 June 2000 </t>
  </si>
  <si>
    <t>Year</t>
  </si>
  <si>
    <t>north</t>
  </si>
  <si>
    <t>east</t>
  </si>
  <si>
    <t>Receiver</t>
  </si>
  <si>
    <t>Yes</t>
  </si>
  <si>
    <t>No</t>
  </si>
  <si>
    <t>meter</t>
  </si>
  <si>
    <t>Professional</t>
  </si>
  <si>
    <t>Hand held</t>
  </si>
  <si>
    <t>Distance</t>
  </si>
  <si>
    <t>Simulta-</t>
  </si>
  <si>
    <t xml:space="preserve">         Azimuth   </t>
  </si>
  <si>
    <t>Vertical</t>
  </si>
  <si>
    <r>
      <t>|(</t>
    </r>
    <r>
      <rPr>
        <sz val="10"/>
        <rFont val="Symbol"/>
        <family val="1"/>
      </rPr>
      <t>d</t>
    </r>
    <r>
      <rPr>
        <sz val="10"/>
        <rFont val="Arial"/>
        <family val="0"/>
      </rPr>
      <t>n,</t>
    </r>
    <r>
      <rPr>
        <sz val="10"/>
        <rFont val="Symbol"/>
        <family val="1"/>
      </rPr>
      <t>d</t>
    </r>
    <r>
      <rPr>
        <sz val="10"/>
        <rFont val="Arial"/>
        <family val="0"/>
      </rPr>
      <t>e,</t>
    </r>
    <r>
      <rPr>
        <sz val="10"/>
        <rFont val="Symbol"/>
        <family val="1"/>
      </rPr>
      <t>d</t>
    </r>
    <r>
      <rPr>
        <sz val="10"/>
        <rFont val="Arial"/>
        <family val="0"/>
      </rPr>
      <t>u)|</t>
    </r>
  </si>
  <si>
    <t>(ACTRN1 from 24 July 00 Beam Sheet)</t>
  </si>
  <si>
    <t>file SHARE/Bocean/Decay Tunnel Control/Coordinate Systems Transformatiom.txt</t>
  </si>
  <si>
    <t>ID</t>
  </si>
  <si>
    <t xml:space="preserve"> (West)</t>
  </si>
  <si>
    <t>h</t>
  </si>
  <si>
    <t>H</t>
  </si>
  <si>
    <t>DDD</t>
  </si>
  <si>
    <t>MM</t>
  </si>
  <si>
    <t>SS.ssssss</t>
  </si>
  <si>
    <t>TGTsft</t>
  </si>
  <si>
    <t>CNSTRsft</t>
  </si>
  <si>
    <t>MINOSsft</t>
  </si>
  <si>
    <t>file SHARE/Bocean/Precise Surface Network/Final Coordinates LTCS_XYH.txt</t>
  </si>
  <si>
    <t>???</t>
  </si>
  <si>
    <t>NAD83 1997.0</t>
  </si>
  <si>
    <t>Coordinate System (GCCS)</t>
  </si>
  <si>
    <t xml:space="preserve">     Geocentric Cartesian </t>
  </si>
  <si>
    <t>y'</t>
  </si>
  <si>
    <t>z'</t>
  </si>
  <si>
    <t>along</t>
  </si>
  <si>
    <t>transverse</t>
  </si>
  <si>
    <t xml:space="preserve">           Relative to Beam</t>
  </si>
  <si>
    <t>total</t>
  </si>
  <si>
    <t>Mine Centre</t>
  </si>
  <si>
    <t>Relative to the specified point, it’s "On Beam Axis" point is:</t>
  </si>
  <si>
    <t>On Beam Axis point</t>
  </si>
  <si>
    <t>d north</t>
  </si>
  <si>
    <t>d east</t>
  </si>
  <si>
    <t>d up</t>
  </si>
  <si>
    <t>Vermilion Bay</t>
  </si>
  <si>
    <t>Red Lake</t>
  </si>
  <si>
    <t>Satellite</t>
  </si>
  <si>
    <t>Precision</t>
  </si>
  <si>
    <t>Include</t>
  </si>
  <si>
    <t>CORS</t>
  </si>
  <si>
    <t xml:space="preserve">Positions </t>
  </si>
  <si>
    <t xml:space="preserve">neous </t>
  </si>
  <si>
    <t>(hour)</t>
  </si>
  <si>
    <t>Measure</t>
  </si>
  <si>
    <t>time</t>
  </si>
  <si>
    <t xml:space="preserve">&lt;1  </t>
  </si>
  <si>
    <t xml:space="preserve">up  </t>
  </si>
  <si>
    <t>(meter)</t>
  </si>
  <si>
    <t>from 1999</t>
  </si>
  <si>
    <t>Deviation</t>
  </si>
  <si>
    <t>2nd Red Lake</t>
  </si>
  <si>
    <t>2nd Mine Ctr</t>
  </si>
  <si>
    <t>2nd Vermilion</t>
  </si>
  <si>
    <t>(radian)</t>
  </si>
  <si>
    <t>Beam</t>
  </si>
  <si>
    <t>Angle</t>
  </si>
  <si>
    <t>LTV</t>
  </si>
  <si>
    <t>from Stan</t>
  </si>
  <si>
    <t>Turtle River 11</t>
  </si>
  <si>
    <t>Gas Station 11</t>
  </si>
  <si>
    <t>End of 618</t>
  </si>
  <si>
    <t>Junkyard 17</t>
  </si>
  <si>
    <t>Granite Quary</t>
  </si>
  <si>
    <t>Empty Lot 17</t>
  </si>
  <si>
    <t>FAR -ACTRN</t>
  </si>
  <si>
    <t>Near</t>
  </si>
  <si>
    <t>Adam Para</t>
  </si>
  <si>
    <t>Ash River A</t>
  </si>
  <si>
    <t>Ash River B</t>
  </si>
  <si>
    <t>Ash River C</t>
  </si>
  <si>
    <t>Ash River D</t>
  </si>
  <si>
    <t>Ash River E</t>
  </si>
  <si>
    <t>Ash River F</t>
  </si>
  <si>
    <t>(degree)</t>
  </si>
  <si>
    <t>Ash River D'</t>
  </si>
  <si>
    <t>Table 12.2</t>
  </si>
  <si>
    <t>e-mail 25 Oct. 03</t>
  </si>
  <si>
    <t xml:space="preserve"> G. Feldman</t>
  </si>
  <si>
    <t>1210' above sea level (per Gary Feldman 4/20/05 e-mail) (H=368.808 m), N=-32 m, h=H+N=ellipsoid height</t>
  </si>
  <si>
    <t>dx</t>
  </si>
  <si>
    <t>dy</t>
  </si>
  <si>
    <t>dz</t>
  </si>
  <si>
    <t>cell for input</t>
  </si>
  <si>
    <t>Local Geodetic Coordinates of A2; ref A1</t>
  </si>
  <si>
    <t>Geodetic Coordinates</t>
  </si>
  <si>
    <t>A1</t>
  </si>
  <si>
    <t>Part A</t>
  </si>
  <si>
    <t>A2</t>
  </si>
  <si>
    <t>Geocentric Cartesian Coordinates</t>
  </si>
  <si>
    <t xml:space="preserve">            Angles A1 to A2</t>
  </si>
  <si>
    <t>Convert from Ellipsoid height, Latitude, and Longitude to</t>
  </si>
  <si>
    <t xml:space="preserve"> Geocentric Cartesian and Local Geodetic Coordinates</t>
  </si>
  <si>
    <t>h       ( m)</t>
  </si>
  <si>
    <t>1. Enter x,y,z using paste special (value)</t>
  </si>
  <si>
    <t>2. Copy "Lat 1" or red border cell to black</t>
  </si>
  <si>
    <t xml:space="preserve">     border Lat k-1cell using paste special</t>
  </si>
  <si>
    <t xml:space="preserve">     (value)</t>
  </si>
  <si>
    <t>Convert degrees, minutes, seconds to degrees</t>
  </si>
  <si>
    <t>Convert degrees to degrees, minutes, seconds</t>
  </si>
  <si>
    <t>Part B</t>
  </si>
  <si>
    <t>B1</t>
  </si>
  <si>
    <t>B2</t>
  </si>
  <si>
    <t xml:space="preserve">            Angles B1 to B2</t>
  </si>
  <si>
    <t>Local Geodetic Coordinates of B2; ref B1</t>
  </si>
  <si>
    <t>ddx</t>
  </si>
  <si>
    <t>ddy</t>
  </si>
  <si>
    <t>ddz</t>
  </si>
  <si>
    <r>
      <t>i</t>
    </r>
    <r>
      <rPr>
        <sz val="10"/>
        <rFont val="Arial"/>
        <family val="2"/>
      </rPr>
      <t xml:space="preserve"> Lat k-1   </t>
    </r>
    <r>
      <rPr>
        <vertAlign val="superscript"/>
        <sz val="10"/>
        <rFont val="Arial"/>
        <family val="2"/>
      </rPr>
      <t xml:space="preserve"> 0</t>
    </r>
  </si>
  <si>
    <r>
      <t xml:space="preserve">Lat k </t>
    </r>
    <r>
      <rPr>
        <sz val="10"/>
        <rFont val="Wingdings 3"/>
        <family val="1"/>
      </rPr>
      <t>k</t>
    </r>
  </si>
  <si>
    <t xml:space="preserve"> Enter absolute value input data only in cells with black borders using paste special (value)</t>
  </si>
  <si>
    <r>
      <t>Lat 1</t>
    </r>
    <r>
      <rPr>
        <sz val="10"/>
        <rFont val="Wingdings 3"/>
        <family val="1"/>
      </rPr>
      <t>g</t>
    </r>
  </si>
  <si>
    <t>For negative input data, enter absolute value and append minus sign to result.</t>
  </si>
  <si>
    <t>N (m)</t>
  </si>
  <si>
    <t>H (feet)</t>
  </si>
  <si>
    <t>h (m)</t>
  </si>
  <si>
    <r>
      <t xml:space="preserve">N      </t>
    </r>
    <r>
      <rPr>
        <sz val="10"/>
        <rFont val="Wingdings 3"/>
        <family val="1"/>
      </rPr>
      <t>g</t>
    </r>
  </si>
  <si>
    <r>
      <t xml:space="preserve">N+h   </t>
    </r>
    <r>
      <rPr>
        <sz val="10"/>
        <rFont val="Wingdings 3"/>
        <family val="1"/>
      </rPr>
      <t>g</t>
    </r>
  </si>
  <si>
    <r>
      <t xml:space="preserve">(radians) </t>
    </r>
    <r>
      <rPr>
        <sz val="10"/>
        <rFont val="Wingdings 3"/>
        <family val="1"/>
      </rPr>
      <t>g</t>
    </r>
  </si>
  <si>
    <r>
      <t xml:space="preserve">0  </t>
    </r>
    <r>
      <rPr>
        <sz val="10"/>
        <rFont val="Arial"/>
        <family val="0"/>
      </rPr>
      <t xml:space="preserve"> 3. Iterate Latitude equation by copying red border cell to </t>
    </r>
  </si>
  <si>
    <t xml:space="preserve">       black border cell, using paste special (value),</t>
  </si>
  <si>
    <t xml:space="preserve">       until the red and black bordered cells agree.</t>
  </si>
  <si>
    <t xml:space="preserve">   4. Copy h, Lat, Long to desired locations, using</t>
  </si>
  <si>
    <t xml:space="preserve">       paste special (value),</t>
  </si>
  <si>
    <t>Find h, Latitude, Longitude from x,y,z</t>
  </si>
  <si>
    <r>
      <t xml:space="preserve">Longitude   </t>
    </r>
    <r>
      <rPr>
        <vertAlign val="superscript"/>
        <sz val="10"/>
        <rFont val="Arial"/>
        <family val="2"/>
      </rPr>
      <t xml:space="preserve"> 0</t>
    </r>
  </si>
  <si>
    <t xml:space="preserve"> WS June 9, h from optical</t>
  </si>
  <si>
    <t xml:space="preserve"> VB June 11 with 4 CORS </t>
  </si>
  <si>
    <t>DO NOT USE</t>
  </si>
  <si>
    <t>NAD83</t>
  </si>
  <si>
    <t>Find ellipsoid height, h, in meters</t>
  </si>
  <si>
    <t>from elevation, H, in feet. h=H+N</t>
  </si>
  <si>
    <t>Linear Interpolation</t>
  </si>
  <si>
    <t>Parameter</t>
  </si>
  <si>
    <t>Result</t>
  </si>
  <si>
    <t xml:space="preserve"> All data input should be by typing or using paste special-value. Only change cells marked for input.</t>
  </si>
  <si>
    <r>
      <t xml:space="preserve">Latitude   </t>
    </r>
    <r>
      <rPr>
        <vertAlign val="superscript"/>
        <sz val="10"/>
        <rFont val="Arial"/>
        <family val="2"/>
      </rPr>
      <t>0</t>
    </r>
  </si>
  <si>
    <r>
      <t xml:space="preserve">Longitude </t>
    </r>
    <r>
      <rPr>
        <vertAlign val="superscript"/>
        <sz val="10"/>
        <rFont val="Arial"/>
        <family val="2"/>
      </rPr>
      <t xml:space="preserve"> 0</t>
    </r>
  </si>
  <si>
    <r>
      <t>q</t>
    </r>
    <r>
      <rPr>
        <vertAlign val="subscript"/>
        <sz val="10"/>
        <rFont val="Arial"/>
        <family val="2"/>
      </rPr>
      <t>xy</t>
    </r>
    <r>
      <rPr>
        <sz val="10"/>
        <rFont val="Arial"/>
        <family val="2"/>
      </rPr>
      <t xml:space="preserve"> (radian)</t>
    </r>
  </si>
  <si>
    <r>
      <t>q</t>
    </r>
    <r>
      <rPr>
        <vertAlign val="subscript"/>
        <sz val="10"/>
        <rFont val="Arial"/>
        <family val="2"/>
      </rPr>
      <t>z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>(radian)</t>
    </r>
  </si>
  <si>
    <t>Offaxis Calculation</t>
  </si>
  <si>
    <t>NuMI Beam Definition</t>
  </si>
  <si>
    <t>A2 Relative to NuMI Beam</t>
  </si>
  <si>
    <t>degrees</t>
  </si>
  <si>
    <t>Special Translation Calculation Page for Offaxis Detector Locations</t>
  </si>
  <si>
    <t xml:space="preserve">               (Setup to Find Lines of Constant Angle Offaxis)</t>
  </si>
  <si>
    <t>Angle to</t>
  </si>
  <si>
    <t>Angle to B (rad)</t>
  </si>
  <si>
    <t>Ellipsoid ht.</t>
  </si>
  <si>
    <t>dist.</t>
  </si>
  <si>
    <t>dist. along</t>
  </si>
  <si>
    <t>dist. Trans</t>
  </si>
  <si>
    <t>Ang (rad)</t>
  </si>
  <si>
    <t>Ang (deg)</t>
  </si>
  <si>
    <t>frac of len</t>
  </si>
  <si>
    <r>
      <t>q</t>
    </r>
    <r>
      <rPr>
        <vertAlign val="subscript"/>
        <sz val="10"/>
        <rFont val="Arial"/>
        <family val="2"/>
      </rPr>
      <t>xy</t>
    </r>
  </si>
  <si>
    <r>
      <t>q</t>
    </r>
    <r>
      <rPr>
        <vertAlign val="subscript"/>
        <sz val="10"/>
        <rFont val="Arial"/>
        <family val="2"/>
      </rPr>
      <t>z</t>
    </r>
  </si>
  <si>
    <t>NuMI Beam Axis in NAD83 1997.0</t>
  </si>
  <si>
    <t>Relative to Beam</t>
  </si>
  <si>
    <t>10 mrad</t>
  </si>
  <si>
    <t>d lat 100 km</t>
  </si>
  <si>
    <t>d long 100 km</t>
  </si>
  <si>
    <t>"Chicago"</t>
  </si>
  <si>
    <t>"Barcelona"</t>
  </si>
  <si>
    <t>Geodetic</t>
  </si>
  <si>
    <t>Coordinates</t>
  </si>
  <si>
    <t>Geocentric</t>
  </si>
  <si>
    <t>Cartesian</t>
  </si>
  <si>
    <t>Enter absolute value input data only in cells with black borders using paste special (value)</t>
  </si>
  <si>
    <t>answer</t>
  </si>
  <si>
    <t>along y' (m)</t>
  </si>
  <si>
    <t>total transverse</t>
  </si>
  <si>
    <t>angle (rad)</t>
  </si>
  <si>
    <t>angle (deg)</t>
  </si>
  <si>
    <t>Dist along</t>
  </si>
  <si>
    <t>Half Way</t>
  </si>
  <si>
    <t>0.495 Way</t>
  </si>
  <si>
    <t>0.501 Way</t>
  </si>
  <si>
    <t>0.502 Way</t>
  </si>
  <si>
    <t>0.504 Way</t>
  </si>
  <si>
    <t>0.5046 Way</t>
  </si>
  <si>
    <t>0.5048 Way</t>
  </si>
  <si>
    <t>0.505 Way</t>
  </si>
  <si>
    <t>0.5055 Way</t>
  </si>
  <si>
    <t>0.506 Way</t>
  </si>
  <si>
    <t>1.103423 Way</t>
  </si>
  <si>
    <t>2 Harbors Lt</t>
  </si>
  <si>
    <t>0.865 Way</t>
  </si>
  <si>
    <t>0.1097 Way</t>
  </si>
  <si>
    <t>Madison</t>
  </si>
  <si>
    <t>0.2219 Way</t>
  </si>
  <si>
    <t>Dir House</t>
  </si>
  <si>
    <t>dd(n,e)</t>
  </si>
  <si>
    <t>0.0025 Way</t>
  </si>
  <si>
    <t>0.0025- Way</t>
  </si>
  <si>
    <t>.0025++ Way</t>
  </si>
  <si>
    <t>0.0025+ Way</t>
  </si>
  <si>
    <t>Kirk-Wilson</t>
  </si>
  <si>
    <t>.0030 Way</t>
  </si>
  <si>
    <t>.0031 Way</t>
  </si>
  <si>
    <t>.0032 Way</t>
  </si>
  <si>
    <t>.0036 Way</t>
  </si>
  <si>
    <t>Bowles-Nolan</t>
  </si>
  <si>
    <t>.0289- Way</t>
  </si>
  <si>
    <t>.0289 Way</t>
  </si>
  <si>
    <t>from</t>
  </si>
  <si>
    <t>to</t>
  </si>
  <si>
    <t>Rt. 64-Fox Riv</t>
  </si>
  <si>
    <t>.0135 Way</t>
  </si>
  <si>
    <t>1.1521 Way</t>
  </si>
  <si>
    <t>1.1519 Way</t>
  </si>
  <si>
    <t>1.1519-Way</t>
  </si>
  <si>
    <t>11 under axis</t>
  </si>
  <si>
    <t>X Way</t>
  </si>
  <si>
    <t>X- ACTRN1</t>
  </si>
  <si>
    <t>x-under axis</t>
  </si>
  <si>
    <t>dot</t>
  </si>
  <si>
    <t>Revised to 1175' above sea level (per John Cooper 3/9/05 e-mail) (H=358.14 m), N=-32 m, h=H+N=ellipsoid height</t>
  </si>
  <si>
    <t>On Axis point at same on axis distance</t>
  </si>
  <si>
    <t>Viewed from "Ash River A", this (Ash River A) on Axis point is:</t>
  </si>
  <si>
    <t>meters</t>
  </si>
  <si>
    <r>
      <t>q</t>
    </r>
    <r>
      <rPr>
        <vertAlign val="subscript"/>
        <sz val="10"/>
        <rFont val="Arial"/>
        <family val="2"/>
      </rPr>
      <t>V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>(radian)</t>
    </r>
  </si>
  <si>
    <t>(deg)</t>
  </si>
  <si>
    <t>WIPP</t>
  </si>
  <si>
    <t>SNO</t>
  </si>
  <si>
    <t>Soudan tbl</t>
  </si>
  <si>
    <t>Soudan surf</t>
  </si>
  <si>
    <t>San Jacinto</t>
  </si>
  <si>
    <t>Cascades</t>
  </si>
  <si>
    <t>Kimbalton</t>
  </si>
  <si>
    <t>From NuMI</t>
  </si>
  <si>
    <t>JC 050705</t>
  </si>
  <si>
    <t>*Homestake</t>
  </si>
  <si>
    <t>*Henderson</t>
  </si>
  <si>
    <t xml:space="preserve">               (Setup to Find Lines of Constant Distance Offaxis)</t>
  </si>
  <si>
    <t>11.5 km</t>
  </si>
  <si>
    <t>avg lat &amp; long 1-4</t>
  </si>
  <si>
    <t>avg lat &amp; long 2-4</t>
  </si>
  <si>
    <t>USA-Canada</t>
  </si>
  <si>
    <t>Buyck lat</t>
  </si>
  <si>
    <t>avg lat Buyck-Tower</t>
  </si>
  <si>
    <t>d lat 20 km</t>
  </si>
  <si>
    <t>d long 20 km</t>
  </si>
  <si>
    <t>Ash R JC 0602</t>
  </si>
  <si>
    <t>Horizontal</t>
  </si>
  <si>
    <t>(rad)</t>
  </si>
  <si>
    <t>sin</t>
  </si>
  <si>
    <t>cos</t>
  </si>
  <si>
    <t>X0</t>
  </si>
  <si>
    <t>Z0</t>
  </si>
  <si>
    <t>Y0</t>
  </si>
  <si>
    <t>L0</t>
  </si>
  <si>
    <t>S0</t>
  </si>
  <si>
    <t>X,Z</t>
  </si>
  <si>
    <t>Up</t>
  </si>
  <si>
    <t>East</t>
  </si>
  <si>
    <t>North</t>
  </si>
  <si>
    <t>Total Offset</t>
  </si>
  <si>
    <t>[BEAM]</t>
  </si>
  <si>
    <t>Roll</t>
  </si>
  <si>
    <t>Xa</t>
  </si>
  <si>
    <t>Ya</t>
  </si>
  <si>
    <t>Za</t>
  </si>
  <si>
    <t>Xb</t>
  </si>
  <si>
    <t>Zb</t>
  </si>
  <si>
    <t>Yc</t>
  </si>
  <si>
    <t>Xc</t>
  </si>
  <si>
    <t>Zc</t>
  </si>
  <si>
    <t>NuMI Beam (on axis)</t>
  </si>
  <si>
    <t>Final</t>
  </si>
  <si>
    <t>[GCC]</t>
  </si>
  <si>
    <t>Input Geocentric Cartesian Coord</t>
  </si>
  <si>
    <t>Intermed 1</t>
  </si>
  <si>
    <t>Intermed 2</t>
  </si>
  <si>
    <t>[XaYa plane]</t>
  </si>
  <si>
    <t>[YbZa plane]</t>
  </si>
  <si>
    <t>Yb</t>
  </si>
  <si>
    <t xml:space="preserve">Transformation parameters from Geocentric Cartesian </t>
  </si>
  <si>
    <t>Coordinates to Beam Monte Carlo  Coordinates using</t>
  </si>
  <si>
    <t>NuMI on axis beam and up/right at the target</t>
  </si>
  <si>
    <t>dist</t>
  </si>
  <si>
    <t>unit vector</t>
  </si>
  <si>
    <t>above</t>
  </si>
  <si>
    <t>axis</t>
  </si>
  <si>
    <t>up</t>
  </si>
  <si>
    <t>cross</t>
  </si>
  <si>
    <t>offset</t>
  </si>
  <si>
    <t>tan(phi)</t>
  </si>
  <si>
    <t>NOvA JC0602</t>
  </si>
  <si>
    <t>on axis point</t>
  </si>
  <si>
    <t>Far JC 0602</t>
  </si>
  <si>
    <t>JC 0602 e-mail</t>
  </si>
  <si>
    <t>Ash River far</t>
  </si>
  <si>
    <t>offset ACTRN1</t>
  </si>
  <si>
    <t>If offset</t>
  </si>
  <si>
    <t>is Roll</t>
  </si>
  <si>
    <t>or</t>
  </si>
  <si>
    <t>offset AR JC 0602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</si>
</sst>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"/>
    <numFmt numFmtId="167" formatCode="0.00000000"/>
    <numFmt numFmtId="168" formatCode="0.00000"/>
    <numFmt numFmtId="169" formatCode="0.0000000"/>
    <numFmt numFmtId="170" formatCode="0.000000000"/>
    <numFmt numFmtId="171" formatCode="0.0"/>
    <numFmt numFmtId="172" formatCode="0.00000000E+00"/>
    <numFmt numFmtId="173" formatCode="0.0000000E+00"/>
    <numFmt numFmtId="174" formatCode="0.000000E+00"/>
    <numFmt numFmtId="175" formatCode="0.0000000000"/>
    <numFmt numFmtId="176" formatCode="0.00000000000"/>
    <numFmt numFmtId="177" formatCode="0.000000000000"/>
    <numFmt numFmtId="178" formatCode="0.0000000000000"/>
    <numFmt numFmtId="179" formatCode="0.0000E+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E+00"/>
  </numFmts>
  <fonts count="19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Symbol"/>
      <family val="1"/>
    </font>
    <font>
      <sz val="10"/>
      <color indexed="10"/>
      <name val="Arial"/>
      <family val="2"/>
    </font>
    <font>
      <vertAlign val="subscript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name val="Wingdings 3"/>
      <family val="1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57">
    <border>
      <left/>
      <right/>
      <top/>
      <bottom/>
      <diagonal/>
    </border>
    <border>
      <left style="mediumDashed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12"/>
      </right>
      <top>
        <color indexed="63"/>
      </top>
      <bottom>
        <color indexed="63"/>
      </bottom>
    </border>
    <border>
      <left>
        <color indexed="63"/>
      </left>
      <right style="mediumDashed">
        <color indexed="12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10"/>
      </left>
      <right style="medium">
        <color indexed="10"/>
      </right>
      <top style="medium"/>
      <bottom style="medium">
        <color indexed="10"/>
      </bottom>
    </border>
    <border>
      <left style="mediumDashed">
        <color indexed="12"/>
      </left>
      <right>
        <color indexed="63"/>
      </right>
      <top>
        <color indexed="63"/>
      </top>
      <bottom style="mediumDashed">
        <color indexed="12"/>
      </bottom>
    </border>
    <border>
      <left>
        <color indexed="63"/>
      </left>
      <right style="mediumDashed">
        <color indexed="12"/>
      </right>
      <top>
        <color indexed="63"/>
      </top>
      <bottom style="mediumDashed">
        <color indexed="1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Dashed">
        <color indexed="12"/>
      </left>
      <right>
        <color indexed="63"/>
      </right>
      <top style="mediumDashed">
        <color indexed="12"/>
      </top>
      <bottom>
        <color indexed="63"/>
      </bottom>
    </border>
    <border>
      <left>
        <color indexed="63"/>
      </left>
      <right>
        <color indexed="63"/>
      </right>
      <top style="mediumDashed">
        <color indexed="12"/>
      </top>
      <bottom>
        <color indexed="63"/>
      </bottom>
    </border>
    <border>
      <left>
        <color indexed="63"/>
      </left>
      <right style="mediumDashed">
        <color indexed="12"/>
      </right>
      <top style="mediumDashed">
        <color indexed="12"/>
      </top>
      <bottom>
        <color indexed="63"/>
      </bottom>
    </border>
    <border>
      <left style="mediumDashed">
        <color indexed="12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Dashed">
        <color indexed="12"/>
      </right>
      <top style="dashed"/>
      <bottom style="dashed"/>
    </border>
    <border>
      <left style="mediumDashed"/>
      <right style="mediumDashed"/>
      <top style="mediumDashed"/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Dashed">
        <color indexed="57"/>
      </right>
      <top>
        <color indexed="63"/>
      </top>
      <bottom>
        <color indexed="63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Dashed">
        <color indexed="57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 style="medium">
        <color indexed="57"/>
      </left>
      <right style="mediumDashed"/>
      <top style="mediumDashed"/>
      <bottom style="mediumDashed"/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14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 style="medium">
        <color indexed="14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4"/>
      </right>
      <top>
        <color indexed="63"/>
      </top>
      <bottom>
        <color indexed="63"/>
      </bottom>
    </border>
    <border>
      <left>
        <color indexed="63"/>
      </left>
      <right style="medium">
        <color indexed="14"/>
      </right>
      <top style="mediumDashed"/>
      <bottom style="mediumDashed"/>
    </border>
    <border>
      <left style="medium">
        <color indexed="14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 style="mediumDashed"/>
    </border>
    <border>
      <left style="mediumDashed"/>
      <right style="medium">
        <color indexed="39"/>
      </right>
      <top style="mediumDashed"/>
      <bottom style="mediumDashed"/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 style="mediumDashed">
        <color indexed="8"/>
      </left>
      <right style="mediumDashed"/>
      <top style="mediumDashed"/>
      <bottom style="mediumDashed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right" vertical="top"/>
    </xf>
    <xf numFmtId="16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left"/>
    </xf>
    <xf numFmtId="168" fontId="3" fillId="0" borderId="0" xfId="0" applyNumberFormat="1" applyFont="1" applyAlignment="1">
      <alignment/>
    </xf>
    <xf numFmtId="169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8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171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Border="1" applyAlignment="1" quotePrefix="1">
      <alignment horizontal="right"/>
    </xf>
    <xf numFmtId="165" fontId="0" fillId="0" borderId="2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3" xfId="0" applyBorder="1" applyAlignment="1">
      <alignment/>
    </xf>
    <xf numFmtId="167" fontId="0" fillId="0" borderId="4" xfId="0" applyNumberFormat="1" applyBorder="1" applyAlignment="1">
      <alignment/>
    </xf>
    <xf numFmtId="167" fontId="0" fillId="0" borderId="5" xfId="0" applyNumberFormat="1" applyBorder="1" applyAlignment="1">
      <alignment/>
    </xf>
    <xf numFmtId="167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1" xfId="0" applyFill="1" applyBorder="1" applyAlignment="1">
      <alignment horizontal="left"/>
    </xf>
    <xf numFmtId="168" fontId="0" fillId="0" borderId="2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5" fontId="5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 quotePrefix="1">
      <alignment horizontal="right"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171" fontId="0" fillId="0" borderId="0" xfId="0" applyNumberFormat="1" applyBorder="1" applyAlignment="1">
      <alignment/>
    </xf>
    <xf numFmtId="0" fontId="0" fillId="0" borderId="0" xfId="0" applyFill="1" applyBorder="1" applyAlignment="1">
      <alignment horizontal="left"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5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9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0" fontId="0" fillId="0" borderId="0" xfId="0" applyFill="1" applyBorder="1" applyAlignment="1">
      <alignment horizontal="center"/>
    </xf>
    <xf numFmtId="170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171" fontId="0" fillId="0" borderId="0" xfId="0" applyNumberFormat="1" applyFont="1" applyAlignment="1">
      <alignment/>
    </xf>
    <xf numFmtId="17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75" fontId="0" fillId="0" borderId="0" xfId="0" applyNumberFormat="1" applyFont="1" applyAlignment="1">
      <alignment horizontal="right"/>
    </xf>
    <xf numFmtId="17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71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175" fontId="0" fillId="0" borderId="0" xfId="0" applyNumberFormat="1" applyBorder="1" applyAlignment="1">
      <alignment horizontal="right"/>
    </xf>
    <xf numFmtId="175" fontId="0" fillId="0" borderId="0" xfId="0" applyNumberFormat="1" applyBorder="1" applyAlignment="1">
      <alignment/>
    </xf>
    <xf numFmtId="175" fontId="0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68" fontId="0" fillId="0" borderId="0" xfId="0" applyNumberFormat="1" applyBorder="1" applyAlignment="1">
      <alignment/>
    </xf>
    <xf numFmtId="15" fontId="0" fillId="0" borderId="0" xfId="0" applyNumberFormat="1" applyFont="1" applyBorder="1" applyAlignment="1">
      <alignment horizontal="right"/>
    </xf>
    <xf numFmtId="15" fontId="0" fillId="0" borderId="0" xfId="0" applyNumberFormat="1" applyFont="1" applyBorder="1" applyAlignment="1">
      <alignment/>
    </xf>
    <xf numFmtId="15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8" fontId="0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8" xfId="0" applyFont="1" applyBorder="1" applyAlignment="1">
      <alignment horizontal="right"/>
    </xf>
    <xf numFmtId="164" fontId="0" fillId="0" borderId="9" xfId="0" applyNumberFormat="1" applyFont="1" applyBorder="1" applyAlignment="1">
      <alignment/>
    </xf>
    <xf numFmtId="164" fontId="0" fillId="0" borderId="0" xfId="0" applyNumberFormat="1" applyBorder="1" applyAlignment="1">
      <alignment horizontal="center"/>
    </xf>
    <xf numFmtId="15" fontId="0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 applyFill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3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15" fontId="0" fillId="0" borderId="0" xfId="0" applyNumberFormat="1" applyAlignment="1">
      <alignment/>
    </xf>
    <xf numFmtId="168" fontId="0" fillId="0" borderId="0" xfId="0" applyNumberFormat="1" applyFont="1" applyAlignment="1">
      <alignment horizontal="right"/>
    </xf>
    <xf numFmtId="15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166" fontId="5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166" fontId="12" fillId="0" borderId="0" xfId="0" applyNumberFormat="1" applyFont="1" applyAlignment="1">
      <alignment/>
    </xf>
    <xf numFmtId="0" fontId="12" fillId="0" borderId="0" xfId="0" applyFont="1" applyAlignment="1" quotePrefix="1">
      <alignment horizontal="right"/>
    </xf>
    <xf numFmtId="0" fontId="13" fillId="0" borderId="0" xfId="0" applyFont="1" applyAlignment="1">
      <alignment horizontal="left"/>
    </xf>
    <xf numFmtId="168" fontId="13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66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64" fontId="0" fillId="0" borderId="16" xfId="0" applyNumberFormat="1" applyBorder="1" applyAlignment="1">
      <alignment/>
    </xf>
    <xf numFmtId="169" fontId="0" fillId="0" borderId="16" xfId="0" applyNumberForma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Fill="1" applyBorder="1" applyAlignment="1">
      <alignment/>
    </xf>
    <xf numFmtId="167" fontId="0" fillId="0" borderId="18" xfId="0" applyNumberFormat="1" applyBorder="1" applyAlignment="1">
      <alignment/>
    </xf>
    <xf numFmtId="1" fontId="0" fillId="0" borderId="16" xfId="0" applyNumberFormat="1" applyFont="1" applyBorder="1" applyAlignment="1">
      <alignment/>
    </xf>
    <xf numFmtId="167" fontId="0" fillId="0" borderId="16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164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right"/>
    </xf>
    <xf numFmtId="2" fontId="0" fillId="0" borderId="23" xfId="0" applyNumberForma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 horizontal="right"/>
    </xf>
    <xf numFmtId="1" fontId="0" fillId="0" borderId="26" xfId="0" applyNumberFormat="1" applyFont="1" applyBorder="1" applyAlignment="1">
      <alignment/>
    </xf>
    <xf numFmtId="165" fontId="0" fillId="0" borderId="25" xfId="0" applyNumberFormat="1" applyBorder="1" applyAlignment="1">
      <alignment/>
    </xf>
    <xf numFmtId="1" fontId="0" fillId="0" borderId="24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right"/>
    </xf>
    <xf numFmtId="2" fontId="0" fillId="0" borderId="29" xfId="0" applyNumberFormat="1" applyBorder="1" applyAlignment="1">
      <alignment/>
    </xf>
    <xf numFmtId="0" fontId="2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71" fontId="0" fillId="0" borderId="35" xfId="0" applyNumberFormat="1" applyBorder="1" applyAlignment="1">
      <alignment/>
    </xf>
    <xf numFmtId="164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0" fontId="2" fillId="0" borderId="38" xfId="0" applyFont="1" applyBorder="1" applyAlignment="1">
      <alignment/>
    </xf>
    <xf numFmtId="0" fontId="0" fillId="0" borderId="39" xfId="0" applyBorder="1" applyAlignment="1">
      <alignment horizontal="right"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right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" fillId="0" borderId="45" xfId="0" applyFont="1" applyFill="1" applyBorder="1" applyAlignment="1">
      <alignment horizontal="left"/>
    </xf>
    <xf numFmtId="0" fontId="0" fillId="0" borderId="46" xfId="0" applyBorder="1" applyAlignment="1">
      <alignment/>
    </xf>
    <xf numFmtId="0" fontId="2" fillId="0" borderId="46" xfId="0" applyFont="1" applyBorder="1" applyAlignment="1">
      <alignment/>
    </xf>
    <xf numFmtId="0" fontId="0" fillId="0" borderId="47" xfId="0" applyBorder="1" applyAlignment="1">
      <alignment horizontal="righ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164" fontId="0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Border="1" applyAlignment="1">
      <alignment/>
    </xf>
    <xf numFmtId="1" fontId="0" fillId="0" borderId="55" xfId="0" applyNumberFormat="1" applyFont="1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69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5" fontId="0" fillId="0" borderId="42" xfId="0" applyNumberFormat="1" applyBorder="1" applyAlignment="1">
      <alignment horizontal="right"/>
    </xf>
    <xf numFmtId="168" fontId="0" fillId="0" borderId="16" xfId="0" applyNumberFormat="1" applyBorder="1" applyAlignment="1">
      <alignment/>
    </xf>
    <xf numFmtId="165" fontId="0" fillId="0" borderId="16" xfId="0" applyNumberFormat="1" applyBorder="1" applyAlignment="1">
      <alignment horizontal="right"/>
    </xf>
    <xf numFmtId="164" fontId="0" fillId="0" borderId="56" xfId="0" applyNumberFormat="1" applyFont="1" applyBorder="1" applyAlignment="1">
      <alignment horizontal="right"/>
    </xf>
    <xf numFmtId="169" fontId="0" fillId="0" borderId="56" xfId="0" applyNumberFormat="1" applyFont="1" applyBorder="1" applyAlignment="1">
      <alignment horizontal="right"/>
    </xf>
    <xf numFmtId="164" fontId="0" fillId="0" borderId="42" xfId="0" applyNumberFormat="1" applyBorder="1" applyAlignment="1">
      <alignment horizontal="right"/>
    </xf>
    <xf numFmtId="2" fontId="0" fillId="0" borderId="55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168" fontId="0" fillId="2" borderId="0" xfId="0" applyNumberFormat="1" applyFill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64" fontId="0" fillId="2" borderId="0" xfId="0" applyNumberFormat="1" applyFill="1" applyBorder="1" applyAlignment="1">
      <alignment/>
    </xf>
    <xf numFmtId="2" fontId="0" fillId="0" borderId="0" xfId="0" applyNumberFormat="1" applyBorder="1" applyAlignment="1">
      <alignment horizontal="left" indent="1"/>
    </xf>
    <xf numFmtId="2" fontId="0" fillId="0" borderId="49" xfId="0" applyNumberFormat="1" applyBorder="1" applyAlignment="1">
      <alignment horizontal="left" indent="1"/>
    </xf>
    <xf numFmtId="168" fontId="0" fillId="0" borderId="42" xfId="0" applyNumberFormat="1" applyBorder="1" applyAlignment="1">
      <alignment horizontal="right"/>
    </xf>
    <xf numFmtId="0" fontId="0" fillId="0" borderId="43" xfId="0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2" borderId="0" xfId="0" applyFill="1" applyAlignment="1">
      <alignment horizontal="center"/>
    </xf>
    <xf numFmtId="164" fontId="0" fillId="2" borderId="0" xfId="0" applyNumberFormat="1" applyFont="1" applyFill="1" applyAlignment="1">
      <alignment/>
    </xf>
    <xf numFmtId="165" fontId="0" fillId="2" borderId="0" xfId="0" applyNumberFormat="1" applyFill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NumberFormat="1" applyFill="1" applyBorder="1" applyAlignment="1">
      <alignment/>
    </xf>
    <xf numFmtId="1" fontId="0" fillId="0" borderId="0" xfId="0" applyNumberFormat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16" xfId="0" applyNumberForma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9" fontId="3" fillId="0" borderId="0" xfId="0" applyNumberFormat="1" applyFont="1" applyAlignment="1">
      <alignment horizontal="right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168" fontId="18" fillId="0" borderId="0" xfId="0" applyNumberFormat="1" applyFont="1" applyBorder="1" applyAlignment="1">
      <alignment/>
    </xf>
    <xf numFmtId="168" fontId="18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170" fontId="0" fillId="0" borderId="0" xfId="0" applyNumberFormat="1" applyAlignment="1">
      <alignment horizontal="right"/>
    </xf>
    <xf numFmtId="164" fontId="0" fillId="0" borderId="0" xfId="0" applyNumberFormat="1" applyAlignment="1" quotePrefix="1">
      <alignment horizontal="right"/>
    </xf>
    <xf numFmtId="169" fontId="2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worksheet" Target="worksheets/sheet25.xml" /><Relationship Id="rId28" Type="http://schemas.openxmlformats.org/officeDocument/2006/relationships/worksheet" Target="worksheets/sheet26.xml" /><Relationship Id="rId29" Type="http://schemas.openxmlformats.org/officeDocument/2006/relationships/worksheet" Target="worksheets/sheet27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Lines of Constant Angle from the NuMI Beam (at 1106' elevation)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15 mrad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10 mrad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Beam Axis</c:v>
          </c:tx>
          <c:spPr>
            <a:ln w="12700">
              <a:solidFill>
                <a:srgbClr val="3333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Axis!$D$22:$D$38</c:f>
              <c:numCache>
                <c:ptCount val="17"/>
                <c:pt idx="0">
                  <c:v>-90.55120906849459</c:v>
                </c:pt>
                <c:pt idx="1">
                  <c:v>-90.75478142286406</c:v>
                </c:pt>
                <c:pt idx="2">
                  <c:v>-90.9604964502155</c:v>
                </c:pt>
                <c:pt idx="3">
                  <c:v>-91.16838276975822</c:v>
                </c:pt>
                <c:pt idx="4">
                  <c:v>-91.37846937933219</c:v>
                </c:pt>
                <c:pt idx="5">
                  <c:v>-91.59078565717058</c:v>
                </c:pt>
                <c:pt idx="6">
                  <c:v>-91.80536136343754</c:v>
                </c:pt>
                <c:pt idx="7">
                  <c:v>-92.0222266415238</c:v>
                </c:pt>
                <c:pt idx="8">
                  <c:v>-92.24141201908331</c:v>
                </c:pt>
                <c:pt idx="9">
                  <c:v>-92.29877375476326</c:v>
                </c:pt>
                <c:pt idx="10">
                  <c:v>-92.46294840879206</c:v>
                </c:pt>
                <c:pt idx="11">
                  <c:v>-92.68686710880989</c:v>
                </c:pt>
                <c:pt idx="12">
                  <c:v>-92.91319980292528</c:v>
                </c:pt>
                <c:pt idx="13">
                  <c:v>-93.14197856036165</c:v>
                </c:pt>
                <c:pt idx="14">
                  <c:v>-93.37323583522324</c:v>
                </c:pt>
                <c:pt idx="15">
                  <c:v>-93.60700446555703</c:v>
                </c:pt>
                <c:pt idx="16">
                  <c:v>-93.8433176720068</c:v>
                </c:pt>
              </c:numCache>
            </c:numRef>
          </c:xVal>
          <c:yVal>
            <c:numRef>
              <c:f>Axis!$C$22:$C$38</c:f>
              <c:numCache>
                <c:ptCount val="17"/>
                <c:pt idx="0">
                  <c:v>45.443072619083765</c:v>
                </c:pt>
                <c:pt idx="1">
                  <c:v>45.74195485642243</c:v>
                </c:pt>
                <c:pt idx="2">
                  <c:v>46.04039684841638</c:v>
                </c:pt>
                <c:pt idx="3">
                  <c:v>46.338371197820145</c:v>
                </c:pt>
                <c:pt idx="4">
                  <c:v>46.6358504606984</c:v>
                </c:pt>
                <c:pt idx="5">
                  <c:v>46.93280715361406</c:v>
                </c:pt>
                <c:pt idx="6">
                  <c:v>47.229213760748166</c:v>
                </c:pt>
                <c:pt idx="7">
                  <c:v>47.52504274094373</c:v>
                </c:pt>
                <c:pt idx="8">
                  <c:v>47.82026653466659</c:v>
                </c:pt>
                <c:pt idx="9">
                  <c:v>47.89690844980249</c:v>
                </c:pt>
                <c:pt idx="10">
                  <c:v>48.11485757087669</c:v>
                </c:pt>
                <c:pt idx="11">
                  <c:v>48.408788273801235</c:v>
                </c:pt>
                <c:pt idx="12">
                  <c:v>48.70203106960614</c:v>
                </c:pt>
                <c:pt idx="13">
                  <c:v>48.994558392956534</c:v>
                </c:pt>
                <c:pt idx="14">
                  <c:v>49.286342693462835</c:v>
                </c:pt>
                <c:pt idx="15">
                  <c:v>49.577356442004806</c:v>
                </c:pt>
                <c:pt idx="16">
                  <c:v>49.86757213693018</c:v>
                </c:pt>
              </c:numCache>
            </c:numRef>
          </c:yVal>
          <c:smooth val="1"/>
        </c:ser>
        <c:ser>
          <c:idx val="3"/>
          <c:order val="3"/>
          <c:tx>
            <c:v>Far Detector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Axis!$D$30</c:f>
              <c:numCache>
                <c:ptCount val="1"/>
                <c:pt idx="0">
                  <c:v>-92.24141201908331</c:v>
                </c:pt>
              </c:numCache>
            </c:numRef>
          </c:xVal>
          <c:yVal>
            <c:numRef>
              <c:f>Axis!$C$30</c:f>
              <c:numCache>
                <c:ptCount val="1"/>
                <c:pt idx="0">
                  <c:v>47.82026653466659</c:v>
                </c:pt>
              </c:numCache>
            </c:numRef>
          </c:yVal>
          <c:smooth val="1"/>
        </c:ser>
        <c:ser>
          <c:idx val="4"/>
          <c:order val="4"/>
          <c:tx>
            <c:v>At Surface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Axis!$D$31</c:f>
              <c:numCache>
                <c:ptCount val="1"/>
                <c:pt idx="0">
                  <c:v>-92.29877375476326</c:v>
                </c:pt>
              </c:numCache>
            </c:numRef>
          </c:xVal>
          <c:yVal>
            <c:numRef>
              <c:f>Axis!$C$31</c:f>
              <c:numCache>
                <c:ptCount val="1"/>
                <c:pt idx="0">
                  <c:v>47.89690844980249</c:v>
                </c:pt>
              </c:numCache>
            </c:numRef>
          </c:yVal>
          <c:smooth val="1"/>
        </c:ser>
        <c:ser>
          <c:idx val="5"/>
          <c:order val="5"/>
          <c:tx>
            <c:v>100 km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6"/>
          <c:order val="6"/>
          <c:tx>
            <c:v>100 km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7"/>
          <c:order val="7"/>
          <c:tx>
            <c:v> 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8"/>
          <c:order val="8"/>
          <c:tx>
            <c:v> 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2965821"/>
        <c:axId val="28256934"/>
      </c:scatterChart>
      <c:valAx>
        <c:axId val="32965821"/>
        <c:scaling>
          <c:orientation val="minMax"/>
          <c:max val="-88.304"/>
          <c:min val="-9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(W) 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256934"/>
        <c:crosses val="autoZero"/>
        <c:crossBetween val="midCat"/>
        <c:dispUnits/>
        <c:majorUnit val="1"/>
      </c:valAx>
      <c:valAx>
        <c:axId val="28256934"/>
        <c:scaling>
          <c:orientation val="minMax"/>
          <c:max val="50"/>
          <c:min val="4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 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965821"/>
        <c:crossesAt val="-100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Lines of Constant Distance (at 1250' elevation) from the NuMI Beam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12 km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'print oa dperp'!$B$5:$B$8</c:f>
              <c:numCache>
                <c:ptCount val="4"/>
                <c:pt idx="0">
                  <c:v>47.96</c:v>
                </c:pt>
                <c:pt idx="1">
                  <c:v>48.1229</c:v>
                </c:pt>
                <c:pt idx="2">
                  <c:v>48.3</c:v>
                </c:pt>
                <c:pt idx="3">
                  <c:v>48.624</c:v>
                </c:pt>
              </c:numCache>
            </c:numRef>
          </c:xVal>
          <c:yVal>
            <c:numRef>
              <c:f>'print oa dperp'!$C$5:$C$8</c:f>
              <c:numCache>
                <c:ptCount val="4"/>
                <c:pt idx="0">
                  <c:v>-92.5258352677937</c:v>
                </c:pt>
                <c:pt idx="1">
                  <c:v>-92.64715775491209</c:v>
                </c:pt>
                <c:pt idx="2">
                  <c:v>-92.77733563567864</c:v>
                </c:pt>
                <c:pt idx="3">
                  <c:v>-93.00835302121085</c:v>
                </c:pt>
              </c:numCache>
            </c:numRef>
          </c:yVal>
          <c:smooth val="1"/>
        </c:ser>
        <c:ser>
          <c:idx val="1"/>
          <c:order val="1"/>
          <c:tx>
            <c:v>11.5 km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'print oa dperp'!$B$12:$B$15</c:f>
              <c:numCache>
                <c:ptCount val="4"/>
                <c:pt idx="0">
                  <c:v>47.96</c:v>
                </c:pt>
                <c:pt idx="1">
                  <c:v>48.1229</c:v>
                </c:pt>
                <c:pt idx="2">
                  <c:v>48.3</c:v>
                </c:pt>
                <c:pt idx="3">
                  <c:v>48.624</c:v>
                </c:pt>
              </c:numCache>
            </c:numRef>
          </c:xVal>
          <c:yVal>
            <c:numRef>
              <c:f>'print oa dperp'!$C$12:$C$15</c:f>
              <c:numCache>
                <c:ptCount val="4"/>
                <c:pt idx="0">
                  <c:v>-92.51832647612382</c:v>
                </c:pt>
                <c:pt idx="1">
                  <c:v>-92.63954831466243</c:v>
                </c:pt>
                <c:pt idx="2">
                  <c:v>-92.76949469035155</c:v>
                </c:pt>
                <c:pt idx="3">
                  <c:v>-92.99955</c:v>
                </c:pt>
              </c:numCache>
            </c:numRef>
          </c:yVal>
          <c:smooth val="1"/>
        </c:ser>
        <c:ser>
          <c:idx val="2"/>
          <c:order val="2"/>
          <c:tx>
            <c:v>Beam Axis</c:v>
          </c:tx>
          <c:spPr>
            <a:ln w="12700">
              <a:solidFill>
                <a:srgbClr val="3333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Axis!$C$22:$C$38</c:f>
              <c:numCache>
                <c:ptCount val="17"/>
                <c:pt idx="0">
                  <c:v>45.443072619083765</c:v>
                </c:pt>
                <c:pt idx="1">
                  <c:v>45.74195485642243</c:v>
                </c:pt>
                <c:pt idx="2">
                  <c:v>46.04039684841638</c:v>
                </c:pt>
                <c:pt idx="3">
                  <c:v>46.338371197820145</c:v>
                </c:pt>
                <c:pt idx="4">
                  <c:v>46.6358504606984</c:v>
                </c:pt>
                <c:pt idx="5">
                  <c:v>46.93280715361406</c:v>
                </c:pt>
                <c:pt idx="6">
                  <c:v>47.229213760748166</c:v>
                </c:pt>
                <c:pt idx="7">
                  <c:v>47.52504274094373</c:v>
                </c:pt>
                <c:pt idx="8">
                  <c:v>47.82026653466659</c:v>
                </c:pt>
                <c:pt idx="9">
                  <c:v>47.89690844980249</c:v>
                </c:pt>
                <c:pt idx="10">
                  <c:v>48.11485757087669</c:v>
                </c:pt>
                <c:pt idx="11">
                  <c:v>48.408788273801235</c:v>
                </c:pt>
                <c:pt idx="12">
                  <c:v>48.70203106960614</c:v>
                </c:pt>
                <c:pt idx="13">
                  <c:v>48.994558392956534</c:v>
                </c:pt>
                <c:pt idx="14">
                  <c:v>49.286342693462835</c:v>
                </c:pt>
                <c:pt idx="15">
                  <c:v>49.577356442004806</c:v>
                </c:pt>
                <c:pt idx="16">
                  <c:v>49.86757213693018</c:v>
                </c:pt>
              </c:numCache>
            </c:numRef>
          </c:xVal>
          <c:yVal>
            <c:numRef>
              <c:f>Axis!$D$22:$D$38</c:f>
              <c:numCache>
                <c:ptCount val="17"/>
                <c:pt idx="0">
                  <c:v>-90.55120906849459</c:v>
                </c:pt>
                <c:pt idx="1">
                  <c:v>-90.75478142286406</c:v>
                </c:pt>
                <c:pt idx="2">
                  <c:v>-90.9604964502155</c:v>
                </c:pt>
                <c:pt idx="3">
                  <c:v>-91.16838276975822</c:v>
                </c:pt>
                <c:pt idx="4">
                  <c:v>-91.37846937933219</c:v>
                </c:pt>
                <c:pt idx="5">
                  <c:v>-91.59078565717058</c:v>
                </c:pt>
                <c:pt idx="6">
                  <c:v>-91.80536136343754</c:v>
                </c:pt>
                <c:pt idx="7">
                  <c:v>-92.0222266415238</c:v>
                </c:pt>
                <c:pt idx="8">
                  <c:v>-92.24141201908331</c:v>
                </c:pt>
                <c:pt idx="9">
                  <c:v>-92.29877375476326</c:v>
                </c:pt>
                <c:pt idx="10">
                  <c:v>-92.46294840879206</c:v>
                </c:pt>
                <c:pt idx="11">
                  <c:v>-92.68686710880989</c:v>
                </c:pt>
                <c:pt idx="12">
                  <c:v>-92.91319980292528</c:v>
                </c:pt>
                <c:pt idx="13">
                  <c:v>-93.14197856036165</c:v>
                </c:pt>
                <c:pt idx="14">
                  <c:v>-93.37323583522324</c:v>
                </c:pt>
                <c:pt idx="15">
                  <c:v>-93.60700446555703</c:v>
                </c:pt>
                <c:pt idx="16">
                  <c:v>-93.8433176720068</c:v>
                </c:pt>
              </c:numCache>
            </c:numRef>
          </c:yVal>
          <c:smooth val="1"/>
        </c:ser>
        <c:ser>
          <c:idx val="3"/>
          <c:order val="3"/>
          <c:tx>
            <c:v>Far Detector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Axis!$C$30</c:f>
              <c:numCache>
                <c:ptCount val="1"/>
                <c:pt idx="0">
                  <c:v>47.82026653466659</c:v>
                </c:pt>
              </c:numCache>
            </c:numRef>
          </c:xVal>
          <c:yVal>
            <c:numRef>
              <c:f>Axis!$D$30</c:f>
              <c:numCache>
                <c:ptCount val="1"/>
                <c:pt idx="0">
                  <c:v>-92.24141201908331</c:v>
                </c:pt>
              </c:numCache>
            </c:numRef>
          </c:yVal>
          <c:smooth val="1"/>
        </c:ser>
        <c:ser>
          <c:idx val="4"/>
          <c:order val="4"/>
          <c:tx>
            <c:v>At Surface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Axis!$C$31</c:f>
              <c:numCache>
                <c:ptCount val="1"/>
                <c:pt idx="0">
                  <c:v>47.89690844980249</c:v>
                </c:pt>
              </c:numCache>
            </c:numRef>
          </c:xVal>
          <c:yVal>
            <c:numRef>
              <c:f>Axis!$D$31</c:f>
              <c:numCache>
                <c:ptCount val="1"/>
                <c:pt idx="0">
                  <c:v>-92.29877375476326</c:v>
                </c:pt>
              </c:numCache>
            </c:numRef>
          </c:yVal>
          <c:smooth val="1"/>
        </c:ser>
        <c:ser>
          <c:idx val="5"/>
          <c:order val="5"/>
          <c:tx>
            <c:v>11.5 km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'print oa dperp'!$B$19:$B$22</c:f>
              <c:numCache>
                <c:ptCount val="4"/>
                <c:pt idx="0">
                  <c:v>47.96</c:v>
                </c:pt>
                <c:pt idx="1">
                  <c:v>48.1229</c:v>
                </c:pt>
                <c:pt idx="2">
                  <c:v>48.3</c:v>
                </c:pt>
                <c:pt idx="3">
                  <c:v>48.445</c:v>
                </c:pt>
              </c:numCache>
            </c:numRef>
          </c:xVal>
          <c:yVal>
            <c:numRef>
              <c:f>'print oa dperp'!$C$19:$C$22</c:f>
              <c:numCache>
                <c:ptCount val="4"/>
                <c:pt idx="0">
                  <c:v>-92.17374877606464</c:v>
                </c:pt>
                <c:pt idx="1">
                  <c:v>-92.29709964849327</c:v>
                </c:pt>
                <c:pt idx="2">
                  <c:v>-92.43481034385361</c:v>
                </c:pt>
                <c:pt idx="3">
                  <c:v>-92.55086954711489</c:v>
                </c:pt>
              </c:numCache>
            </c:numRef>
          </c:yVal>
          <c:smooth val="1"/>
        </c:ser>
        <c:ser>
          <c:idx val="6"/>
          <c:order val="6"/>
          <c:tx>
            <c:v>12 km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'print oa dperp'!$B$26:$B$29</c:f>
              <c:numCache>
                <c:ptCount val="4"/>
                <c:pt idx="0">
                  <c:v>47.96</c:v>
                </c:pt>
                <c:pt idx="1">
                  <c:v>48.1229</c:v>
                </c:pt>
                <c:pt idx="2">
                  <c:v>48.3</c:v>
                </c:pt>
                <c:pt idx="3">
                  <c:v>48.446</c:v>
                </c:pt>
              </c:numCache>
            </c:numRef>
          </c:xVal>
          <c:yVal>
            <c:numRef>
              <c:f>'print oa dperp'!$C$26:$C$29</c:f>
              <c:numCache>
                <c:ptCount val="4"/>
                <c:pt idx="0">
                  <c:v>-92.16625614727762</c:v>
                </c:pt>
                <c:pt idx="1">
                  <c:v>-92.28950653625937</c:v>
                </c:pt>
                <c:pt idx="2">
                  <c:v>-92.42698590880661</c:v>
                </c:pt>
                <c:pt idx="3">
                  <c:v>-92.54353289536166</c:v>
                </c:pt>
              </c:numCache>
            </c:numRef>
          </c:yVal>
          <c:smooth val="1"/>
        </c:ser>
        <c:ser>
          <c:idx val="7"/>
          <c:order val="7"/>
          <c:tx>
            <c:v>L=20 km 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'Trans oa dperp'!$C$109:$C$110</c:f>
              <c:numCache>
                <c:ptCount val="2"/>
                <c:pt idx="0">
                  <c:v>48.35</c:v>
                </c:pt>
                <c:pt idx="1">
                  <c:v>48.53143753559211</c:v>
                </c:pt>
              </c:numCache>
            </c:numRef>
          </c:xVal>
          <c:yVal>
            <c:numRef>
              <c:f>'Trans oa dperp'!$D$109:$D$110</c:f>
              <c:numCache>
                <c:ptCount val="2"/>
                <c:pt idx="0">
                  <c:v>-92.15</c:v>
                </c:pt>
                <c:pt idx="1">
                  <c:v>-92.15</c:v>
                </c:pt>
              </c:numCache>
            </c:numRef>
          </c:yVal>
          <c:smooth val="1"/>
        </c:ser>
        <c:ser>
          <c:idx val="8"/>
          <c:order val="8"/>
          <c:tx>
            <c:v>L=20 km 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'Trans oa dperp'!$C$112:$C$113</c:f>
              <c:numCache>
                <c:ptCount val="2"/>
                <c:pt idx="0">
                  <c:v>48.6</c:v>
                </c:pt>
                <c:pt idx="1">
                  <c:v>48.6</c:v>
                </c:pt>
              </c:numCache>
            </c:numRef>
          </c:xVal>
          <c:yVal>
            <c:numRef>
              <c:f>'Trans oa dperp'!$D$112:$D$113</c:f>
              <c:numCache>
                <c:ptCount val="2"/>
                <c:pt idx="0">
                  <c:v>-92.35</c:v>
                </c:pt>
                <c:pt idx="1">
                  <c:v>-92.0829094924112</c:v>
                </c:pt>
              </c:numCache>
            </c:numRef>
          </c:yVal>
          <c:smooth val="1"/>
        </c:ser>
        <c:axId val="52985815"/>
        <c:axId val="7110288"/>
      </c:scatterChart>
      <c:valAx>
        <c:axId val="52985815"/>
        <c:scaling>
          <c:orientation val="minMax"/>
          <c:max val="48.6808"/>
          <c:min val="47.6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 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7110288"/>
        <c:crossesAt val="-95"/>
        <c:crossBetween val="midCat"/>
        <c:dispUnits/>
        <c:majorUnit val="0.1"/>
        <c:minorUnit val="0.05"/>
      </c:valAx>
      <c:valAx>
        <c:axId val="7110288"/>
        <c:scaling>
          <c:orientation val="maxMin"/>
          <c:max val="-92"/>
          <c:min val="-93.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(W) 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2985815"/>
        <c:crossesAt val="-100"/>
        <c:crossBetween val="midCat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1"/>
  <sheetViews>
    <sheetView workbookViewId="0" topLeftCell="A11">
      <selection activeCell="J6" sqref="J6"/>
    </sheetView>
  </sheetViews>
  <sheetFormatPr defaultColWidth="9.140625" defaultRowHeight="12.75"/>
  <cols>
    <col min="1" max="1" width="12.28125" style="0" customWidth="1"/>
    <col min="2" max="2" width="13.421875" style="0" customWidth="1"/>
    <col min="3" max="3" width="13.00390625" style="0" customWidth="1"/>
    <col min="4" max="4" width="12.7109375" style="0" customWidth="1"/>
    <col min="5" max="5" width="4.8515625" style="0" customWidth="1"/>
    <col min="6" max="6" width="4.140625" style="0" customWidth="1"/>
    <col min="7" max="7" width="11.57421875" style="0" customWidth="1"/>
    <col min="8" max="8" width="12.00390625" style="0" customWidth="1"/>
    <col min="9" max="9" width="13.8515625" style="0" customWidth="1"/>
    <col min="10" max="10" width="15.421875" style="0" customWidth="1"/>
    <col min="11" max="11" width="15.00390625" style="0" customWidth="1"/>
  </cols>
  <sheetData>
    <row r="1" spans="1:2" ht="13.5" thickBot="1">
      <c r="A1" s="10" t="s">
        <v>37</v>
      </c>
      <c r="B1" s="10" t="s">
        <v>114</v>
      </c>
    </row>
    <row r="2" spans="1:10" ht="14.25">
      <c r="A2" s="1" t="s">
        <v>0</v>
      </c>
      <c r="B2" s="1" t="s">
        <v>1</v>
      </c>
      <c r="C2" s="1" t="s">
        <v>6</v>
      </c>
      <c r="D2" s="1" t="s">
        <v>21</v>
      </c>
      <c r="E2" t="s">
        <v>20</v>
      </c>
      <c r="H2" s="128" t="s">
        <v>155</v>
      </c>
      <c r="I2" s="129" t="s">
        <v>139</v>
      </c>
      <c r="J2" s="130" t="s">
        <v>140</v>
      </c>
    </row>
    <row r="3" spans="1:10" ht="12.75">
      <c r="A3">
        <v>6378137</v>
      </c>
      <c r="B3" s="2">
        <v>6356752.31414</v>
      </c>
      <c r="C3">
        <f>1-(B3*B3)/(A3*A3)</f>
        <v>0.0066943800230119255</v>
      </c>
      <c r="D3" s="7">
        <f>$A$3/($A$3-$B$3)</f>
        <v>298.2572220960422</v>
      </c>
      <c r="E3" t="s">
        <v>260</v>
      </c>
      <c r="H3" s="131">
        <v>144058.55234079924</v>
      </c>
      <c r="I3" s="132">
        <v>-4757396.9876393</v>
      </c>
      <c r="J3" s="133">
        <v>4231823.074484399</v>
      </c>
    </row>
    <row r="4" spans="2:10" ht="13.5" thickBot="1">
      <c r="B4" s="2">
        <v>6356752.314</v>
      </c>
      <c r="H4" s="42"/>
      <c r="I4" s="45"/>
      <c r="J4" s="30"/>
    </row>
    <row r="5" spans="1:10" ht="14.25">
      <c r="A5" s="1" t="s">
        <v>384</v>
      </c>
      <c r="B5" s="1" t="s">
        <v>5</v>
      </c>
      <c r="C5" s="3">
        <v>0</v>
      </c>
      <c r="E5" s="3">
        <v>0</v>
      </c>
      <c r="F5" s="5" t="s">
        <v>17</v>
      </c>
      <c r="G5" s="4" t="s">
        <v>18</v>
      </c>
      <c r="H5" s="1" t="s">
        <v>19</v>
      </c>
      <c r="I5" s="29"/>
      <c r="J5" s="30"/>
    </row>
    <row r="6" spans="1:10" ht="14.25">
      <c r="A6" s="125" t="s">
        <v>260</v>
      </c>
      <c r="B6" s="2">
        <f>$A$3/SQRT(1-$C$3*(SIN(H6))*(SIN(H6)))</f>
        <v>6387657.849186479</v>
      </c>
      <c r="C6">
        <f>E6+(F6+G6/60)/60</f>
        <v>41.84056333048745</v>
      </c>
      <c r="D6" t="s">
        <v>2</v>
      </c>
      <c r="E6">
        <v>41</v>
      </c>
      <c r="F6">
        <v>50</v>
      </c>
      <c r="G6" s="6">
        <v>26.027989754814485</v>
      </c>
      <c r="H6">
        <f>C6*PI()/180</f>
        <v>0.7302555910062103</v>
      </c>
      <c r="I6" s="31" t="s">
        <v>141</v>
      </c>
      <c r="J6" s="30">
        <f>(180/PI())*ATAN(I3/H3)</f>
        <v>-88.26555873341539</v>
      </c>
    </row>
    <row r="7" spans="1:10" ht="12.75">
      <c r="A7" s="1"/>
      <c r="B7" s="1" t="s">
        <v>7</v>
      </c>
      <c r="C7">
        <f>-(E7+(F7+G7/60)/60)</f>
        <v>-88.2706208645235</v>
      </c>
      <c r="D7" t="s">
        <v>3</v>
      </c>
      <c r="E7">
        <v>88</v>
      </c>
      <c r="F7">
        <v>16</v>
      </c>
      <c r="G7" s="6">
        <v>14.235112284577554</v>
      </c>
      <c r="H7">
        <f>C7*PI()/180</f>
        <v>-1.5406129668655384</v>
      </c>
      <c r="I7" s="32" t="s">
        <v>17</v>
      </c>
      <c r="J7" s="33">
        <f>(J6-ROUNDDOWN(J6,0))*60</f>
        <v>-15.933524004923356</v>
      </c>
    </row>
    <row r="8" spans="1:10" ht="12.75">
      <c r="A8" s="120"/>
      <c r="B8" s="2">
        <f>B6+C8</f>
        <v>6387751.34629748</v>
      </c>
      <c r="C8" s="2">
        <v>93.49711100105196</v>
      </c>
      <c r="D8" t="s">
        <v>4</v>
      </c>
      <c r="I8" s="34" t="s">
        <v>18</v>
      </c>
      <c r="J8" s="33">
        <f>(J7-ROUNDDOWN(J7,0))*60</f>
        <v>-56.01144029540137</v>
      </c>
    </row>
    <row r="9" spans="1:10" ht="15" thickBot="1">
      <c r="A9" s="1" t="s">
        <v>8</v>
      </c>
      <c r="B9" s="1" t="s">
        <v>9</v>
      </c>
      <c r="C9" s="1" t="s">
        <v>10</v>
      </c>
      <c r="I9" s="31" t="s">
        <v>142</v>
      </c>
      <c r="J9" s="35">
        <f>(180/PI())*ATAN(J3/((1-$C$3)*SQRT(H3*H3+I3*I3)))</f>
        <v>41.83202813209218</v>
      </c>
    </row>
    <row r="10" spans="1:10" ht="15" thickBot="1">
      <c r="A10" s="2">
        <f>B8*COS(H6)*COS(H7)</f>
        <v>143617.77853005996</v>
      </c>
      <c r="B10" s="2">
        <f>B8*COS(H6)*SIN(H7)</f>
        <v>-4756732.272316928</v>
      </c>
      <c r="C10" s="2">
        <f>($B6*(1-$C$3)+C8)*SIN(H6)</f>
        <v>4232489.451292498</v>
      </c>
      <c r="I10" s="31" t="s">
        <v>143</v>
      </c>
      <c r="J10" s="36">
        <v>41.83202350680735</v>
      </c>
    </row>
    <row r="11" spans="1:11" ht="15" thickBot="1">
      <c r="A11" s="22">
        <f>A10-143933.08029</f>
        <v>-315.3017599400482</v>
      </c>
      <c r="B11" s="22">
        <f>B10+4757406.71591</f>
        <v>674.4435930717736</v>
      </c>
      <c r="C11" s="22">
        <f>C10-4231881.47778</f>
        <v>607.9735124977306</v>
      </c>
      <c r="D11" s="22">
        <f>SQRT(SUMSQ(A11:C11))</f>
        <v>961.2081730591372</v>
      </c>
      <c r="I11" s="31" t="s">
        <v>144</v>
      </c>
      <c r="J11" s="37">
        <f>J12</f>
        <v>41.83202350680571</v>
      </c>
      <c r="K11" s="13" t="s">
        <v>269</v>
      </c>
    </row>
    <row r="12" spans="1:10" ht="14.25">
      <c r="A12" s="1" t="s">
        <v>136</v>
      </c>
      <c r="B12" s="1" t="s">
        <v>5</v>
      </c>
      <c r="C12" s="3">
        <v>0</v>
      </c>
      <c r="E12" s="3">
        <v>0</v>
      </c>
      <c r="F12" s="5" t="s">
        <v>17</v>
      </c>
      <c r="G12" s="4" t="s">
        <v>18</v>
      </c>
      <c r="H12" s="1" t="s">
        <v>19</v>
      </c>
      <c r="I12" s="31" t="s">
        <v>144</v>
      </c>
      <c r="J12" s="38">
        <f>(180/PI())*ATAN(J3/(SQRT(H3*H3+I3*I3))*(1+$C$3*$A$3*SIN((J10*PI())/180)/(J3*SQRT(1-$C$3*POWER(SIN((J10*PI())/180),2)))))</f>
        <v>41.83202350680571</v>
      </c>
    </row>
    <row r="13" spans="1:10" ht="12.75">
      <c r="A13" s="1" t="s">
        <v>137</v>
      </c>
      <c r="B13" s="2">
        <f>$A$3/SQRT(1-$C$3*(SIN(H13))*(SIN(H13)))</f>
        <v>6389892.996849117</v>
      </c>
      <c r="C13" s="7">
        <f>E13+(F13+G13/60)/60</f>
        <v>47.820266534666665</v>
      </c>
      <c r="D13" t="s">
        <v>2</v>
      </c>
      <c r="E13">
        <v>47</v>
      </c>
      <c r="F13">
        <v>49</v>
      </c>
      <c r="G13" s="6">
        <v>12.9595248</v>
      </c>
      <c r="H13">
        <f>C13*PI()/180</f>
        <v>0.8346211002111924</v>
      </c>
      <c r="I13" s="32" t="s">
        <v>17</v>
      </c>
      <c r="J13" s="33">
        <f>(J12-ROUNDDOWN(J12,0))*60</f>
        <v>49.921410408342695</v>
      </c>
    </row>
    <row r="14" spans="2:10" ht="12.75">
      <c r="B14" s="1" t="s">
        <v>7</v>
      </c>
      <c r="C14" s="7">
        <f>-(E14+(F14+G14/60)/60)</f>
        <v>-92.24141201908333</v>
      </c>
      <c r="D14" t="s">
        <v>3</v>
      </c>
      <c r="E14">
        <v>92</v>
      </c>
      <c r="F14">
        <v>14</v>
      </c>
      <c r="G14" s="6">
        <v>29.0832687</v>
      </c>
      <c r="H14">
        <f>C14*PI()/180</f>
        <v>-1.6099163464216746</v>
      </c>
      <c r="I14" s="34" t="s">
        <v>18</v>
      </c>
      <c r="J14" s="33">
        <f>(J13-ROUNDDOWN(J13,0))*60</f>
        <v>55.28462450056168</v>
      </c>
    </row>
    <row r="15" spans="2:10" ht="12.75">
      <c r="B15" s="2">
        <f>B13+C15</f>
        <v>6389644.597696417</v>
      </c>
      <c r="C15" s="2">
        <v>-248.3991527</v>
      </c>
      <c r="D15" t="s">
        <v>4</v>
      </c>
      <c r="I15" s="34" t="s">
        <v>145</v>
      </c>
      <c r="J15" s="39">
        <f>SQRT(H3*H3+I3*I3)/COS((J12*PI())/180)-$A$3/SQRT(1-$C$3*POWER(SIN((J12*PI())/180),2))</f>
        <v>153.96829709410667</v>
      </c>
    </row>
    <row r="16" spans="1:10" ht="12.75">
      <c r="A16" s="1" t="s">
        <v>8</v>
      </c>
      <c r="B16" s="1" t="s">
        <v>9</v>
      </c>
      <c r="C16" s="1" t="s">
        <v>10</v>
      </c>
      <c r="G16" t="s">
        <v>101</v>
      </c>
      <c r="I16" s="40" t="s">
        <v>146</v>
      </c>
      <c r="J16" s="30"/>
    </row>
    <row r="17" spans="1:10" ht="12.75">
      <c r="A17" s="2">
        <f>B15*COS(H13)*COS(H14)</f>
        <v>-167796.99235646756</v>
      </c>
      <c r="B17" s="2">
        <f>B15*COS(H13)*SIN(H14)</f>
        <v>-4287098.721551998</v>
      </c>
      <c r="C17" s="2">
        <f>($B13*(1-$C$3)+C15)*SIN(H13)</f>
        <v>4703296.872157471</v>
      </c>
      <c r="G17" s="1" t="s">
        <v>102</v>
      </c>
      <c r="H17" s="1" t="s">
        <v>103</v>
      </c>
      <c r="I17" s="29" t="s">
        <v>147</v>
      </c>
      <c r="J17" s="30"/>
    </row>
    <row r="18" spans="1:11" ht="12.75">
      <c r="A18" s="27">
        <f>A17+167840.89279</f>
        <v>43.9004335324571</v>
      </c>
      <c r="B18" s="27">
        <f>B17+4287597.01913</f>
        <v>498.2975780023262</v>
      </c>
      <c r="C18" s="27">
        <f>C17-4703794.91091</f>
        <v>-498.0387525288388</v>
      </c>
      <c r="D18" s="27">
        <f>SQRT(SUMSQ(A18:C18))</f>
        <v>705.8826554943846</v>
      </c>
      <c r="F18" s="1" t="s">
        <v>104</v>
      </c>
      <c r="G18" s="7">
        <f>ATAN2(A22,B22)</f>
        <v>-0.4172942867599648</v>
      </c>
      <c r="H18" s="7">
        <f>ASIN(C22/D20)</f>
        <v>-0.05813482401098515</v>
      </c>
      <c r="I18" s="29" t="s">
        <v>148</v>
      </c>
      <c r="J18" s="41"/>
      <c r="K18" s="13"/>
    </row>
    <row r="19" spans="1:10" ht="12.75">
      <c r="A19" s="1" t="s">
        <v>11</v>
      </c>
      <c r="B19" s="1" t="s">
        <v>12</v>
      </c>
      <c r="C19" s="1" t="s">
        <v>13</v>
      </c>
      <c r="D19" s="1" t="s">
        <v>14</v>
      </c>
      <c r="F19" s="1" t="s">
        <v>95</v>
      </c>
      <c r="G19" s="21">
        <f>G18*180/PI()</f>
        <v>-23.909201446267893</v>
      </c>
      <c r="H19" s="21">
        <f>H18*180/PI()</f>
        <v>-3.330880058565249</v>
      </c>
      <c r="I19" s="29" t="s">
        <v>149</v>
      </c>
      <c r="J19" s="30"/>
    </row>
    <row r="20" spans="1:10" ht="12.75">
      <c r="A20" s="2">
        <f>A17-A10</f>
        <v>-311414.7708865275</v>
      </c>
      <c r="B20" s="2">
        <f>B17-B10</f>
        <v>469633.55076493043</v>
      </c>
      <c r="C20" s="2">
        <f>C17-C10</f>
        <v>470807.4208649732</v>
      </c>
      <c r="D20" s="2">
        <f>SQRT(A20*A20+B20*B20+C20*C20)</f>
        <v>734298.6170979167</v>
      </c>
      <c r="F20" s="1" t="s">
        <v>95</v>
      </c>
      <c r="G20" s="21">
        <f>G19+360</f>
        <v>336.0907985537321</v>
      </c>
      <c r="H20" s="21">
        <f>-H19</f>
        <v>3.330880058565249</v>
      </c>
      <c r="I20" s="29" t="s">
        <v>150</v>
      </c>
      <c r="J20" s="30"/>
    </row>
    <row r="21" spans="1:10" ht="12.75">
      <c r="A21" s="1" t="s">
        <v>15</v>
      </c>
      <c r="B21" s="1" t="s">
        <v>16</v>
      </c>
      <c r="C21" s="1" t="s">
        <v>11</v>
      </c>
      <c r="F21" s="5" t="s">
        <v>17</v>
      </c>
      <c r="G21" s="6">
        <f>(G20-ROUNDDOWN(G20,0))*60</f>
        <v>5.44791322392598</v>
      </c>
      <c r="H21" s="6">
        <f>(H20-ROUNDDOWN(H20,0))*60</f>
        <v>19.85280351391495</v>
      </c>
      <c r="I21" s="29" t="s">
        <v>151</v>
      </c>
      <c r="J21" s="30"/>
    </row>
    <row r="22" spans="1:11" ht="12.75">
      <c r="A22" s="2">
        <f>-SIN(H6)*COS(H7)*A20-SIN(H6)*SIN(H7)*B20+COS(H6)*C20</f>
        <v>670153.5882131283</v>
      </c>
      <c r="B22" s="2">
        <f>-SIN(H7)*A20+COS(H7)*B20</f>
        <v>-297099.9604871521</v>
      </c>
      <c r="C22" s="2">
        <f>COS(H6)*COS(H7)*A20+COS(H6)*SIN(H7)*B20+SIN(H6)*C20</f>
        <v>-42664.279620245914</v>
      </c>
      <c r="D22" t="s">
        <v>29</v>
      </c>
      <c r="F22" s="4" t="s">
        <v>18</v>
      </c>
      <c r="G22" s="6">
        <f>(G21-ROUNDDOWN(G21,0))*60</f>
        <v>26.874793435558786</v>
      </c>
      <c r="H22" s="6">
        <f>(H21-ROUNDDOWN(H21,0))*60</f>
        <v>51.16821083489697</v>
      </c>
      <c r="I22" s="29" t="s">
        <v>152</v>
      </c>
      <c r="J22" s="30"/>
      <c r="K22" s="2"/>
    </row>
    <row r="23" spans="1:10" ht="12.75">
      <c r="A23" s="28">
        <f>A22-I29</f>
        <v>670074.5453131283</v>
      </c>
      <c r="B23" s="28">
        <f>B22-H29</f>
        <v>-297103.2616871521</v>
      </c>
      <c r="C23" s="28">
        <f>C22-J29</f>
        <v>-41955.115720245914</v>
      </c>
      <c r="D23" s="28">
        <f>SQRT(SUMSQ(A23:C23))</f>
        <v>734186.949023775</v>
      </c>
      <c r="G23" s="2"/>
      <c r="H23" s="2"/>
      <c r="I23" s="29" t="s">
        <v>153</v>
      </c>
      <c r="J23" s="30"/>
    </row>
    <row r="24" spans="1:10" ht="12.75">
      <c r="A24" s="10" t="s">
        <v>38</v>
      </c>
      <c r="B24" s="10" t="s">
        <v>114</v>
      </c>
      <c r="I24" s="29" t="s">
        <v>154</v>
      </c>
      <c r="J24" s="30"/>
    </row>
    <row r="25" spans="1:10" ht="15" thickBot="1">
      <c r="A25" s="1" t="s">
        <v>136</v>
      </c>
      <c r="B25" s="1" t="s">
        <v>5</v>
      </c>
      <c r="C25" s="3">
        <v>0</v>
      </c>
      <c r="E25" s="3">
        <v>0</v>
      </c>
      <c r="F25" s="5" t="s">
        <v>17</v>
      </c>
      <c r="G25" s="4" t="s">
        <v>18</v>
      </c>
      <c r="H25" s="1" t="s">
        <v>19</v>
      </c>
      <c r="I25" s="42"/>
      <c r="J25" s="43"/>
    </row>
    <row r="26" spans="1:8" ht="12.75">
      <c r="A26" s="1" t="s">
        <v>137</v>
      </c>
      <c r="B26" s="2">
        <f>$A$3/SQRT(1-$C$3*(SIN(H26))*(SIN(H26)))</f>
        <v>6389892.996849117</v>
      </c>
      <c r="C26">
        <f>E26+(F26+G26/60)/60</f>
        <v>47.820266534666665</v>
      </c>
      <c r="D26" t="s">
        <v>2</v>
      </c>
      <c r="E26">
        <v>47</v>
      </c>
      <c r="F26">
        <v>49</v>
      </c>
      <c r="G26" s="6">
        <v>12.9595248</v>
      </c>
      <c r="H26">
        <f>C26*PI()/180</f>
        <v>0.8346211002111924</v>
      </c>
    </row>
    <row r="27" spans="2:8" ht="12.75">
      <c r="B27" s="1" t="s">
        <v>7</v>
      </c>
      <c r="C27">
        <f>-(E27+(F27+G27/60)/60)</f>
        <v>-92.24141201908333</v>
      </c>
      <c r="D27" t="s">
        <v>3</v>
      </c>
      <c r="E27">
        <v>92</v>
      </c>
      <c r="F27">
        <v>14</v>
      </c>
      <c r="G27" s="6">
        <v>29.0832687</v>
      </c>
      <c r="H27">
        <f>C27*PI()/180</f>
        <v>-1.6099163464216746</v>
      </c>
    </row>
    <row r="28" spans="2:10" ht="12.75">
      <c r="B28" s="2">
        <f>B26+C28</f>
        <v>6389644.597696417</v>
      </c>
      <c r="C28" s="2">
        <v>-248.3991527</v>
      </c>
      <c r="D28" t="s">
        <v>4</v>
      </c>
      <c r="G28" t="s">
        <v>303</v>
      </c>
      <c r="H28" t="s">
        <v>304</v>
      </c>
      <c r="I28" t="s">
        <v>305</v>
      </c>
      <c r="J28" t="s">
        <v>306</v>
      </c>
    </row>
    <row r="29" spans="1:10" ht="12.75">
      <c r="A29" s="1" t="s">
        <v>8</v>
      </c>
      <c r="B29" s="1" t="s">
        <v>9</v>
      </c>
      <c r="C29" s="1" t="s">
        <v>10</v>
      </c>
      <c r="G29" t="s">
        <v>307</v>
      </c>
      <c r="H29" s="2">
        <v>3.3012</v>
      </c>
      <c r="I29" s="2">
        <v>79.0429</v>
      </c>
      <c r="J29" s="2">
        <v>-709.1639</v>
      </c>
    </row>
    <row r="30" spans="1:11" ht="12.75">
      <c r="A30" s="2">
        <f>B28*COS(H26)*COS(H27)</f>
        <v>-167796.99235646756</v>
      </c>
      <c r="B30" s="2">
        <f>B28*COS(H26)*SIN(H27)</f>
        <v>-4287098.721551998</v>
      </c>
      <c r="C30" s="2">
        <f>($B26*(1-$C$3)+C28)*SIN(H26)</f>
        <v>4703296.872157471</v>
      </c>
      <c r="I30" s="6"/>
      <c r="J30" s="6"/>
      <c r="K30" s="6"/>
    </row>
    <row r="31" spans="1:4" ht="12.75">
      <c r="A31" s="22">
        <f>A30-143933.081026</f>
        <v>-311730.07338246756</v>
      </c>
      <c r="B31" s="22">
        <f>B30+4757406.787296</f>
        <v>470308.06574400235</v>
      </c>
      <c r="C31" s="22">
        <f>C30-4231881.536991</f>
        <v>471415.3351664711</v>
      </c>
      <c r="D31" s="22">
        <f>SQRT(SUMSQ(A31:C31))</f>
        <v>735253.516540397</v>
      </c>
    </row>
    <row r="32" spans="1:8" ht="14.25">
      <c r="A32" s="1" t="s">
        <v>384</v>
      </c>
      <c r="B32" s="1" t="s">
        <v>5</v>
      </c>
      <c r="C32" s="3">
        <v>0</v>
      </c>
      <c r="E32" s="3">
        <v>0</v>
      </c>
      <c r="F32" s="5" t="s">
        <v>17</v>
      </c>
      <c r="G32" s="4" t="s">
        <v>18</v>
      </c>
      <c r="H32" s="1" t="s">
        <v>19</v>
      </c>
    </row>
    <row r="33" spans="1:8" ht="12.75">
      <c r="A33" s="125" t="s">
        <v>260</v>
      </c>
      <c r="B33" s="2">
        <f>$A$3/SQRT(1-$C$3*(SIN(H33))*(SIN(H33)))</f>
        <v>6387657.849186479</v>
      </c>
      <c r="C33">
        <f>E33+(F33+G33/60)/60</f>
        <v>41.84056333048745</v>
      </c>
      <c r="D33" t="s">
        <v>2</v>
      </c>
      <c r="E33">
        <v>41</v>
      </c>
      <c r="F33">
        <v>50</v>
      </c>
      <c r="G33" s="6">
        <v>26.027989754814485</v>
      </c>
      <c r="H33">
        <f>C33*PI()/180</f>
        <v>0.7302555910062103</v>
      </c>
    </row>
    <row r="34" spans="1:8" ht="12.75">
      <c r="A34" s="1"/>
      <c r="B34" s="1" t="s">
        <v>7</v>
      </c>
      <c r="C34">
        <f>-(E34+(F34+G34/60)/60)</f>
        <v>-88.2706208645235</v>
      </c>
      <c r="D34" t="s">
        <v>3</v>
      </c>
      <c r="E34">
        <v>88</v>
      </c>
      <c r="F34">
        <v>16</v>
      </c>
      <c r="G34" s="6">
        <v>14.235112284577554</v>
      </c>
      <c r="H34">
        <f>C34*PI()/180</f>
        <v>-1.5406129668655384</v>
      </c>
    </row>
    <row r="35" spans="1:4" ht="12.75">
      <c r="A35" s="120"/>
      <c r="B35" s="2">
        <f>B33+C35</f>
        <v>6387751.34629748</v>
      </c>
      <c r="C35" s="2">
        <v>93.49711100105196</v>
      </c>
      <c r="D35" t="s">
        <v>4</v>
      </c>
    </row>
    <row r="36" spans="1:7" ht="12.75">
      <c r="A36" s="1" t="s">
        <v>8</v>
      </c>
      <c r="B36" s="1" t="s">
        <v>9</v>
      </c>
      <c r="C36" s="1" t="s">
        <v>10</v>
      </c>
      <c r="G36" t="s">
        <v>100</v>
      </c>
    </row>
    <row r="37" spans="1:8" ht="12.75">
      <c r="A37" s="2">
        <f>B35*COS(H33)*COS(H34)</f>
        <v>143617.77853005996</v>
      </c>
      <c r="B37" s="2">
        <f>B35*COS(H33)*SIN(H34)</f>
        <v>-4756732.272316928</v>
      </c>
      <c r="C37" s="2">
        <f>($B33*(1-$C$3)+C35)*SIN(H33)</f>
        <v>4232489.451292498</v>
      </c>
      <c r="G37" s="1" t="s">
        <v>102</v>
      </c>
      <c r="H37" s="1" t="s">
        <v>103</v>
      </c>
    </row>
    <row r="38" spans="1:8" ht="12.75">
      <c r="A38" s="46">
        <f>A37-144059.44</f>
        <v>-441.66146994003793</v>
      </c>
      <c r="B38" s="46">
        <f>B37+4757398.4889</f>
        <v>666.2165830722079</v>
      </c>
      <c r="C38" s="46">
        <f>C37-4231821.6044</f>
        <v>667.8468924984336</v>
      </c>
      <c r="D38" s="46">
        <f>SQRT(SUMSQ(A38:C38))</f>
        <v>1041.599184624209</v>
      </c>
      <c r="F38" s="1" t="s">
        <v>104</v>
      </c>
      <c r="G38" s="7">
        <f>ATAN2(A42,B42)</f>
        <v>2.6753623858605775</v>
      </c>
      <c r="H38" s="7">
        <f>ASIN(C42/D40)</f>
        <v>-0.05718495769586364</v>
      </c>
    </row>
    <row r="39" spans="1:8" ht="12.75">
      <c r="A39" s="1" t="s">
        <v>11</v>
      </c>
      <c r="B39" s="1" t="s">
        <v>12</v>
      </c>
      <c r="C39" s="1" t="s">
        <v>13</v>
      </c>
      <c r="D39" s="1" t="s">
        <v>14</v>
      </c>
      <c r="F39" s="1" t="s">
        <v>95</v>
      </c>
      <c r="G39">
        <f>G38*180/PI()</f>
        <v>153.28697337786153</v>
      </c>
      <c r="H39" s="21">
        <f>H38*180/PI()</f>
        <v>-3.2764567276071435</v>
      </c>
    </row>
    <row r="40" spans="1:8" ht="12.75">
      <c r="A40" s="2">
        <f>A37-A30</f>
        <v>311414.7708865275</v>
      </c>
      <c r="B40" s="2">
        <f>B37-B30</f>
        <v>-469633.55076493043</v>
      </c>
      <c r="C40" s="2">
        <f>C37-C30</f>
        <v>-470807.4208649732</v>
      </c>
      <c r="D40" s="2">
        <f>SQRT(A40*A40+B40*B40+C40*C40)</f>
        <v>734298.6170979167</v>
      </c>
      <c r="F40" s="1" t="s">
        <v>95</v>
      </c>
      <c r="G40" s="21">
        <f>G39+0</f>
        <v>153.28697337786153</v>
      </c>
      <c r="H40" s="21">
        <f>-H39</f>
        <v>3.2764567276071435</v>
      </c>
    </row>
    <row r="41" spans="1:11" ht="12.75">
      <c r="A41" s="1" t="s">
        <v>15</v>
      </c>
      <c r="B41" s="1" t="s">
        <v>16</v>
      </c>
      <c r="C41" s="1" t="s">
        <v>11</v>
      </c>
      <c r="D41" s="1" t="s">
        <v>14</v>
      </c>
      <c r="F41" s="5" t="s">
        <v>17</v>
      </c>
      <c r="G41" s="6">
        <f>(G40-ROUNDDOWN(G40,0))*60</f>
        <v>17.218402671691706</v>
      </c>
      <c r="H41" s="6">
        <f>(H40-ROUNDDOWN(H40,0))*60</f>
        <v>16.587403656428606</v>
      </c>
      <c r="I41" s="1"/>
      <c r="J41" s="1"/>
      <c r="K41" s="1"/>
    </row>
    <row r="42" spans="1:9" ht="12.75">
      <c r="A42" s="2">
        <f>-SIN(H26)*COS(H27)*A40-SIN(H26)*SIN(H27)*B40+COS(H26)*C40</f>
        <v>-654854.1585260945</v>
      </c>
      <c r="B42" s="2">
        <f>-SIN(H27)*A40+COS(H27)*B40</f>
        <v>329543.89849080145</v>
      </c>
      <c r="C42" s="2">
        <f>COS(H26)*COS(H27)*A40+COS(H26)*SIN(H27)*B40+SIN(H26)*C40</f>
        <v>-41967.95325576299</v>
      </c>
      <c r="D42" t="s">
        <v>30</v>
      </c>
      <c r="F42" s="4" t="s">
        <v>18</v>
      </c>
      <c r="G42" s="6">
        <f>(G41-ROUNDDOWN(G41,0))*60</f>
        <v>13.104160301502361</v>
      </c>
      <c r="H42" s="6">
        <f>(H41-ROUNDDOWN(H41,0))*60</f>
        <v>35.24421938571635</v>
      </c>
      <c r="I42" s="7"/>
    </row>
    <row r="43" spans="1:9" ht="12.75" hidden="1">
      <c r="A43" s="25">
        <f>A42+32.8658</f>
        <v>-654821.2927260945</v>
      </c>
      <c r="B43" s="25">
        <f>B42-5.1943</f>
        <v>329538.7041908015</v>
      </c>
      <c r="C43" s="25">
        <f>C42-0.5534</f>
        <v>-41968.50665576298</v>
      </c>
      <c r="D43" s="25">
        <f>SQRT(SUMSQ(B43:C43))</f>
        <v>332200.4110633631</v>
      </c>
      <c r="F43" s="4"/>
      <c r="H43" s="6"/>
      <c r="I43" s="7"/>
    </row>
    <row r="44" ht="12.75">
      <c r="A44" s="9" t="s">
        <v>22</v>
      </c>
    </row>
    <row r="45" spans="1:4" ht="12.75">
      <c r="A45" s="1" t="s">
        <v>25</v>
      </c>
      <c r="B45" s="1" t="s">
        <v>31</v>
      </c>
      <c r="C45" s="1" t="s">
        <v>32</v>
      </c>
      <c r="D45" s="1" t="s">
        <v>26</v>
      </c>
    </row>
    <row r="46" spans="1:7" ht="12.75">
      <c r="A46" s="8">
        <f>A20-A40</f>
        <v>-622829.541773055</v>
      </c>
      <c r="B46" s="8">
        <f>B20-B40</f>
        <v>939267.1015298609</v>
      </c>
      <c r="C46" s="8">
        <f>C20-C40</f>
        <v>941614.8417299464</v>
      </c>
      <c r="D46" s="2">
        <f>D20-D40</f>
        <v>0</v>
      </c>
      <c r="G46" s="2"/>
    </row>
    <row r="47" spans="1:5" ht="12.75">
      <c r="A47" s="1" t="s">
        <v>23</v>
      </c>
      <c r="B47" s="1" t="s">
        <v>24</v>
      </c>
      <c r="C47" s="1" t="s">
        <v>25</v>
      </c>
      <c r="D47" s="1" t="s">
        <v>105</v>
      </c>
      <c r="E47" t="s">
        <v>30</v>
      </c>
    </row>
    <row r="48" spans="1:4" ht="12.75">
      <c r="A48" s="2">
        <f>-SIN(H26)*COS(H27)*A46-SIN(H26)*SIN(H27)*B46+COS(H26)*C46</f>
        <v>1309708.317052189</v>
      </c>
      <c r="B48" s="2">
        <f>-SIN(H27)*A46+COS(H27)*B46</f>
        <v>-659087.7969816029</v>
      </c>
      <c r="C48" s="2">
        <f>COS(H26)*COS(H27)*A46+COS(H26)*SIN(H27)*B46+SIN(H26)*C46</f>
        <v>83935.90651152597</v>
      </c>
      <c r="D48" s="2">
        <f>SQRT(A48*A48+B48*B48+C48*C48)</f>
        <v>1468597.2341958333</v>
      </c>
    </row>
    <row r="49" spans="1:8" ht="12.75">
      <c r="A49" s="1" t="s">
        <v>23</v>
      </c>
      <c r="B49" s="1" t="s">
        <v>24</v>
      </c>
      <c r="C49" s="1" t="s">
        <v>25</v>
      </c>
      <c r="D49" s="1" t="s">
        <v>105</v>
      </c>
      <c r="E49" t="s">
        <v>94</v>
      </c>
      <c r="H49" s="1" t="s">
        <v>96</v>
      </c>
    </row>
    <row r="50" spans="1:8" ht="12.75">
      <c r="A50" s="2">
        <f>A22-A42</f>
        <v>1325007.7467392227</v>
      </c>
      <c r="B50" s="2">
        <f>B22-B42</f>
        <v>-626643.8589779536</v>
      </c>
      <c r="C50" s="2">
        <f>C22-C42</f>
        <v>-696.3263644829276</v>
      </c>
      <c r="D50" s="2">
        <f>SQRT(A50*A50+B50*B50+C50*C50)</f>
        <v>1465717.7558398272</v>
      </c>
      <c r="G50" s="4" t="s">
        <v>97</v>
      </c>
      <c r="H50" s="26">
        <f>1000000*(G18-G38+PI())</f>
        <v>48935.98096925089</v>
      </c>
    </row>
    <row r="51" spans="7:8" ht="12.75">
      <c r="G51" s="4" t="s">
        <v>98</v>
      </c>
      <c r="H51" s="26">
        <f>1000000*(H18-H38)</f>
        <v>-949.8663151215128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K69"/>
  <sheetViews>
    <sheetView workbookViewId="0" topLeftCell="A35">
      <selection activeCell="G69" sqref="G69:H69"/>
    </sheetView>
  </sheetViews>
  <sheetFormatPr defaultColWidth="9.140625" defaultRowHeight="12.75"/>
  <cols>
    <col min="1" max="1" width="11.8515625" style="0" customWidth="1"/>
    <col min="2" max="2" width="10.421875" style="0" customWidth="1"/>
    <col min="3" max="3" width="9.57421875" style="0" customWidth="1"/>
    <col min="4" max="4" width="12.00390625" style="0" customWidth="1"/>
    <col min="5" max="5" width="12.421875" style="0" customWidth="1"/>
    <col min="6" max="6" width="12.7109375" style="0" customWidth="1"/>
    <col min="7" max="7" width="13.00390625" style="0" customWidth="1"/>
    <col min="8" max="8" width="12.57421875" style="0" customWidth="1"/>
    <col min="9" max="9" width="12.140625" style="0" customWidth="1"/>
    <col min="10" max="10" width="8.140625" style="0" customWidth="1"/>
    <col min="11" max="11" width="9.28125" style="0" customWidth="1"/>
  </cols>
  <sheetData>
    <row r="1" spans="3:11" ht="12.75">
      <c r="C1" s="1" t="s">
        <v>128</v>
      </c>
      <c r="D1" s="1" t="s">
        <v>2</v>
      </c>
      <c r="E1" s="1" t="s">
        <v>3</v>
      </c>
      <c r="F1" s="1" t="s">
        <v>157</v>
      </c>
      <c r="G1" s="1" t="s">
        <v>158</v>
      </c>
      <c r="H1" s="1" t="s">
        <v>159</v>
      </c>
      <c r="I1" s="1" t="s">
        <v>15</v>
      </c>
      <c r="J1" s="1" t="s">
        <v>16</v>
      </c>
      <c r="K1" s="1" t="s">
        <v>11</v>
      </c>
    </row>
    <row r="2" spans="3:11" ht="14.25">
      <c r="C2" s="1" t="s">
        <v>129</v>
      </c>
      <c r="D2" s="3">
        <v>0</v>
      </c>
      <c r="E2" s="3">
        <v>0</v>
      </c>
      <c r="F2" s="1" t="s">
        <v>130</v>
      </c>
      <c r="G2" s="1" t="s">
        <v>130</v>
      </c>
      <c r="H2" s="1" t="s">
        <v>130</v>
      </c>
      <c r="I2" s="1" t="s">
        <v>130</v>
      </c>
      <c r="J2" s="1" t="s">
        <v>130</v>
      </c>
      <c r="K2" s="1" t="s">
        <v>130</v>
      </c>
    </row>
    <row r="3" spans="1:2" ht="12.75">
      <c r="A3" s="10" t="s">
        <v>444</v>
      </c>
      <c r="B3" s="10"/>
    </row>
    <row r="4" spans="1:8" ht="12.75">
      <c r="A4" s="1">
        <v>6589</v>
      </c>
      <c r="B4" s="1">
        <v>0</v>
      </c>
      <c r="C4" s="2">
        <v>197.4698</v>
      </c>
      <c r="D4" s="21">
        <v>41.83237974527778</v>
      </c>
      <c r="E4" s="21">
        <v>-88.26707194944444</v>
      </c>
      <c r="F4" s="2">
        <v>0</v>
      </c>
      <c r="G4" s="2">
        <v>0</v>
      </c>
      <c r="H4" s="2">
        <v>0</v>
      </c>
    </row>
    <row r="5" spans="1:8" ht="12.75">
      <c r="A5" s="1" t="s">
        <v>27</v>
      </c>
      <c r="B5" s="1">
        <v>0</v>
      </c>
      <c r="C5" s="2">
        <v>456.1844</v>
      </c>
      <c r="D5" s="21">
        <v>47.81994423111111</v>
      </c>
      <c r="E5" s="21">
        <v>-92.24173755555556</v>
      </c>
      <c r="F5" s="2">
        <v>0</v>
      </c>
      <c r="G5" s="2">
        <v>0</v>
      </c>
      <c r="H5" s="2">
        <v>0</v>
      </c>
    </row>
    <row r="6" spans="1:2" ht="12.75">
      <c r="A6" s="10" t="s">
        <v>445</v>
      </c>
      <c r="B6" s="10"/>
    </row>
    <row r="7" spans="1:8" ht="12.75">
      <c r="A7" s="1">
        <v>6589</v>
      </c>
      <c r="B7" s="1">
        <v>0</v>
      </c>
      <c r="C7" s="2">
        <v>197.3751</v>
      </c>
      <c r="D7" s="21">
        <v>41.832379618055555</v>
      </c>
      <c r="E7" s="21">
        <v>-88.26707209083334</v>
      </c>
      <c r="F7" s="2">
        <v>0</v>
      </c>
      <c r="G7" s="2">
        <v>0</v>
      </c>
      <c r="H7" s="2">
        <v>0</v>
      </c>
    </row>
    <row r="8" spans="1:8" ht="12.75">
      <c r="A8" s="1" t="s">
        <v>27</v>
      </c>
      <c r="B8" s="1">
        <v>0</v>
      </c>
      <c r="C8" s="2">
        <v>456.1255</v>
      </c>
      <c r="D8" s="21">
        <v>47.81994436138889</v>
      </c>
      <c r="E8" s="21">
        <v>-92.24173750555556</v>
      </c>
      <c r="F8" s="2">
        <v>0</v>
      </c>
      <c r="G8" s="2">
        <v>0</v>
      </c>
      <c r="H8" s="2">
        <v>0</v>
      </c>
    </row>
    <row r="9" spans="1:2" ht="12.75">
      <c r="A9" s="10" t="s">
        <v>69</v>
      </c>
      <c r="B9" s="10"/>
    </row>
    <row r="10" spans="1:8" ht="12.75">
      <c r="A10" s="1">
        <v>6589</v>
      </c>
      <c r="B10" s="1">
        <v>0</v>
      </c>
      <c r="C10" s="2">
        <v>197.3415</v>
      </c>
      <c r="D10" s="21">
        <v>41.832379675</v>
      </c>
      <c r="E10" s="21">
        <v>-88.26707206</v>
      </c>
      <c r="F10" s="2">
        <v>0</v>
      </c>
      <c r="G10" s="2">
        <v>0</v>
      </c>
      <c r="H10" s="2">
        <v>0</v>
      </c>
    </row>
    <row r="11" spans="1:8" ht="12.75">
      <c r="A11" s="1" t="s">
        <v>27</v>
      </c>
      <c r="B11" s="1">
        <v>0</v>
      </c>
      <c r="C11" s="2">
        <v>456.1597</v>
      </c>
      <c r="D11" s="21">
        <v>47.81994419611111</v>
      </c>
      <c r="E11" s="21">
        <v>-92.24173748222222</v>
      </c>
      <c r="F11" s="2">
        <v>0</v>
      </c>
      <c r="G11" s="2">
        <v>0</v>
      </c>
      <c r="H11" s="2">
        <v>0</v>
      </c>
    </row>
    <row r="12" spans="1:2" ht="12.75">
      <c r="A12" s="10" t="s">
        <v>93</v>
      </c>
      <c r="B12" s="10"/>
    </row>
    <row r="13" spans="1:8" ht="12.75">
      <c r="A13" s="1">
        <v>6589</v>
      </c>
      <c r="B13" s="1">
        <v>0</v>
      </c>
      <c r="C13" s="2">
        <v>197.337328</v>
      </c>
      <c r="D13" s="21">
        <v>41.83237969527778</v>
      </c>
      <c r="E13" s="21">
        <v>-88.26707201619445</v>
      </c>
      <c r="F13" s="2">
        <v>0</v>
      </c>
      <c r="G13" s="2">
        <v>0</v>
      </c>
      <c r="H13" s="2">
        <v>0</v>
      </c>
    </row>
    <row r="14" spans="1:8" ht="12.75">
      <c r="A14" s="1" t="s">
        <v>27</v>
      </c>
      <c r="B14" s="1">
        <v>0</v>
      </c>
      <c r="C14" s="2">
        <v>456.1518</v>
      </c>
      <c r="D14" s="21">
        <v>47.8199442455</v>
      </c>
      <c r="E14" s="21">
        <v>-92.24173754194445</v>
      </c>
      <c r="F14" s="2">
        <v>0</v>
      </c>
      <c r="G14" s="2">
        <v>0</v>
      </c>
      <c r="H14" s="2">
        <v>0</v>
      </c>
    </row>
    <row r="15" spans="1:2" ht="12.75">
      <c r="A15" s="10" t="s">
        <v>112</v>
      </c>
      <c r="B15" s="10"/>
    </row>
    <row r="16" spans="1:8" ht="12.75">
      <c r="A16" s="1">
        <v>6589</v>
      </c>
      <c r="B16" s="1">
        <v>0</v>
      </c>
      <c r="C16" s="2">
        <v>196.327</v>
      </c>
      <c r="D16" s="21">
        <v>41.83238746388889</v>
      </c>
      <c r="E16" s="21">
        <v>-88.26707827777778</v>
      </c>
      <c r="F16" s="2">
        <v>0</v>
      </c>
      <c r="G16" s="2">
        <v>0</v>
      </c>
      <c r="H16" s="2">
        <v>0</v>
      </c>
    </row>
    <row r="17" spans="1:8" ht="12.75">
      <c r="A17" s="1" t="s">
        <v>27</v>
      </c>
      <c r="B17" s="1">
        <v>0</v>
      </c>
      <c r="C17" s="2">
        <v>455.194</v>
      </c>
      <c r="D17" s="21">
        <v>47.81995271666667</v>
      </c>
      <c r="E17" s="21">
        <v>-92.24174603055556</v>
      </c>
      <c r="F17" s="2">
        <v>0</v>
      </c>
      <c r="G17" s="2">
        <v>0</v>
      </c>
      <c r="H17" s="2">
        <v>0</v>
      </c>
    </row>
    <row r="18" spans="1:2" ht="12" customHeight="1">
      <c r="A18" s="10" t="s">
        <v>99</v>
      </c>
      <c r="B18" s="10"/>
    </row>
    <row r="19" spans="1:8" ht="12" customHeight="1">
      <c r="A19" s="1">
        <v>6589</v>
      </c>
      <c r="B19" s="1">
        <v>0</v>
      </c>
      <c r="C19" s="2">
        <v>197.43</v>
      </c>
      <c r="D19" s="21">
        <v>41.83237966388889</v>
      </c>
      <c r="E19" s="21">
        <v>-88.26707203333333</v>
      </c>
      <c r="F19" s="2">
        <v>0</v>
      </c>
      <c r="G19" s="2">
        <v>0</v>
      </c>
      <c r="H19" s="2">
        <v>0</v>
      </c>
    </row>
    <row r="20" spans="1:8" ht="12.75">
      <c r="A20" s="1" t="s">
        <v>28</v>
      </c>
      <c r="B20" s="1">
        <v>0</v>
      </c>
      <c r="C20" s="2">
        <v>456.07</v>
      </c>
      <c r="D20" s="21">
        <v>47.81994427777778</v>
      </c>
      <c r="E20" s="21">
        <v>-92.24173775555556</v>
      </c>
      <c r="F20" s="2">
        <v>0</v>
      </c>
      <c r="G20" s="2">
        <v>0</v>
      </c>
      <c r="H20" s="2">
        <v>0</v>
      </c>
    </row>
    <row r="21" spans="1:2" ht="12.75">
      <c r="A21" s="10" t="s">
        <v>106</v>
      </c>
      <c r="B21" s="10"/>
    </row>
    <row r="22" spans="1:11" ht="12.75">
      <c r="A22" s="1" t="s">
        <v>109</v>
      </c>
      <c r="B22" s="1">
        <v>0</v>
      </c>
      <c r="C22" s="2">
        <v>-248.389655</v>
      </c>
      <c r="D22" s="21">
        <v>47.820264740666666</v>
      </c>
      <c r="E22" s="21">
        <v>-92.24141446119722</v>
      </c>
      <c r="F22" s="2">
        <v>0</v>
      </c>
      <c r="G22" s="2">
        <v>0</v>
      </c>
      <c r="H22" s="2">
        <v>0</v>
      </c>
      <c r="I22" s="2">
        <v>35.633500237684586</v>
      </c>
      <c r="J22" s="2">
        <v>24.19270044001809</v>
      </c>
      <c r="K22" s="2">
        <v>-704.5416004610303</v>
      </c>
    </row>
    <row r="23" spans="1:2" ht="12.75">
      <c r="A23" s="10" t="s">
        <v>110</v>
      </c>
      <c r="B23" s="10"/>
    </row>
    <row r="24" spans="1:8" ht="12.75">
      <c r="A24" s="1" t="s">
        <v>107</v>
      </c>
      <c r="B24" s="1">
        <v>0</v>
      </c>
      <c r="C24" s="2">
        <v>185.1904</v>
      </c>
      <c r="D24" s="21">
        <v>41.82725970194444</v>
      </c>
      <c r="E24" s="21">
        <v>-88.26894014861111</v>
      </c>
      <c r="F24" s="2">
        <v>0</v>
      </c>
      <c r="G24" s="2">
        <v>0</v>
      </c>
      <c r="H24" s="2">
        <v>0</v>
      </c>
    </row>
    <row r="25" spans="1:10" ht="12.75">
      <c r="A25" s="175" t="s">
        <v>108</v>
      </c>
      <c r="B25" s="175" t="s">
        <v>138</v>
      </c>
      <c r="C25" s="176">
        <v>154.410767</v>
      </c>
      <c r="D25" s="177">
        <v>41.83200491613889</v>
      </c>
      <c r="E25" s="177">
        <v>-88.26555193927223</v>
      </c>
      <c r="F25" s="122">
        <v>144059.16813760332</v>
      </c>
      <c r="G25" s="123">
        <v>-4757398.676700387</v>
      </c>
      <c r="H25" s="123">
        <v>4231821.830868212</v>
      </c>
      <c r="I25" s="124" t="s">
        <v>446</v>
      </c>
      <c r="J25" s="122"/>
    </row>
    <row r="26" spans="1:2" ht="12.75">
      <c r="A26" s="10" t="s">
        <v>111</v>
      </c>
      <c r="B26" s="10"/>
    </row>
    <row r="27" spans="1:11" ht="12.75">
      <c r="A27" s="1" t="s">
        <v>109</v>
      </c>
      <c r="B27" s="1">
        <v>0</v>
      </c>
      <c r="C27" s="2">
        <v>-248.4714545</v>
      </c>
      <c r="D27" s="21">
        <v>47.82026477294639</v>
      </c>
      <c r="E27" s="21">
        <v>-92.24141467480972</v>
      </c>
      <c r="F27" s="2">
        <v>0</v>
      </c>
      <c r="G27" s="2">
        <v>0</v>
      </c>
      <c r="H27" s="2">
        <v>0</v>
      </c>
      <c r="I27" s="2">
        <v>35.633500237684586</v>
      </c>
      <c r="J27" s="2">
        <v>24.19270044001809</v>
      </c>
      <c r="K27" s="2">
        <v>-704.5416004610303</v>
      </c>
    </row>
    <row r="28" spans="1:2" ht="12.75">
      <c r="A28" s="10" t="s">
        <v>113</v>
      </c>
      <c r="B28" s="10"/>
    </row>
    <row r="29" spans="1:8" ht="12.75">
      <c r="A29" s="1">
        <v>6589</v>
      </c>
      <c r="B29" s="1">
        <v>0</v>
      </c>
      <c r="C29" s="2">
        <v>196.262</v>
      </c>
      <c r="D29" s="21">
        <v>41.8323874</v>
      </c>
      <c r="E29" s="21">
        <v>-88.26707832777778</v>
      </c>
      <c r="F29" s="2">
        <v>0</v>
      </c>
      <c r="G29" s="2">
        <v>0</v>
      </c>
      <c r="H29" s="2">
        <v>0</v>
      </c>
    </row>
    <row r="30" spans="1:8" ht="12.75">
      <c r="A30" s="1" t="s">
        <v>27</v>
      </c>
      <c r="B30" s="1">
        <v>0</v>
      </c>
      <c r="C30" s="2">
        <v>455.245</v>
      </c>
      <c r="D30" s="21">
        <v>47.81995270833333</v>
      </c>
      <c r="E30" s="21">
        <v>-92.24174593888888</v>
      </c>
      <c r="F30" s="2">
        <v>0</v>
      </c>
      <c r="G30" s="2">
        <v>0</v>
      </c>
      <c r="H30" s="2">
        <v>0</v>
      </c>
    </row>
    <row r="31" spans="1:2" ht="12.75">
      <c r="A31" s="10" t="s">
        <v>114</v>
      </c>
      <c r="B31" s="10"/>
    </row>
    <row r="32" spans="1:8" ht="12.75">
      <c r="A32" s="1">
        <v>6589</v>
      </c>
      <c r="B32" s="1">
        <v>0</v>
      </c>
      <c r="C32" s="2">
        <v>197.365</v>
      </c>
      <c r="D32" s="21">
        <v>41.8323796</v>
      </c>
      <c r="E32" s="21">
        <v>-88.26707208333333</v>
      </c>
      <c r="F32" s="2">
        <v>0</v>
      </c>
      <c r="G32" s="2">
        <v>0</v>
      </c>
      <c r="H32" s="2">
        <v>0</v>
      </c>
    </row>
    <row r="33" spans="1:8" ht="12.75">
      <c r="A33" s="1" t="s">
        <v>28</v>
      </c>
      <c r="B33" s="1">
        <v>0</v>
      </c>
      <c r="C33" s="2">
        <v>456.121</v>
      </c>
      <c r="D33" s="21">
        <v>47.81994426944444</v>
      </c>
      <c r="E33" s="21">
        <v>-92.24173766388888</v>
      </c>
      <c r="F33" s="2">
        <v>-167840.90102975717</v>
      </c>
      <c r="G33" s="2">
        <v>-4287596.996135969</v>
      </c>
      <c r="H33" s="2">
        <v>4703794.889874318</v>
      </c>
    </row>
    <row r="34" spans="1:11" ht="12.75">
      <c r="A34" s="1" t="s">
        <v>116</v>
      </c>
      <c r="B34" s="1">
        <v>0</v>
      </c>
      <c r="C34" s="2">
        <v>456.795</v>
      </c>
      <c r="D34" s="21">
        <v>47.819719975</v>
      </c>
      <c r="E34" s="21">
        <v>-92.24096909722222</v>
      </c>
      <c r="F34" s="2">
        <v>0</v>
      </c>
      <c r="G34" s="2">
        <v>0</v>
      </c>
      <c r="H34" s="2">
        <v>0</v>
      </c>
      <c r="I34" s="2">
        <v>-24.940087453830557</v>
      </c>
      <c r="J34" s="2">
        <v>57.558210764093246</v>
      </c>
      <c r="K34" s="2">
        <v>0.6736919691796857</v>
      </c>
    </row>
    <row r="35" spans="1:11" ht="12.75">
      <c r="A35" s="1" t="s">
        <v>115</v>
      </c>
      <c r="B35" s="1">
        <v>0</v>
      </c>
      <c r="C35" s="2">
        <v>456.089</v>
      </c>
      <c r="D35" s="21">
        <v>47.81961900277778</v>
      </c>
      <c r="E35" s="21">
        <v>-92.24278912222222</v>
      </c>
      <c r="F35" s="2">
        <v>0</v>
      </c>
      <c r="G35" s="2">
        <v>0</v>
      </c>
      <c r="H35" s="2">
        <v>0</v>
      </c>
      <c r="I35" s="2">
        <v>-36.16741876690649</v>
      </c>
      <c r="J35" s="2">
        <v>-78.74420482397632</v>
      </c>
      <c r="K35" s="2">
        <v>-0.03258781651136289</v>
      </c>
    </row>
    <row r="36" spans="1:11" ht="12.75">
      <c r="A36" s="1" t="s">
        <v>126</v>
      </c>
      <c r="B36" s="1">
        <v>0</v>
      </c>
      <c r="C36" s="2">
        <v>456.67449</v>
      </c>
      <c r="D36" s="21">
        <v>47.819648699805555</v>
      </c>
      <c r="E36" s="21">
        <v>-92.24166830527778</v>
      </c>
      <c r="F36" s="2">
        <v>0</v>
      </c>
      <c r="G36" s="2">
        <v>0</v>
      </c>
      <c r="H36" s="2">
        <v>0</v>
      </c>
      <c r="I36" s="2">
        <v>-32.86580061117884</v>
      </c>
      <c r="J36" s="2">
        <v>5.194296238170408</v>
      </c>
      <c r="K36" s="2">
        <v>0.5534031162754935</v>
      </c>
    </row>
    <row r="37" spans="1:11" ht="12.75">
      <c r="A37" s="1" t="s">
        <v>123</v>
      </c>
      <c r="B37" s="1">
        <v>0</v>
      </c>
      <c r="C37" s="2">
        <v>265.08451</v>
      </c>
      <c r="D37" s="21">
        <v>47.82002235369445</v>
      </c>
      <c r="E37" s="21">
        <v>-92.24172545763889</v>
      </c>
      <c r="F37" s="2">
        <v>0</v>
      </c>
      <c r="G37" s="2">
        <v>0</v>
      </c>
      <c r="H37" s="2">
        <v>0</v>
      </c>
      <c r="I37" s="2">
        <v>8.682300774885064</v>
      </c>
      <c r="J37" s="2">
        <v>0.9140973492893263</v>
      </c>
      <c r="K37" s="2">
        <v>-191.03649598121984</v>
      </c>
    </row>
    <row r="38" spans="1:11" ht="12.75">
      <c r="A38" s="1" t="s">
        <v>124</v>
      </c>
      <c r="B38" s="1">
        <v>0</v>
      </c>
      <c r="C38" s="2">
        <v>206.10954</v>
      </c>
      <c r="D38" s="21">
        <v>47.82013507547222</v>
      </c>
      <c r="E38" s="21">
        <v>-92.24174158319444</v>
      </c>
      <c r="F38" s="2">
        <v>0</v>
      </c>
      <c r="G38" s="2">
        <v>0</v>
      </c>
      <c r="H38" s="2">
        <v>0</v>
      </c>
      <c r="I38" s="2">
        <v>21.21580203604661</v>
      </c>
      <c r="J38" s="2">
        <v>-0.29350422951281097</v>
      </c>
      <c r="K38" s="2">
        <v>-250.01149533376278</v>
      </c>
    </row>
    <row r="39" spans="1:11" ht="12.75">
      <c r="A39" s="1" t="s">
        <v>125</v>
      </c>
      <c r="B39" s="1">
        <v>0</v>
      </c>
      <c r="C39" s="2">
        <v>-131.34545</v>
      </c>
      <c r="D39" s="21">
        <v>47.820757950916665</v>
      </c>
      <c r="E39" s="21">
        <v>-92.24183180541667</v>
      </c>
      <c r="F39" s="2">
        <v>0</v>
      </c>
      <c r="G39" s="2">
        <v>0</v>
      </c>
      <c r="H39" s="2">
        <v>0</v>
      </c>
      <c r="I39" s="2">
        <v>90.46880007539161</v>
      </c>
      <c r="J39" s="2">
        <v>-7.049500620448287</v>
      </c>
      <c r="K39" s="2">
        <v>-587.4670962811637</v>
      </c>
    </row>
    <row r="40" spans="1:11" ht="12.75">
      <c r="A40" s="1" t="s">
        <v>122</v>
      </c>
      <c r="B40" s="1">
        <v>0</v>
      </c>
      <c r="C40" s="2">
        <v>-253.46385</v>
      </c>
      <c r="D40" s="21">
        <v>47.82098134444445</v>
      </c>
      <c r="E40" s="21">
        <v>-92.24187125055556</v>
      </c>
      <c r="F40" s="2">
        <v>0</v>
      </c>
      <c r="G40" s="2">
        <v>0</v>
      </c>
      <c r="H40" s="2">
        <v>0</v>
      </c>
      <c r="I40" s="2">
        <v>115.30450170204904</v>
      </c>
      <c r="J40" s="2">
        <v>-10.002995216230248</v>
      </c>
      <c r="K40" s="2">
        <v>-709.5859013577804</v>
      </c>
    </row>
    <row r="41" spans="1:11" ht="12.75">
      <c r="A41" s="1"/>
      <c r="B41" s="1"/>
      <c r="C41" s="2"/>
      <c r="D41" s="21"/>
      <c r="E41" s="21"/>
      <c r="F41" s="2"/>
      <c r="G41" s="2"/>
      <c r="H41" s="2"/>
      <c r="I41" s="2"/>
      <c r="J41" s="2"/>
      <c r="K41" s="2"/>
    </row>
    <row r="42" spans="1:11" ht="12.75">
      <c r="A42" s="1" t="s">
        <v>135</v>
      </c>
      <c r="B42" s="1">
        <v>0</v>
      </c>
      <c r="C42" s="2">
        <v>-248.420455</v>
      </c>
      <c r="D42" s="21">
        <v>47.82026476461111</v>
      </c>
      <c r="E42" s="21">
        <v>-92.24141458313889</v>
      </c>
      <c r="F42" s="2">
        <v>-167797.1893556161</v>
      </c>
      <c r="G42" s="2">
        <v>-4287098.845526812</v>
      </c>
      <c r="H42" s="2">
        <v>4703296.724078616</v>
      </c>
      <c r="I42" s="2">
        <v>35.63350006671777</v>
      </c>
      <c r="J42" s="2">
        <v>24.19270051991608</v>
      </c>
      <c r="K42" s="2">
        <v>-704.5416004617933</v>
      </c>
    </row>
    <row r="43" spans="1:8" ht="12.75">
      <c r="A43" t="s">
        <v>262</v>
      </c>
      <c r="C43" s="2"/>
      <c r="F43" s="2">
        <v>0.2719</v>
      </c>
      <c r="G43" s="2">
        <v>0.1878</v>
      </c>
      <c r="H43" s="2">
        <v>-0.2265</v>
      </c>
    </row>
    <row r="44" spans="1:11" ht="12.75">
      <c r="A44" s="1" t="s">
        <v>136</v>
      </c>
      <c r="B44" s="1" t="s">
        <v>137</v>
      </c>
      <c r="C44" s="2">
        <v>-248.3991527</v>
      </c>
      <c r="D44" s="21">
        <v>47.820266534666665</v>
      </c>
      <c r="E44" s="21">
        <v>-92.24141201908333</v>
      </c>
      <c r="F44" s="2">
        <v>-167796.99235849088</v>
      </c>
      <c r="G44" s="2">
        <v>-4287098.7216036925</v>
      </c>
      <c r="H44" s="2">
        <v>4703296.872007008</v>
      </c>
      <c r="I44" s="2">
        <v>35.83030017550601</v>
      </c>
      <c r="J44" s="2">
        <v>24.384699538518483</v>
      </c>
      <c r="K44" s="2">
        <v>-704.5202999950852</v>
      </c>
    </row>
    <row r="45" spans="1:10" ht="12.75">
      <c r="A45" s="175" t="s">
        <v>108</v>
      </c>
      <c r="B45" s="175" t="s">
        <v>137</v>
      </c>
      <c r="C45" s="176">
        <v>154.12598877679557</v>
      </c>
      <c r="D45" s="177">
        <v>41.83200447467654</v>
      </c>
      <c r="E45" s="177">
        <v>-88.26554859966774</v>
      </c>
      <c r="F45" s="176">
        <v>144059.44000000128</v>
      </c>
      <c r="G45" s="176">
        <v>-4757398.4889</v>
      </c>
      <c r="H45" s="176">
        <v>4231821.604400001</v>
      </c>
      <c r="I45" s="178" t="s">
        <v>446</v>
      </c>
      <c r="J45" s="122"/>
    </row>
    <row r="46" spans="1:10" ht="12.75">
      <c r="A46" s="1" t="s">
        <v>259</v>
      </c>
      <c r="B46" s="1" t="s">
        <v>137</v>
      </c>
      <c r="C46" s="2">
        <v>-248.37927879113704</v>
      </c>
      <c r="D46" s="21">
        <v>47.82026337756056</v>
      </c>
      <c r="E46" s="21">
        <v>-92.24141104840196</v>
      </c>
      <c r="F46" s="2">
        <v>-167796.9304212975</v>
      </c>
      <c r="G46" s="2">
        <v>-4287098.997646871</v>
      </c>
      <c r="H46" s="2">
        <v>4703296.651192915</v>
      </c>
      <c r="I46" s="2"/>
      <c r="J46" s="2"/>
    </row>
    <row r="47" spans="1:10" ht="12.75">
      <c r="A47" s="1" t="s">
        <v>259</v>
      </c>
      <c r="B47" s="1" t="s">
        <v>263</v>
      </c>
      <c r="C47" s="2">
        <v>-248.07821224350482</v>
      </c>
      <c r="D47" s="21">
        <v>47.82026342507916</v>
      </c>
      <c r="E47" s="21">
        <v>-92.24141457861784</v>
      </c>
      <c r="F47" s="2">
        <v>-167797.2023212975</v>
      </c>
      <c r="G47" s="2">
        <v>-4287099.185446871</v>
      </c>
      <c r="H47" s="2">
        <v>4703296.877692915</v>
      </c>
      <c r="I47" s="2"/>
      <c r="J47" s="48"/>
    </row>
    <row r="48" spans="1:10" ht="12.75">
      <c r="A48" s="1"/>
      <c r="B48" s="1"/>
      <c r="C48" s="2"/>
      <c r="D48" s="21"/>
      <c r="E48" s="21"/>
      <c r="F48" s="2"/>
      <c r="G48" s="2"/>
      <c r="H48" s="2"/>
      <c r="I48" s="2"/>
      <c r="J48" s="48"/>
    </row>
    <row r="49" spans="1:8" ht="12.75">
      <c r="A49" s="1" t="s">
        <v>108</v>
      </c>
      <c r="B49" s="1" t="s">
        <v>264</v>
      </c>
      <c r="C49" s="1" t="s">
        <v>294</v>
      </c>
      <c r="D49" s="120">
        <v>36701</v>
      </c>
      <c r="E49" s="2" t="s">
        <v>295</v>
      </c>
      <c r="F49" s="2">
        <v>144058.2804408</v>
      </c>
      <c r="G49" s="2">
        <v>-4757397.1754393</v>
      </c>
      <c r="H49" s="2">
        <v>4231823.3009844</v>
      </c>
    </row>
    <row r="50" spans="1:8" ht="12.75">
      <c r="A50" t="s">
        <v>268</v>
      </c>
      <c r="C50" s="1"/>
      <c r="F50" s="2">
        <v>0.2719</v>
      </c>
      <c r="G50" s="2">
        <v>0.1878</v>
      </c>
      <c r="H50" s="2">
        <v>-0.2265</v>
      </c>
    </row>
    <row r="51" spans="1:10" ht="12.75">
      <c r="A51" s="1" t="s">
        <v>108</v>
      </c>
      <c r="B51" s="1" t="s">
        <v>260</v>
      </c>
      <c r="C51" s="2">
        <v>153.96829709410667</v>
      </c>
      <c r="D51" s="21">
        <v>41.83202350680571</v>
      </c>
      <c r="E51" s="21">
        <v>-88.26555873341539</v>
      </c>
      <c r="F51" s="2">
        <v>144058.5523408</v>
      </c>
      <c r="G51" s="2">
        <v>-4757396.9876393</v>
      </c>
      <c r="H51" s="2">
        <v>4231823.0744844</v>
      </c>
      <c r="I51" s="120">
        <v>36701</v>
      </c>
      <c r="J51" s="2"/>
    </row>
    <row r="52" spans="1:10" ht="12.75">
      <c r="A52" s="2"/>
      <c r="B52" s="2"/>
      <c r="C52" s="2" t="s">
        <v>269</v>
      </c>
      <c r="D52" s="2"/>
      <c r="H52" s="44"/>
      <c r="I52" s="44"/>
      <c r="J52" s="44"/>
    </row>
    <row r="53" spans="1:8" ht="12.75">
      <c r="A53" s="1" t="s">
        <v>300</v>
      </c>
      <c r="B53" s="1" t="s">
        <v>301</v>
      </c>
      <c r="C53" s="2">
        <v>-248.39922895189375</v>
      </c>
      <c r="D53" s="21">
        <v>47.82026653341651</v>
      </c>
      <c r="E53" s="21">
        <v>-92.24141201908331</v>
      </c>
      <c r="F53" s="2">
        <v>-167796.99235849356</v>
      </c>
      <c r="G53" s="2">
        <v>-4287098.7216037605</v>
      </c>
      <c r="H53" s="2">
        <v>4703296.872007008</v>
      </c>
    </row>
    <row r="54" spans="1:8" ht="12.75">
      <c r="A54" s="1" t="s">
        <v>302</v>
      </c>
      <c r="B54" s="1" t="s">
        <v>260</v>
      </c>
      <c r="C54" s="2">
        <v>153.9883631374687</v>
      </c>
      <c r="D54" s="21">
        <v>41.8320206770012</v>
      </c>
      <c r="E54" s="21">
        <v>-88.26557755239935</v>
      </c>
      <c r="F54" s="2">
        <v>144056.996555763</v>
      </c>
      <c r="G54" s="2">
        <v>-4757397.259435372</v>
      </c>
      <c r="H54" s="2">
        <v>4231822.853670944</v>
      </c>
    </row>
    <row r="56" spans="1:8" ht="12.75">
      <c r="A56" s="1" t="s">
        <v>347</v>
      </c>
      <c r="B56" s="1" t="s">
        <v>137</v>
      </c>
      <c r="C56" s="2">
        <v>305</v>
      </c>
      <c r="D56" s="21">
        <v>48.77</v>
      </c>
      <c r="E56" s="21">
        <v>-92.61</v>
      </c>
      <c r="F56" s="2">
        <v>-191798.99768894527</v>
      </c>
      <c r="G56" s="2">
        <v>-4207536.708003664</v>
      </c>
      <c r="H56" s="2">
        <v>4773968.930133931</v>
      </c>
    </row>
    <row r="57" spans="1:8" ht="12.75">
      <c r="A57" s="1" t="s">
        <v>353</v>
      </c>
      <c r="B57" s="1" t="s">
        <v>137</v>
      </c>
      <c r="C57" s="2">
        <v>305</v>
      </c>
      <c r="D57" s="21">
        <v>49.84</v>
      </c>
      <c r="E57" s="21">
        <v>-93.42</v>
      </c>
      <c r="F57" s="2">
        <v>-245877.94339534672</v>
      </c>
      <c r="G57" s="2">
        <v>-4114337.2003972363</v>
      </c>
      <c r="H57" s="2">
        <v>4851563.8050575275</v>
      </c>
    </row>
    <row r="58" spans="1:8" ht="12.75">
      <c r="A58" s="1" t="s">
        <v>354</v>
      </c>
      <c r="B58" s="1" t="s">
        <v>260</v>
      </c>
      <c r="C58" s="2">
        <v>305</v>
      </c>
      <c r="D58" s="21">
        <v>51</v>
      </c>
      <c r="E58" s="21">
        <v>-93.86</v>
      </c>
      <c r="F58" s="2">
        <v>-270771.0346813774</v>
      </c>
      <c r="G58" s="2">
        <v>-4013098.2706384193</v>
      </c>
      <c r="H58" s="2">
        <v>4933781.6496295715</v>
      </c>
    </row>
    <row r="59" spans="1:8" ht="12.75">
      <c r="A59" s="1" t="s">
        <v>375</v>
      </c>
      <c r="B59" s="1">
        <v>0</v>
      </c>
      <c r="C59" s="2">
        <v>480</v>
      </c>
      <c r="D59" s="21">
        <v>47.586</v>
      </c>
      <c r="E59" s="21">
        <v>-92.219</v>
      </c>
      <c r="F59" s="2">
        <v>-166884.97920527676</v>
      </c>
      <c r="G59" s="2">
        <v>-4306905.738299522</v>
      </c>
      <c r="H59" s="2">
        <v>4686306.5574076185</v>
      </c>
    </row>
    <row r="60" spans="1:10" ht="12.75">
      <c r="A60" s="1" t="s">
        <v>377</v>
      </c>
      <c r="B60" s="1">
        <v>0</v>
      </c>
      <c r="C60" s="2">
        <v>369</v>
      </c>
      <c r="D60" s="21">
        <v>48.746874444444444</v>
      </c>
      <c r="E60" s="21">
        <v>-92.758</v>
      </c>
      <c r="F60" s="2">
        <v>-202757.3340808801</v>
      </c>
      <c r="G60" s="2">
        <v>-4208906.984000119</v>
      </c>
      <c r="H60" s="2">
        <v>4772404.16107539</v>
      </c>
      <c r="I60" s="2"/>
      <c r="J60" s="2"/>
    </row>
    <row r="61" spans="1:10" ht="12.75">
      <c r="A61" s="1" t="s">
        <v>378</v>
      </c>
      <c r="B61" s="1">
        <v>0</v>
      </c>
      <c r="C61" s="2">
        <v>369</v>
      </c>
      <c r="D61" s="21">
        <v>48.713</v>
      </c>
      <c r="E61" s="21">
        <v>-92.941</v>
      </c>
      <c r="F61" s="2">
        <v>-216349.4303672137</v>
      </c>
      <c r="G61" s="2">
        <v>-4211159.641406552</v>
      </c>
      <c r="H61" s="2">
        <v>4769836.738589348</v>
      </c>
      <c r="I61" s="2"/>
      <c r="J61" s="2"/>
    </row>
    <row r="62" spans="1:10" ht="12.75">
      <c r="A62" s="1" t="s">
        <v>379</v>
      </c>
      <c r="B62" s="1">
        <v>0</v>
      </c>
      <c r="C62" s="2">
        <v>404</v>
      </c>
      <c r="D62" s="21">
        <v>50.95</v>
      </c>
      <c r="E62" s="21">
        <v>-93.932</v>
      </c>
      <c r="F62" s="2">
        <v>-276114.43824370584</v>
      </c>
      <c r="G62" s="2">
        <v>-4017128.359763628</v>
      </c>
      <c r="H62" s="2">
        <v>4930355.9539720025</v>
      </c>
      <c r="I62" s="2"/>
      <c r="J62" s="2"/>
    </row>
    <row r="63" spans="1:10" ht="12.75">
      <c r="A63" s="1" t="s">
        <v>380</v>
      </c>
      <c r="B63" s="1">
        <v>0</v>
      </c>
      <c r="C63" s="2">
        <v>372</v>
      </c>
      <c r="D63" s="21">
        <v>49.84</v>
      </c>
      <c r="E63" s="21">
        <v>-93.459</v>
      </c>
      <c r="F63" s="2">
        <v>-248681.03375493814</v>
      </c>
      <c r="G63" s="2">
        <v>-4114212.014678824</v>
      </c>
      <c r="H63" s="2">
        <v>4851615.009570142</v>
      </c>
      <c r="I63" s="2"/>
      <c r="J63" s="2"/>
    </row>
    <row r="64" spans="1:10" ht="12.75">
      <c r="A64" s="1" t="s">
        <v>381</v>
      </c>
      <c r="B64" s="1">
        <v>0</v>
      </c>
      <c r="C64" s="2">
        <v>372</v>
      </c>
      <c r="D64" s="21">
        <v>49.825</v>
      </c>
      <c r="E64" s="21">
        <v>-93.496</v>
      </c>
      <c r="F64" s="2">
        <v>-251415.5715147911</v>
      </c>
      <c r="G64" s="2">
        <v>-4115323.185746436</v>
      </c>
      <c r="H64" s="2">
        <v>4850538.796210468</v>
      </c>
      <c r="I64" s="2"/>
      <c r="J64" s="2"/>
    </row>
    <row r="65" spans="1:10" ht="12.75">
      <c r="A65" s="1" t="s">
        <v>382</v>
      </c>
      <c r="B65" s="1">
        <v>0</v>
      </c>
      <c r="C65" s="2">
        <v>371</v>
      </c>
      <c r="D65" s="21">
        <v>49.849</v>
      </c>
      <c r="E65" s="21">
        <v>-93.629</v>
      </c>
      <c r="F65" s="2">
        <v>-260838.56362450682</v>
      </c>
      <c r="G65" s="2">
        <v>-4112691.8128940887</v>
      </c>
      <c r="H65" s="2">
        <v>4852259.814348474</v>
      </c>
      <c r="I65" s="2"/>
      <c r="J65" s="2"/>
    </row>
    <row r="66" spans="1:8" ht="12.75">
      <c r="A66" s="1" t="s">
        <v>384</v>
      </c>
      <c r="B66" s="1" t="s">
        <v>260</v>
      </c>
      <c r="C66" s="2">
        <v>93.49711100105196</v>
      </c>
      <c r="D66" s="21">
        <v>41.84056333048745</v>
      </c>
      <c r="E66" s="21">
        <v>-88.2706208645235</v>
      </c>
      <c r="F66" s="2">
        <v>143617.77853005996</v>
      </c>
      <c r="G66" s="2">
        <v>-4756732.272316928</v>
      </c>
      <c r="H66" s="2">
        <v>4232489.451292498</v>
      </c>
    </row>
    <row r="67" spans="1:8" ht="12.75">
      <c r="A67" t="s">
        <v>480</v>
      </c>
      <c r="B67" t="s">
        <v>260</v>
      </c>
      <c r="C67">
        <v>0</v>
      </c>
      <c r="D67">
        <v>42</v>
      </c>
      <c r="E67">
        <v>-88</v>
      </c>
      <c r="F67" s="2">
        <v>165667.8748417397</v>
      </c>
      <c r="G67" s="2">
        <v>-4744107.224810405</v>
      </c>
      <c r="H67" s="2">
        <v>4245603.835991954</v>
      </c>
    </row>
    <row r="68" spans="1:8" ht="12.75">
      <c r="A68" t="s">
        <v>481</v>
      </c>
      <c r="B68" t="s">
        <v>447</v>
      </c>
      <c r="C68">
        <v>0</v>
      </c>
      <c r="D68">
        <v>42</v>
      </c>
      <c r="E68">
        <v>2</v>
      </c>
      <c r="F68" s="2">
        <v>4744107.224810405</v>
      </c>
      <c r="G68" s="2">
        <v>165667.87484173916</v>
      </c>
      <c r="H68" s="2">
        <v>4245603.835991954</v>
      </c>
    </row>
    <row r="69" spans="1:8" ht="12.75">
      <c r="A69" t="s">
        <v>610</v>
      </c>
      <c r="B69" t="s">
        <v>609</v>
      </c>
      <c r="C69" s="2">
        <v>346</v>
      </c>
      <c r="D69" s="21">
        <v>48.3789</v>
      </c>
      <c r="E69" s="21">
        <v>-92.8327</v>
      </c>
      <c r="F69">
        <v>-209764.5727987513</v>
      </c>
      <c r="G69" s="2">
        <v>-4239358.4602880245</v>
      </c>
      <c r="H69" s="2">
        <v>4745222.666020074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&amp;LWes Smart&amp;C&amp;F Sheet 2&amp;R&amp;D Page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9"/>
  <dimension ref="A1:K12"/>
  <sheetViews>
    <sheetView workbookViewId="0" topLeftCell="A1">
      <selection activeCell="B9" sqref="B9"/>
    </sheetView>
  </sheetViews>
  <sheetFormatPr defaultColWidth="9.140625" defaultRowHeight="12.75"/>
  <cols>
    <col min="1" max="1" width="9.8515625" style="0" customWidth="1"/>
    <col min="2" max="2" width="10.421875" style="0" customWidth="1"/>
    <col min="3" max="3" width="9.57421875" style="0" customWidth="1"/>
    <col min="4" max="4" width="12.00390625" style="0" customWidth="1"/>
    <col min="5" max="5" width="12.421875" style="0" customWidth="1"/>
    <col min="6" max="6" width="9.28125" style="0" customWidth="1"/>
    <col min="7" max="7" width="10.7109375" style="0" customWidth="1"/>
    <col min="8" max="8" width="10.00390625" style="0" customWidth="1"/>
    <col min="9" max="9" width="12.140625" style="0" customWidth="1"/>
    <col min="10" max="10" width="11.8515625" style="0" customWidth="1"/>
    <col min="11" max="11" width="9.28125" style="0" customWidth="1"/>
  </cols>
  <sheetData>
    <row r="1" spans="3:11" ht="12.75">
      <c r="C1" s="1" t="s">
        <v>128</v>
      </c>
      <c r="D1" s="1" t="s">
        <v>2</v>
      </c>
      <c r="E1" s="1" t="s">
        <v>3</v>
      </c>
      <c r="F1" s="1" t="s">
        <v>157</v>
      </c>
      <c r="G1" s="1" t="s">
        <v>158</v>
      </c>
      <c r="H1" s="1" t="s">
        <v>159</v>
      </c>
      <c r="I1" s="1" t="s">
        <v>102</v>
      </c>
      <c r="J1" s="1" t="s">
        <v>103</v>
      </c>
      <c r="K1" s="1" t="s">
        <v>280</v>
      </c>
    </row>
    <row r="2" spans="3:11" ht="14.25">
      <c r="C2" s="1" t="s">
        <v>129</v>
      </c>
      <c r="D2" s="3">
        <v>0</v>
      </c>
      <c r="E2" s="3">
        <v>0</v>
      </c>
      <c r="F2" s="1" t="s">
        <v>130</v>
      </c>
      <c r="G2" s="1" t="s">
        <v>130</v>
      </c>
      <c r="H2" s="1" t="s">
        <v>130</v>
      </c>
      <c r="I2" s="1" t="s">
        <v>540</v>
      </c>
      <c r="J2" s="1" t="s">
        <v>540</v>
      </c>
      <c r="K2" s="1" t="s">
        <v>130</v>
      </c>
    </row>
    <row r="3" spans="1:11" ht="12.75">
      <c r="A3" t="s">
        <v>548</v>
      </c>
      <c r="B3" s="14" t="s">
        <v>108</v>
      </c>
      <c r="C3" s="2">
        <v>153.96829709410667</v>
      </c>
      <c r="D3" s="21">
        <v>41.83202350680571</v>
      </c>
      <c r="E3" s="21">
        <v>-88.26555873341539</v>
      </c>
      <c r="F3" s="254">
        <v>144058.5523408</v>
      </c>
      <c r="G3" s="254">
        <v>-4757396.9876393</v>
      </c>
      <c r="H3" s="254">
        <v>4231823.0744844</v>
      </c>
      <c r="I3" s="1"/>
      <c r="J3" s="1"/>
      <c r="K3" s="1"/>
    </row>
    <row r="4" spans="2:11" ht="12.75">
      <c r="B4" t="s">
        <v>541</v>
      </c>
      <c r="C4">
        <v>334</v>
      </c>
      <c r="D4" s="13">
        <v>32.42</v>
      </c>
      <c r="E4" s="13">
        <v>-104.23</v>
      </c>
      <c r="F4" s="134">
        <v>-1324823.4125098079</v>
      </c>
      <c r="G4" s="134">
        <v>-5224147.445424722</v>
      </c>
      <c r="H4" s="134">
        <v>3400016.683750554</v>
      </c>
      <c r="I4" s="13">
        <v>238.69967238224012</v>
      </c>
      <c r="J4" s="13">
        <v>-7.885522370623182</v>
      </c>
      <c r="K4" s="134">
        <v>1751391.4719936107</v>
      </c>
    </row>
    <row r="5" spans="2:11" ht="12.75">
      <c r="B5" t="s">
        <v>542</v>
      </c>
      <c r="C5">
        <v>-1918</v>
      </c>
      <c r="D5" s="13">
        <v>46.3</v>
      </c>
      <c r="E5" s="13">
        <v>-81</v>
      </c>
      <c r="F5" s="134">
        <v>690337.0276112882</v>
      </c>
      <c r="G5" s="134">
        <v>-4358616.453717037</v>
      </c>
      <c r="H5" s="134">
        <v>4586962.25363287</v>
      </c>
      <c r="I5" s="13">
        <v>47.05510405534231</v>
      </c>
      <c r="J5" s="13">
        <v>-3.5887531748814556</v>
      </c>
      <c r="K5" s="134">
        <v>763917.4846443984</v>
      </c>
    </row>
    <row r="6" spans="2:11" ht="12.75">
      <c r="B6" t="s">
        <v>550</v>
      </c>
      <c r="C6">
        <v>-1008</v>
      </c>
      <c r="D6" s="13">
        <v>44.35</v>
      </c>
      <c r="E6" s="13">
        <v>-103.77</v>
      </c>
      <c r="F6" s="134">
        <v>-1087215.7308441303</v>
      </c>
      <c r="G6" s="134">
        <v>-4436375.90679343</v>
      </c>
      <c r="H6" s="134">
        <v>4435279.762098952</v>
      </c>
      <c r="I6" s="13">
        <v>287.7336076337019</v>
      </c>
      <c r="J6" s="13">
        <v>-5.841829922040543</v>
      </c>
      <c r="K6" s="134">
        <v>1288598.276622741</v>
      </c>
    </row>
    <row r="7" spans="2:11" ht="12.75">
      <c r="B7" t="s">
        <v>543</v>
      </c>
      <c r="C7">
        <v>-1852</v>
      </c>
      <c r="D7" s="13">
        <v>47.81</v>
      </c>
      <c r="E7" s="13">
        <v>-92.27</v>
      </c>
      <c r="F7" s="134">
        <v>-169926.88201320378</v>
      </c>
      <c r="G7" s="134">
        <v>-4286783.481625099</v>
      </c>
      <c r="H7" s="134">
        <v>4701342.211919206</v>
      </c>
      <c r="I7" s="13">
        <v>335.90482799609714</v>
      </c>
      <c r="J7" s="13">
        <v>-3.464720775751536</v>
      </c>
      <c r="K7" s="134">
        <v>735195.3110888127</v>
      </c>
    </row>
    <row r="8" spans="2:11" ht="12.75">
      <c r="B8" t="s">
        <v>544</v>
      </c>
      <c r="C8" s="135">
        <v>-2043.3255100000001</v>
      </c>
      <c r="D8" s="13">
        <v>47.819648699805555</v>
      </c>
      <c r="E8" s="13">
        <v>-92.24166830527778</v>
      </c>
      <c r="F8" s="134">
        <v>-167771.0176867571</v>
      </c>
      <c r="G8" s="134">
        <v>-4285944.525117601</v>
      </c>
      <c r="H8" s="134">
        <v>4701920.644686957</v>
      </c>
      <c r="I8" s="13">
        <v>336.0904048730059</v>
      </c>
      <c r="J8" s="13">
        <v>-3.479637253560144</v>
      </c>
      <c r="K8" s="134">
        <v>735184.8955682464</v>
      </c>
    </row>
    <row r="9" spans="2:11" ht="12.75">
      <c r="B9" t="s">
        <v>551</v>
      </c>
      <c r="C9">
        <v>1602</v>
      </c>
      <c r="D9" s="13">
        <v>39.76</v>
      </c>
      <c r="E9" s="13">
        <v>-105.84</v>
      </c>
      <c r="F9" s="134">
        <v>-1340473.820506544</v>
      </c>
      <c r="G9" s="134">
        <v>-4724542.091705232</v>
      </c>
      <c r="H9" s="134">
        <v>4058560.986311273</v>
      </c>
      <c r="I9" s="13">
        <v>267.0187000444132</v>
      </c>
      <c r="J9" s="13">
        <v>-6.66473575029085</v>
      </c>
      <c r="K9" s="134">
        <v>1494970.0871310816</v>
      </c>
    </row>
    <row r="10" spans="2:11" ht="12.75">
      <c r="B10" t="s">
        <v>545</v>
      </c>
      <c r="C10">
        <v>666</v>
      </c>
      <c r="D10" s="13">
        <v>33.86</v>
      </c>
      <c r="E10" s="13">
        <v>-116.57</v>
      </c>
      <c r="F10" s="134">
        <v>-2371750.477278346</v>
      </c>
      <c r="G10" s="134">
        <v>-4742476.852431185</v>
      </c>
      <c r="H10" s="134">
        <v>3533932.950714431</v>
      </c>
      <c r="I10" s="13">
        <v>259.64795162363555</v>
      </c>
      <c r="J10" s="13">
        <v>-11.786463067928292</v>
      </c>
      <c r="K10" s="134">
        <v>2610855.85753092</v>
      </c>
    </row>
    <row r="11" spans="2:11" ht="12.75">
      <c r="B11" t="s">
        <v>546</v>
      </c>
      <c r="C11">
        <v>546</v>
      </c>
      <c r="D11" s="13">
        <v>47.48</v>
      </c>
      <c r="E11" s="13">
        <v>-120.9</v>
      </c>
      <c r="F11" s="134">
        <v>-2217921.290089092</v>
      </c>
      <c r="G11" s="134">
        <v>-3705876.431650692</v>
      </c>
      <c r="H11" s="134">
        <v>4678397.63670427</v>
      </c>
      <c r="I11" s="13">
        <v>294.9059700388192</v>
      </c>
      <c r="J11" s="13">
        <v>-11.844862549587848</v>
      </c>
      <c r="K11" s="134">
        <v>2623751.7213588622</v>
      </c>
    </row>
    <row r="12" spans="2:11" ht="12.75">
      <c r="B12" t="s">
        <v>547</v>
      </c>
      <c r="C12">
        <v>-944</v>
      </c>
      <c r="D12" s="13">
        <v>37.37</v>
      </c>
      <c r="E12" s="13">
        <v>-80.62</v>
      </c>
      <c r="F12" s="134">
        <v>827037.7449542467</v>
      </c>
      <c r="G12" s="134">
        <v>-5006575.27395849</v>
      </c>
      <c r="H12" s="134">
        <v>3849534.5486643943</v>
      </c>
      <c r="I12" s="13">
        <v>124.54288728412503</v>
      </c>
      <c r="J12" s="13">
        <v>-3.7684419316728515</v>
      </c>
      <c r="K12" s="134">
        <v>821398.1451704873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&amp;LWes Smart&amp;C&amp;F Sheet 2&amp;R&amp;D Page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J54"/>
  <sheetViews>
    <sheetView workbookViewId="0" topLeftCell="A7">
      <selection activeCell="E40" sqref="E40:G40"/>
    </sheetView>
  </sheetViews>
  <sheetFormatPr defaultColWidth="9.140625" defaultRowHeight="12.75"/>
  <cols>
    <col min="1" max="1" width="11.7109375" style="0" customWidth="1"/>
    <col min="2" max="2" width="12.421875" style="0" customWidth="1"/>
    <col min="3" max="3" width="11.8515625" style="0" customWidth="1"/>
    <col min="4" max="4" width="12.8515625" style="0" customWidth="1"/>
    <col min="5" max="5" width="12.00390625" style="0" customWidth="1"/>
    <col min="6" max="6" width="13.140625" style="0" customWidth="1"/>
    <col min="7" max="7" width="12.7109375" style="0" customWidth="1"/>
    <col min="8" max="8" width="13.140625" style="0" customWidth="1"/>
    <col min="9" max="9" width="15.421875" style="0" bestFit="1" customWidth="1"/>
    <col min="10" max="10" width="12.57421875" style="0" bestFit="1" customWidth="1"/>
  </cols>
  <sheetData>
    <row r="1" spans="1:7" ht="15.75">
      <c r="A1" s="10" t="s">
        <v>475</v>
      </c>
      <c r="F1" s="115" t="s">
        <v>473</v>
      </c>
      <c r="G1" s="115" t="s">
        <v>474</v>
      </c>
    </row>
    <row r="2" spans="1:7" ht="14.25">
      <c r="A2" s="1" t="s">
        <v>0</v>
      </c>
      <c r="B2" s="1" t="s">
        <v>1</v>
      </c>
      <c r="C2" s="1" t="s">
        <v>6</v>
      </c>
      <c r="D2" s="1" t="s">
        <v>21</v>
      </c>
      <c r="F2" s="47">
        <f>ATAN2(F10-F9,E10-E9)</f>
        <v>-0.5855304354159501</v>
      </c>
      <c r="G2" s="66">
        <f>ASIN((G10-G9)/SQRT(SUMSQ(E10-E9,F10-F9,G10-G9)))</f>
        <v>0.6960169166663005</v>
      </c>
    </row>
    <row r="3" spans="1:7" ht="12.75">
      <c r="A3">
        <v>6378137</v>
      </c>
      <c r="B3" s="2">
        <v>6356752.31414</v>
      </c>
      <c r="C3">
        <f>1-(B3*B3)/(A3*A3)</f>
        <v>0.0066943800230119255</v>
      </c>
      <c r="D3" s="7">
        <f>$A$3/($A$3-$B$3)</f>
        <v>298.2572220960422</v>
      </c>
      <c r="E3" t="s">
        <v>260</v>
      </c>
      <c r="F3">
        <f>DEGREES(F2)</f>
        <v>-33.54842272579136</v>
      </c>
      <c r="G3">
        <f>DEGREES(G2)</f>
        <v>39.87883179468775</v>
      </c>
    </row>
    <row r="5" spans="5:8" ht="12.75">
      <c r="E5" t="s">
        <v>340</v>
      </c>
      <c r="H5" s="14" t="s">
        <v>476</v>
      </c>
    </row>
    <row r="6" spans="1:8" ht="12.75">
      <c r="A6" s="10"/>
      <c r="E6" t="s">
        <v>339</v>
      </c>
      <c r="H6" s="1" t="s">
        <v>343</v>
      </c>
    </row>
    <row r="7" spans="1:8" ht="12.75">
      <c r="A7" s="10"/>
      <c r="B7" t="s">
        <v>128</v>
      </c>
      <c r="C7" t="s">
        <v>2</v>
      </c>
      <c r="D7" t="s">
        <v>3</v>
      </c>
      <c r="E7" s="1" t="s">
        <v>157</v>
      </c>
      <c r="F7" s="1" t="s">
        <v>158</v>
      </c>
      <c r="G7" s="1" t="s">
        <v>159</v>
      </c>
      <c r="H7" s="1" t="s">
        <v>341</v>
      </c>
    </row>
    <row r="8" spans="2:8" ht="14.25">
      <c r="B8" t="s">
        <v>129</v>
      </c>
      <c r="C8" s="3">
        <v>0</v>
      </c>
      <c r="D8" s="3">
        <v>0</v>
      </c>
      <c r="E8" s="1" t="s">
        <v>130</v>
      </c>
      <c r="F8" s="1" t="s">
        <v>130</v>
      </c>
      <c r="G8" s="1" t="s">
        <v>130</v>
      </c>
      <c r="H8" s="1" t="s">
        <v>130</v>
      </c>
    </row>
    <row r="9" spans="1:7" ht="12.75">
      <c r="A9" s="1" t="s">
        <v>108</v>
      </c>
      <c r="B9" s="2">
        <v>153.96829709410667</v>
      </c>
      <c r="C9" s="137">
        <v>41.83202350680571</v>
      </c>
      <c r="D9" s="13">
        <v>-88.26555873341539</v>
      </c>
      <c r="E9">
        <v>144058.55234079924</v>
      </c>
      <c r="F9" s="2">
        <v>-4757396.9876393</v>
      </c>
      <c r="G9" s="2">
        <v>4231823.074484399</v>
      </c>
    </row>
    <row r="10" spans="1:9" ht="12.75">
      <c r="A10" s="1" t="s">
        <v>136</v>
      </c>
      <c r="B10" s="2">
        <v>-248.3991527</v>
      </c>
      <c r="C10" s="13">
        <v>47.820266534666665</v>
      </c>
      <c r="D10" s="13">
        <v>-92.24141201908333</v>
      </c>
      <c r="E10" s="2">
        <v>-167796.99235646756</v>
      </c>
      <c r="F10" s="2">
        <v>-4287098.721551998</v>
      </c>
      <c r="G10" s="2">
        <v>4703296.872157471</v>
      </c>
      <c r="H10" s="48">
        <f>I10*COS($G$2)+($G10-$G$9)*SIN($G$2)</f>
        <v>735337.9370979177</v>
      </c>
      <c r="I10" s="48">
        <f>($E10-$E$9)*SIN($F$2)+($F10-$F$9)*COS($F$2)</f>
        <v>564299.8669529806</v>
      </c>
    </row>
    <row r="11" spans="1:9" ht="12.75">
      <c r="A11" s="4" t="s">
        <v>472</v>
      </c>
      <c r="B11" s="2"/>
      <c r="C11" s="13"/>
      <c r="D11" s="13"/>
      <c r="E11" s="2"/>
      <c r="F11" s="2"/>
      <c r="G11" s="2"/>
      <c r="H11" s="48"/>
      <c r="I11" s="48"/>
    </row>
    <row r="12" spans="1:9" ht="12.75">
      <c r="A12" s="2">
        <v>0.495</v>
      </c>
      <c r="B12" s="13">
        <v>-10661.952543240972</v>
      </c>
      <c r="C12" s="13">
        <v>44.814108483683064</v>
      </c>
      <c r="D12">
        <v>-90.13055634596189</v>
      </c>
      <c r="E12" s="2">
        <f aca="true" t="shared" si="0" ref="E12:G20">E$9*(1-$A12)+E$10*$A12</f>
        <v>-10309.942284347824</v>
      </c>
      <c r="F12" s="2">
        <f t="shared" si="0"/>
        <v>-4524599.3459260855</v>
      </c>
      <c r="G12" s="2">
        <f t="shared" si="0"/>
        <v>4465202.60433257</v>
      </c>
      <c r="H12" s="48">
        <f aca="true" t="shared" si="1" ref="H12:H20">I12*COS($G$2)+($G12-$G$9)*SIN($G$2)</f>
        <v>363992.27886346926</v>
      </c>
      <c r="I12" s="48">
        <f aca="true" t="shared" si="2" ref="I12:I43">($E12-$E$9)*SIN($F$2)+($F12-$F$9)*COS($F$2)</f>
        <v>279328.4341417251</v>
      </c>
    </row>
    <row r="13" spans="1:9" ht="12.75">
      <c r="A13" s="2">
        <v>0.501</v>
      </c>
      <c r="B13" s="13">
        <v>-10665.368544130586</v>
      </c>
      <c r="C13" s="13">
        <v>44.85009393848511</v>
      </c>
      <c r="D13">
        <v>-90.154346940366</v>
      </c>
      <c r="E13" s="2">
        <f t="shared" si="0"/>
        <v>-12181.075552531416</v>
      </c>
      <c r="F13" s="2">
        <f t="shared" si="0"/>
        <v>-4521777.556329561</v>
      </c>
      <c r="G13" s="2">
        <f t="shared" si="0"/>
        <v>4468031.447118608</v>
      </c>
      <c r="H13" s="48">
        <f t="shared" si="1"/>
        <v>368404.3064860569</v>
      </c>
      <c r="I13" s="48">
        <f t="shared" si="2"/>
        <v>282714.23334344325</v>
      </c>
    </row>
    <row r="14" spans="1:9" ht="12.75">
      <c r="A14" s="2">
        <v>0.502</v>
      </c>
      <c r="B14" s="13">
        <v>-10665.640331085771</v>
      </c>
      <c r="C14" s="13">
        <v>44.85609101303314</v>
      </c>
      <c r="D14">
        <v>-90.15831492157378</v>
      </c>
      <c r="E14" s="2">
        <f t="shared" si="0"/>
        <v>-12492.931097228691</v>
      </c>
      <c r="F14" s="2">
        <f t="shared" si="0"/>
        <v>-4521307.258063474</v>
      </c>
      <c r="G14" s="2">
        <f t="shared" si="0"/>
        <v>4468502.920916281</v>
      </c>
      <c r="H14" s="48">
        <f t="shared" si="1"/>
        <v>369139.64442315465</v>
      </c>
      <c r="I14" s="48">
        <f t="shared" si="2"/>
        <v>283278.53321039653</v>
      </c>
    </row>
    <row r="15" spans="1:9" ht="12.75">
      <c r="A15" s="2">
        <v>0.504</v>
      </c>
      <c r="B15" s="13">
        <v>-10665.928865861148</v>
      </c>
      <c r="C15" s="13">
        <v>44.86808473052695</v>
      </c>
      <c r="D15">
        <v>-90.16625335636202</v>
      </c>
      <c r="E15" s="2">
        <f t="shared" si="0"/>
        <v>-13116.642186623227</v>
      </c>
      <c r="F15" s="2">
        <f t="shared" si="0"/>
        <v>-4520366.661531299</v>
      </c>
      <c r="G15" s="2">
        <f t="shared" si="0"/>
        <v>4469445.868511627</v>
      </c>
      <c r="H15" s="48">
        <f t="shared" si="1"/>
        <v>370610.32029735064</v>
      </c>
      <c r="I15" s="48">
        <f t="shared" si="2"/>
        <v>284407.1329443023</v>
      </c>
    </row>
    <row r="16" spans="1:9" ht="12.75">
      <c r="A16" s="242">
        <v>0.5046</v>
      </c>
      <c r="B16" s="240">
        <v>-10665.949116196483</v>
      </c>
      <c r="C16" s="240">
        <v>44.87168273335498</v>
      </c>
      <c r="D16" s="241">
        <v>-90.16863552982004</v>
      </c>
      <c r="E16" s="242">
        <f t="shared" si="0"/>
        <v>-13303.755513441589</v>
      </c>
      <c r="F16" s="242">
        <f t="shared" si="0"/>
        <v>-4520084.482571647</v>
      </c>
      <c r="G16" s="242">
        <f t="shared" si="0"/>
        <v>4469728.752790231</v>
      </c>
      <c r="H16" s="243">
        <f t="shared" si="1"/>
        <v>371051.52305960964</v>
      </c>
      <c r="I16" s="243">
        <f t="shared" si="2"/>
        <v>284745.7128644744</v>
      </c>
    </row>
    <row r="17" spans="1:9" ht="12.75">
      <c r="A17" s="2">
        <v>0.5048</v>
      </c>
      <c r="B17" s="13">
        <v>-10665.949065279216</v>
      </c>
      <c r="C17" s="13">
        <v>44.872882056084485</v>
      </c>
      <c r="D17">
        <v>-90.16942965360664</v>
      </c>
      <c r="E17" s="2">
        <f t="shared" si="0"/>
        <v>-13366.126622381038</v>
      </c>
      <c r="F17" s="2">
        <f t="shared" si="0"/>
        <v>-4519990.42291843</v>
      </c>
      <c r="G17" s="2">
        <f t="shared" si="0"/>
        <v>4469823.047549766</v>
      </c>
      <c r="H17" s="48">
        <f t="shared" si="1"/>
        <v>371198.59064702876</v>
      </c>
      <c r="I17" s="48">
        <f t="shared" si="2"/>
        <v>284858.57283786463</v>
      </c>
    </row>
    <row r="18" spans="1:9" ht="12.75">
      <c r="A18" s="2">
        <v>0.505</v>
      </c>
      <c r="B18" s="13">
        <v>-10665.945613848045</v>
      </c>
      <c r="C18" s="13">
        <v>44.87408137303784</v>
      </c>
      <c r="D18">
        <v>-90.1702238103798</v>
      </c>
      <c r="E18" s="2">
        <f t="shared" si="0"/>
        <v>-13428.497731320487</v>
      </c>
      <c r="F18" s="2">
        <f t="shared" si="0"/>
        <v>-4519896.363265213</v>
      </c>
      <c r="G18" s="2">
        <f t="shared" si="0"/>
        <v>4469917.342309301</v>
      </c>
      <c r="H18" s="48">
        <f t="shared" si="1"/>
        <v>371345.6582344484</v>
      </c>
      <c r="I18" s="48">
        <f t="shared" si="2"/>
        <v>284971.4328112548</v>
      </c>
    </row>
    <row r="19" spans="1:9" ht="12.75">
      <c r="A19" s="2">
        <v>0.5055</v>
      </c>
      <c r="B19" s="13">
        <v>-10665.922108029947</v>
      </c>
      <c r="C19" s="13">
        <v>44.87707964013914</v>
      </c>
      <c r="D19">
        <v>-90.17220934664029</v>
      </c>
      <c r="E19" s="2">
        <f t="shared" si="0"/>
        <v>-13584.425503669103</v>
      </c>
      <c r="F19" s="2">
        <f t="shared" si="0"/>
        <v>-4519661.214132168</v>
      </c>
      <c r="G19" s="2">
        <f t="shared" si="0"/>
        <v>4470153.079208137</v>
      </c>
      <c r="H19" s="48">
        <f t="shared" si="1"/>
        <v>371713.3272029973</v>
      </c>
      <c r="I19" s="48">
        <f t="shared" si="2"/>
        <v>285253.5827447318</v>
      </c>
    </row>
    <row r="20" spans="1:9" ht="12.75">
      <c r="A20" s="2">
        <v>0.506</v>
      </c>
      <c r="B20" s="13">
        <v>-10665.87734901905</v>
      </c>
      <c r="C20" s="13">
        <v>44.880077871101406</v>
      </c>
      <c r="D20" s="13">
        <v>-90.174195089105</v>
      </c>
      <c r="E20" s="2">
        <f t="shared" si="0"/>
        <v>-13740.353276017748</v>
      </c>
      <c r="F20" s="2">
        <f t="shared" si="0"/>
        <v>-4519426.064999125</v>
      </c>
      <c r="G20" s="2">
        <f t="shared" si="0"/>
        <v>4470388.816106973</v>
      </c>
      <c r="H20" s="48">
        <f t="shared" si="1"/>
        <v>372080.99617154617</v>
      </c>
      <c r="I20" s="48">
        <f t="shared" si="2"/>
        <v>285535.7326782081</v>
      </c>
    </row>
    <row r="22" spans="1:9" ht="12.75">
      <c r="A22" s="2">
        <v>0.6</v>
      </c>
      <c r="B22" s="2">
        <v>-10279.902766198851</v>
      </c>
      <c r="C22" s="21">
        <v>45.443072619083765</v>
      </c>
      <c r="D22" s="21">
        <v>-90.55120906849459</v>
      </c>
      <c r="E22" s="2">
        <f aca="true" t="shared" si="3" ref="E22:G43">E$9*(1-$A22)+E$10*$A22</f>
        <v>-43054.77447756083</v>
      </c>
      <c r="F22" s="2">
        <f t="shared" si="3"/>
        <v>-4475218.027986919</v>
      </c>
      <c r="G22" s="2">
        <f t="shared" si="3"/>
        <v>4514707.353088242</v>
      </c>
      <c r="H22" s="48">
        <f aca="true" t="shared" si="4" ref="H22:H42">I22*COS($G$2)+($G22-$G$9)*SIN($G$2)</f>
        <v>441202.7622587504</v>
      </c>
      <c r="I22" s="48">
        <f t="shared" si="2"/>
        <v>338579.92017178825</v>
      </c>
    </row>
    <row r="23" spans="1:9" ht="12.75">
      <c r="A23" s="2">
        <v>0.65</v>
      </c>
      <c r="B23" s="2">
        <v>-9768.622279711068</v>
      </c>
      <c r="C23" s="21">
        <v>45.74195485642243</v>
      </c>
      <c r="D23" s="21">
        <v>-90.75478142286406</v>
      </c>
      <c r="E23" s="2">
        <f t="shared" si="3"/>
        <v>-58647.55171242419</v>
      </c>
      <c r="F23" s="2">
        <f t="shared" si="3"/>
        <v>-4451703.114682553</v>
      </c>
      <c r="G23" s="2">
        <f t="shared" si="3"/>
        <v>4538281.042971896</v>
      </c>
      <c r="H23" s="48">
        <f t="shared" si="4"/>
        <v>477969.6591136466</v>
      </c>
      <c r="I23" s="48">
        <f t="shared" si="2"/>
        <v>366794.9135194374</v>
      </c>
    </row>
    <row r="24" spans="1:9" ht="12.75">
      <c r="A24" s="2">
        <v>0.7</v>
      </c>
      <c r="B24" s="2">
        <v>-9044.933906967752</v>
      </c>
      <c r="C24" s="21">
        <v>46.04039684841638</v>
      </c>
      <c r="D24" s="21">
        <v>-90.9604964502155</v>
      </c>
      <c r="E24" s="2">
        <f t="shared" si="3"/>
        <v>-74240.3289472875</v>
      </c>
      <c r="F24" s="2">
        <f t="shared" si="3"/>
        <v>-4428188.201378188</v>
      </c>
      <c r="G24" s="2">
        <f t="shared" si="3"/>
        <v>4561854.732855549</v>
      </c>
      <c r="H24" s="48">
        <f t="shared" si="4"/>
        <v>514736.55596854223</v>
      </c>
      <c r="I24" s="48">
        <f t="shared" si="2"/>
        <v>395009.90686708654</v>
      </c>
    </row>
    <row r="25" spans="1:9" ht="12.75">
      <c r="A25" s="2">
        <v>0.75</v>
      </c>
      <c r="B25" s="2">
        <v>-8108.921263180673</v>
      </c>
      <c r="C25" s="21">
        <v>46.338371197820145</v>
      </c>
      <c r="D25" s="21">
        <v>-91.16838276975822</v>
      </c>
      <c r="E25" s="2">
        <f t="shared" si="3"/>
        <v>-89833.10618215086</v>
      </c>
      <c r="F25" s="2">
        <f t="shared" si="3"/>
        <v>-4404673.288073823</v>
      </c>
      <c r="G25" s="2">
        <f t="shared" si="3"/>
        <v>4585428.422739203</v>
      </c>
      <c r="H25" s="48">
        <f t="shared" si="4"/>
        <v>551503.4528234384</v>
      </c>
      <c r="I25" s="48">
        <f t="shared" si="2"/>
        <v>423224.90021473577</v>
      </c>
    </row>
    <row r="26" spans="1:9" ht="12.75">
      <c r="A26" s="2">
        <v>0.8</v>
      </c>
      <c r="B26" s="2">
        <v>-6960.689135977998</v>
      </c>
      <c r="C26" s="21">
        <v>46.6358504606984</v>
      </c>
      <c r="D26" s="21">
        <v>-91.37846937933219</v>
      </c>
      <c r="E26" s="2">
        <f t="shared" si="3"/>
        <v>-105425.8834170142</v>
      </c>
      <c r="F26" s="2">
        <f t="shared" si="3"/>
        <v>-4381158.374769458</v>
      </c>
      <c r="G26" s="2">
        <f t="shared" si="3"/>
        <v>4609002.112622857</v>
      </c>
      <c r="H26" s="48">
        <f t="shared" si="4"/>
        <v>588270.3496783347</v>
      </c>
      <c r="I26" s="48">
        <f t="shared" si="2"/>
        <v>451439.8935623849</v>
      </c>
    </row>
    <row r="27" spans="1:9" ht="12.75">
      <c r="A27" s="2">
        <v>0.85</v>
      </c>
      <c r="B27" s="2">
        <v>-5600.363429413177</v>
      </c>
      <c r="C27" s="21">
        <v>46.93280715361406</v>
      </c>
      <c r="D27" s="21">
        <v>-91.59078565717058</v>
      </c>
      <c r="E27" s="2">
        <f t="shared" si="3"/>
        <v>-121018.66065187754</v>
      </c>
      <c r="F27" s="2">
        <f t="shared" si="3"/>
        <v>-4357643.461465093</v>
      </c>
      <c r="G27" s="2">
        <f t="shared" si="3"/>
        <v>4632575.80250651</v>
      </c>
      <c r="H27" s="48">
        <f t="shared" si="4"/>
        <v>625037.2465332297</v>
      </c>
      <c r="I27" s="48">
        <f t="shared" si="2"/>
        <v>479654.88691003324</v>
      </c>
    </row>
    <row r="28" spans="1:9" ht="12.75">
      <c r="A28" s="2">
        <v>0.9</v>
      </c>
      <c r="B28" s="2">
        <v>-4028.091097508557</v>
      </c>
      <c r="C28" s="21">
        <v>47.229213760748166</v>
      </c>
      <c r="D28" s="21">
        <v>-91.80536136343754</v>
      </c>
      <c r="E28" s="2">
        <f t="shared" si="3"/>
        <v>-136611.4378867409</v>
      </c>
      <c r="F28" s="2">
        <f t="shared" si="3"/>
        <v>-4334128.548160728</v>
      </c>
      <c r="G28" s="2">
        <f t="shared" si="3"/>
        <v>4656149.492390163</v>
      </c>
      <c r="H28" s="48">
        <f t="shared" si="4"/>
        <v>661804.1433881252</v>
      </c>
      <c r="I28" s="48">
        <f t="shared" si="2"/>
        <v>507869.8802576824</v>
      </c>
    </row>
    <row r="29" spans="1:9" ht="12.75">
      <c r="A29" s="2">
        <v>0.95</v>
      </c>
      <c r="B29" s="2">
        <v>-2244.0400674818084</v>
      </c>
      <c r="C29" s="21">
        <v>47.52504274094373</v>
      </c>
      <c r="D29" s="21">
        <v>-92.0222266415238</v>
      </c>
      <c r="E29" s="2">
        <f t="shared" si="3"/>
        <v>-152204.2151216042</v>
      </c>
      <c r="F29" s="2">
        <f t="shared" si="3"/>
        <v>-4310613.634856363</v>
      </c>
      <c r="G29" s="2">
        <f t="shared" si="3"/>
        <v>4679723.182273818</v>
      </c>
      <c r="H29" s="48">
        <f t="shared" si="4"/>
        <v>698571.040243022</v>
      </c>
      <c r="I29" s="48">
        <f t="shared" si="2"/>
        <v>536084.8736053315</v>
      </c>
    </row>
    <row r="30" spans="1:9" ht="12.75">
      <c r="A30" s="2">
        <v>1</v>
      </c>
      <c r="B30" s="2">
        <v>-248.39915271103382</v>
      </c>
      <c r="C30" s="21">
        <v>47.82026653466659</v>
      </c>
      <c r="D30" s="21">
        <v>-92.24141201908331</v>
      </c>
      <c r="E30" s="2">
        <f t="shared" si="3"/>
        <v>-167796.99235646756</v>
      </c>
      <c r="F30" s="2">
        <f t="shared" si="3"/>
        <v>-4287098.721551998</v>
      </c>
      <c r="G30" s="2">
        <f t="shared" si="3"/>
        <v>4703296.872157471</v>
      </c>
      <c r="H30" s="48">
        <f t="shared" si="4"/>
        <v>735337.9370979177</v>
      </c>
      <c r="I30" s="48">
        <f t="shared" si="2"/>
        <v>564299.8669529806</v>
      </c>
    </row>
    <row r="31" spans="1:9" ht="12.75">
      <c r="A31" s="2">
        <v>1.0129976692361635</v>
      </c>
      <c r="B31" s="2">
        <v>304.9999999990687</v>
      </c>
      <c r="C31" s="21">
        <v>47.89690844980249</v>
      </c>
      <c r="D31" s="21">
        <v>-92.29877375476326</v>
      </c>
      <c r="E31" s="2">
        <f t="shared" si="3"/>
        <v>-171850.38757590624</v>
      </c>
      <c r="F31" s="2">
        <f t="shared" si="3"/>
        <v>-4280985.940247053</v>
      </c>
      <c r="G31" s="2">
        <f t="shared" si="3"/>
        <v>4709424.932633144</v>
      </c>
      <c r="H31" s="48">
        <f t="shared" si="4"/>
        <v>744895.6163811195</v>
      </c>
      <c r="I31" s="48">
        <f t="shared" si="2"/>
        <v>571634.4499736469</v>
      </c>
    </row>
    <row r="32" spans="1:9" ht="12.75">
      <c r="A32" s="2">
        <v>1.05</v>
      </c>
      <c r="B32" s="2">
        <v>1958.6220445409417</v>
      </c>
      <c r="C32" s="21">
        <v>48.11485757087669</v>
      </c>
      <c r="D32" s="21">
        <v>-92.46294840879206</v>
      </c>
      <c r="E32" s="2">
        <f t="shared" si="3"/>
        <v>-183389.7695913309</v>
      </c>
      <c r="F32" s="2">
        <f t="shared" si="3"/>
        <v>-4263583.808247632</v>
      </c>
      <c r="G32" s="2">
        <f t="shared" si="3"/>
        <v>4726870.562041124</v>
      </c>
      <c r="H32" s="48">
        <f t="shared" si="4"/>
        <v>772104.8339528133</v>
      </c>
      <c r="I32" s="48">
        <f t="shared" si="2"/>
        <v>592514.8603006299</v>
      </c>
    </row>
    <row r="33" spans="1:9" ht="12.75">
      <c r="A33" s="2">
        <v>1.1</v>
      </c>
      <c r="B33" s="2">
        <v>4376.793240269646</v>
      </c>
      <c r="C33" s="21">
        <v>48.408788273801235</v>
      </c>
      <c r="D33" s="21">
        <v>-92.68686710880989</v>
      </c>
      <c r="E33" s="2">
        <f t="shared" si="3"/>
        <v>-198982.54682619427</v>
      </c>
      <c r="F33" s="2">
        <f t="shared" si="3"/>
        <v>-4240068.894943267</v>
      </c>
      <c r="G33" s="2">
        <f t="shared" si="3"/>
        <v>4750444.251924778</v>
      </c>
      <c r="H33" s="48">
        <f t="shared" si="4"/>
        <v>808871.7308077096</v>
      </c>
      <c r="I33" s="48">
        <f t="shared" si="2"/>
        <v>620729.8536482791</v>
      </c>
    </row>
    <row r="34" spans="1:9" ht="12.75">
      <c r="A34" s="2">
        <v>1.15</v>
      </c>
      <c r="B34" s="2">
        <v>7005.863585997373</v>
      </c>
      <c r="C34" s="21">
        <v>48.70203106960614</v>
      </c>
      <c r="D34" s="21">
        <v>-92.91319980292528</v>
      </c>
      <c r="E34" s="2">
        <f t="shared" si="3"/>
        <v>-214575.32406105756</v>
      </c>
      <c r="F34" s="2">
        <f t="shared" si="3"/>
        <v>-4216553.981638902</v>
      </c>
      <c r="G34" s="2">
        <f t="shared" si="3"/>
        <v>4774017.941808432</v>
      </c>
      <c r="H34" s="48">
        <f t="shared" si="4"/>
        <v>845638.6276626056</v>
      </c>
      <c r="I34" s="48">
        <f t="shared" si="2"/>
        <v>648944.8469959281</v>
      </c>
    </row>
    <row r="35" spans="1:9" ht="12.75">
      <c r="A35" s="2">
        <v>1.2</v>
      </c>
      <c r="B35" s="2">
        <v>9845.561795661226</v>
      </c>
      <c r="C35" s="21">
        <v>48.994558392956534</v>
      </c>
      <c r="D35" s="21">
        <v>-93.14197856036165</v>
      </c>
      <c r="E35" s="2">
        <f t="shared" si="3"/>
        <v>-230168.1012959209</v>
      </c>
      <c r="F35" s="2">
        <f t="shared" si="3"/>
        <v>-4193039.0683345376</v>
      </c>
      <c r="G35" s="2">
        <f t="shared" si="3"/>
        <v>4797591.631692085</v>
      </c>
      <c r="H35" s="48">
        <f t="shared" si="4"/>
        <v>882405.5245175008</v>
      </c>
      <c r="I35" s="48">
        <f t="shared" si="2"/>
        <v>677159.8403435765</v>
      </c>
    </row>
    <row r="36" spans="1:9" ht="12.75">
      <c r="A36" s="2">
        <v>1.25</v>
      </c>
      <c r="B36" s="2">
        <v>12895.596282243729</v>
      </c>
      <c r="C36" s="21">
        <v>49.286342693462835</v>
      </c>
      <c r="D36" s="21">
        <v>-93.37323583522324</v>
      </c>
      <c r="E36" s="2">
        <f t="shared" si="3"/>
        <v>-245760.87853078425</v>
      </c>
      <c r="F36" s="2">
        <f t="shared" si="3"/>
        <v>-4169524.1550301723</v>
      </c>
      <c r="G36" s="2">
        <f t="shared" si="3"/>
        <v>4821165.3215757385</v>
      </c>
      <c r="H36" s="48">
        <f t="shared" si="4"/>
        <v>919172.4213723964</v>
      </c>
      <c r="I36" s="48">
        <f t="shared" si="2"/>
        <v>705374.8336912257</v>
      </c>
    </row>
    <row r="37" spans="1:9" ht="12.75">
      <c r="A37" s="2">
        <v>1.3</v>
      </c>
      <c r="B37" s="2">
        <v>16155.655303779058</v>
      </c>
      <c r="C37" s="21">
        <v>49.577356442004806</v>
      </c>
      <c r="D37" s="21">
        <v>-93.60700446555703</v>
      </c>
      <c r="E37" s="2">
        <f t="shared" si="3"/>
        <v>-261353.65576564762</v>
      </c>
      <c r="F37" s="2">
        <f t="shared" si="3"/>
        <v>-4146009.241725807</v>
      </c>
      <c r="G37" s="2">
        <f t="shared" si="3"/>
        <v>4844739.011459393</v>
      </c>
      <c r="H37" s="48">
        <f t="shared" si="4"/>
        <v>955939.3182272932</v>
      </c>
      <c r="I37" s="48">
        <f t="shared" si="2"/>
        <v>733589.8270388748</v>
      </c>
    </row>
    <row r="38" spans="1:9" ht="12.75">
      <c r="A38" s="2">
        <v>1.35</v>
      </c>
      <c r="B38" s="2">
        <v>19625.4071187526</v>
      </c>
      <c r="C38" s="21">
        <v>49.86757213693018</v>
      </c>
      <c r="D38" s="21">
        <v>-93.8433176720068</v>
      </c>
      <c r="E38" s="2">
        <f t="shared" si="3"/>
        <v>-276946.43300051097</v>
      </c>
      <c r="F38" s="2">
        <f t="shared" si="3"/>
        <v>-4122494.328421442</v>
      </c>
      <c r="G38" s="2">
        <f t="shared" si="3"/>
        <v>4868312.7013430465</v>
      </c>
      <c r="H38" s="48">
        <f t="shared" si="4"/>
        <v>992706.2150821888</v>
      </c>
      <c r="I38" s="48">
        <f t="shared" si="2"/>
        <v>761804.820386524</v>
      </c>
    </row>
    <row r="39" spans="1:9" ht="12.75">
      <c r="A39" s="2" t="s">
        <v>606</v>
      </c>
      <c r="B39" s="2"/>
      <c r="C39" s="21"/>
      <c r="D39" s="21"/>
      <c r="E39" s="2"/>
      <c r="F39" s="2"/>
      <c r="G39" s="2"/>
      <c r="H39" s="48"/>
      <c r="I39" s="48"/>
    </row>
    <row r="40" spans="1:9" ht="12.75">
      <c r="A40" s="2">
        <v>1.1022834471370058</v>
      </c>
      <c r="B40" s="2"/>
      <c r="C40" s="21"/>
      <c r="D40" s="21"/>
      <c r="E40" s="2">
        <f t="shared" si="3"/>
        <v>-199694.65247689257</v>
      </c>
      <c r="F40" s="2">
        <f t="shared" si="3"/>
        <v>-4238994.993714032</v>
      </c>
      <c r="G40" s="2">
        <f t="shared" si="3"/>
        <v>4751520.837418248</v>
      </c>
      <c r="H40" s="48">
        <f>I40*COS($G$2)+($G40-$G$9)*SIN($G$2)</f>
        <v>810550.836114907</v>
      </c>
      <c r="I40" s="48">
        <f t="shared" si="2"/>
        <v>622018.4025638851</v>
      </c>
    </row>
    <row r="41" spans="1:9" ht="12.75">
      <c r="A41" s="2"/>
      <c r="B41" s="2"/>
      <c r="C41" s="21"/>
      <c r="D41" s="21"/>
      <c r="E41" s="2"/>
      <c r="F41" s="2"/>
      <c r="G41" s="2"/>
      <c r="H41" s="48"/>
      <c r="I41" s="48"/>
    </row>
    <row r="42" spans="1:9" ht="12.75">
      <c r="A42" s="2">
        <v>0.8402872891343868</v>
      </c>
      <c r="B42" s="2">
        <v>-5881.204200157896</v>
      </c>
      <c r="C42" s="21">
        <v>46.87516425560849</v>
      </c>
      <c r="D42" s="21">
        <v>-91.54936643500506</v>
      </c>
      <c r="E42" s="2">
        <f t="shared" si="3"/>
        <v>-117989.69791439467</v>
      </c>
      <c r="F42" s="2">
        <f t="shared" si="3"/>
        <v>-4362211.332544198</v>
      </c>
      <c r="G42" s="2">
        <f t="shared" si="3"/>
        <v>4627996.513828999</v>
      </c>
      <c r="H42" s="48">
        <f t="shared" si="4"/>
        <v>617895.1217616815</v>
      </c>
      <c r="I42" s="48">
        <f t="shared" si="2"/>
        <v>474174.00546081515</v>
      </c>
    </row>
    <row r="43" spans="1:9" ht="12.75">
      <c r="A43" s="2">
        <v>1.052341973613983</v>
      </c>
      <c r="B43" s="2">
        <v>2067.176330735907</v>
      </c>
      <c r="C43" s="21">
        <v>48.12864008515796</v>
      </c>
      <c r="D43" s="21">
        <v>-92.47338321744135</v>
      </c>
      <c r="E43" s="2">
        <f t="shared" si="3"/>
        <v>-184120.12704838617</v>
      </c>
      <c r="F43" s="2">
        <f t="shared" si="3"/>
        <v>-4262482.382117754</v>
      </c>
      <c r="G43" s="2">
        <f t="shared" si="3"/>
        <v>4727974.74123496</v>
      </c>
      <c r="H43" s="48">
        <f>I43*COS($G$2)+($G43-$G$9)*SIN($G$2)</f>
        <v>773826.975998858</v>
      </c>
      <c r="I43" s="48">
        <f t="shared" si="2"/>
        <v>593836.435699408</v>
      </c>
    </row>
    <row r="44" spans="4:10" ht="13.5" thickBot="1">
      <c r="D44" t="s">
        <v>269</v>
      </c>
      <c r="I44" s="2">
        <f>A43</f>
        <v>1.052341973613983</v>
      </c>
      <c r="J44" s="2">
        <f>H43</f>
        <v>773826.975998858</v>
      </c>
    </row>
    <row r="45" spans="1:10" ht="13.5" thickBot="1">
      <c r="A45" s="214" t="s">
        <v>442</v>
      </c>
      <c r="B45" s="215"/>
      <c r="C45" s="215"/>
      <c r="D45" s="215"/>
      <c r="E45" s="216" t="s">
        <v>147</v>
      </c>
      <c r="F45" s="215"/>
      <c r="G45" s="217"/>
      <c r="H45" s="206"/>
      <c r="I45" s="227" t="s">
        <v>451</v>
      </c>
      <c r="J45" s="228" t="s">
        <v>452</v>
      </c>
    </row>
    <row r="46" spans="1:10" ht="15" thickBot="1">
      <c r="A46" s="218"/>
      <c r="B46" s="45"/>
      <c r="C46" s="171" t="s">
        <v>426</v>
      </c>
      <c r="D46" s="45"/>
      <c r="E46" s="45"/>
      <c r="F46" s="45"/>
      <c r="G46" s="219"/>
      <c r="H46" s="209">
        <v>1</v>
      </c>
      <c r="I46" s="232">
        <v>1.1</v>
      </c>
      <c r="J46" s="246">
        <v>808871.7308077096</v>
      </c>
    </row>
    <row r="47" spans="1:10" ht="15" thickBot="1">
      <c r="A47" s="218"/>
      <c r="B47" s="51" t="s">
        <v>411</v>
      </c>
      <c r="C47" s="36">
        <v>48.128640085157656</v>
      </c>
      <c r="D47" s="53" t="s">
        <v>443</v>
      </c>
      <c r="E47" s="161" t="s">
        <v>155</v>
      </c>
      <c r="F47" s="161" t="s">
        <v>139</v>
      </c>
      <c r="G47" s="220" t="s">
        <v>140</v>
      </c>
      <c r="H47" s="209">
        <v>2</v>
      </c>
      <c r="I47" s="232">
        <v>1.1022834471370055</v>
      </c>
      <c r="J47" s="246">
        <v>810550.836114907</v>
      </c>
    </row>
    <row r="48" spans="1:10" ht="13.5" thickBot="1">
      <c r="A48" s="218"/>
      <c r="B48" s="48">
        <f>SQRT(E48*E48+F48*F48)/COS((C49*PI())/180)-$A$3/SQRT(1-$C$3*POWER(SIN((C49*PI())/180),2))</f>
        <v>2067.176330735907</v>
      </c>
      <c r="C48" s="163">
        <f>C49</f>
        <v>48.12864008515796</v>
      </c>
      <c r="D48" s="45">
        <f>(180/PI())*ATAN2(E48,F48)</f>
        <v>-92.47338321744135</v>
      </c>
      <c r="E48" s="157">
        <v>-184120.12704838617</v>
      </c>
      <c r="F48" s="157">
        <v>-4262482.382117754</v>
      </c>
      <c r="G48" s="221">
        <v>4727974.74123496</v>
      </c>
      <c r="H48" s="212"/>
      <c r="I48" s="213">
        <f>I46+((J48-J46)*(I47-I46))/(J47-J46)</f>
        <v>1.1022834471370058</v>
      </c>
      <c r="J48" s="256">
        <v>810550.8361149073</v>
      </c>
    </row>
    <row r="49" spans="1:7" ht="14.25">
      <c r="A49" s="218"/>
      <c r="B49" s="53" t="s">
        <v>427</v>
      </c>
      <c r="C49" s="49">
        <f>(180/PI())*ATAN(G48/(SQRT(E48*E48+F48*F48))*(1+$C$3*$A$3*SIN((C47*PI())/180)/(G48*SQRT(1-$C$3*POWER(SIN((C47*PI())/180),2)))))</f>
        <v>48.12864008515796</v>
      </c>
      <c r="D49" s="160">
        <v>0</v>
      </c>
      <c r="E49" s="244"/>
      <c r="F49" s="244"/>
      <c r="G49" s="245"/>
    </row>
    <row r="50" spans="1:7" ht="14.25">
      <c r="A50" s="218"/>
      <c r="B50" s="53" t="s">
        <v>429</v>
      </c>
      <c r="C50" s="45">
        <f>(180/PI())*ATAN(G48/((1-$C$3)*SQRT(E48*E48+F48*F48)))</f>
        <v>48.12870215207714</v>
      </c>
      <c r="D50" s="174" t="s">
        <v>437</v>
      </c>
      <c r="E50" s="45"/>
      <c r="F50" s="45"/>
      <c r="G50" s="219"/>
    </row>
    <row r="51" spans="1:7" ht="12.75">
      <c r="A51" s="218" t="s">
        <v>412</v>
      </c>
      <c r="B51" s="45"/>
      <c r="C51" s="45"/>
      <c r="D51" s="45" t="s">
        <v>438</v>
      </c>
      <c r="E51" s="45"/>
      <c r="F51" s="45"/>
      <c r="G51" s="219"/>
    </row>
    <row r="52" spans="1:7" ht="12.75">
      <c r="A52" s="218" t="s">
        <v>413</v>
      </c>
      <c r="B52" s="45"/>
      <c r="C52" s="45"/>
      <c r="D52" s="45" t="s">
        <v>439</v>
      </c>
      <c r="E52" s="45"/>
      <c r="F52" s="56"/>
      <c r="G52" s="219"/>
    </row>
    <row r="53" spans="1:7" ht="12.75">
      <c r="A53" s="218" t="s">
        <v>414</v>
      </c>
      <c r="B53" s="45"/>
      <c r="C53" s="45"/>
      <c r="D53" s="162" t="s">
        <v>440</v>
      </c>
      <c r="E53" s="45"/>
      <c r="F53" s="45"/>
      <c r="G53" s="219"/>
    </row>
    <row r="54" spans="1:7" ht="13.5" thickBot="1">
      <c r="A54" s="222" t="s">
        <v>415</v>
      </c>
      <c r="B54" s="223"/>
      <c r="C54" s="223"/>
      <c r="D54" s="224" t="s">
        <v>441</v>
      </c>
      <c r="E54" s="223"/>
      <c r="F54" s="223"/>
      <c r="G54" s="225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&amp;L&amp;F&amp;C&amp;D&amp;RWes Smart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"/>
  <dimension ref="A1:K36"/>
  <sheetViews>
    <sheetView workbookViewId="0" topLeftCell="A19">
      <selection activeCell="A23" sqref="A23"/>
    </sheetView>
  </sheetViews>
  <sheetFormatPr defaultColWidth="9.140625" defaultRowHeight="12.75"/>
  <cols>
    <col min="1" max="1" width="12.7109375" style="0" customWidth="1"/>
    <col min="2" max="2" width="12.421875" style="0" customWidth="1"/>
    <col min="3" max="3" width="12.57421875" style="0" customWidth="1"/>
    <col min="4" max="4" width="13.421875" style="0" customWidth="1"/>
    <col min="5" max="5" width="15.140625" style="0" customWidth="1"/>
    <col min="6" max="6" width="2.8515625" style="0" customWidth="1"/>
    <col min="7" max="7" width="12.7109375" style="0" customWidth="1"/>
    <col min="8" max="8" width="8.421875" style="0" customWidth="1"/>
    <col min="9" max="9" width="8.7109375" style="0" customWidth="1"/>
    <col min="10" max="10" width="8.57421875" style="0" customWidth="1"/>
  </cols>
  <sheetData>
    <row r="1" spans="1:11" ht="12.75">
      <c r="A1" s="1" t="s">
        <v>39</v>
      </c>
      <c r="B1" s="1" t="s">
        <v>40</v>
      </c>
      <c r="C1" s="1" t="s">
        <v>41</v>
      </c>
      <c r="D1" s="1" t="s">
        <v>47</v>
      </c>
      <c r="E1" s="4" t="s">
        <v>42</v>
      </c>
      <c r="F1" s="1"/>
      <c r="G1" s="1" t="s">
        <v>46</v>
      </c>
      <c r="H1" s="1" t="s">
        <v>43</v>
      </c>
      <c r="I1" s="1" t="s">
        <v>44</v>
      </c>
      <c r="J1" s="1" t="s">
        <v>45</v>
      </c>
      <c r="K1" s="1" t="s">
        <v>48</v>
      </c>
    </row>
    <row r="2" spans="1:7" ht="14.25">
      <c r="A2" s="1"/>
      <c r="B2" s="1"/>
      <c r="C2" s="1"/>
      <c r="D2" s="1"/>
      <c r="E2" s="15"/>
      <c r="F2" s="5"/>
      <c r="G2" s="1" t="s">
        <v>68</v>
      </c>
    </row>
    <row r="3" spans="1:7" ht="12.75">
      <c r="A3" s="12" t="s">
        <v>35</v>
      </c>
      <c r="B3" s="12" t="s">
        <v>49</v>
      </c>
      <c r="C3" s="12" t="s">
        <v>67</v>
      </c>
      <c r="D3" s="1" t="s">
        <v>50</v>
      </c>
      <c r="E3" s="14" t="s">
        <v>51</v>
      </c>
      <c r="F3" s="1"/>
      <c r="G3" s="1"/>
    </row>
    <row r="4" spans="1:7" ht="14.25">
      <c r="A4">
        <v>671108.5397</v>
      </c>
      <c r="B4">
        <v>-297424.0033</v>
      </c>
      <c r="C4">
        <v>-42175.3937</v>
      </c>
      <c r="D4">
        <f>360+ATAN(B4/A4)*180/PI()</f>
        <v>336.0978853316295</v>
      </c>
      <c r="E4">
        <f>ASIN(C4/G4)*180/PI()</f>
        <v>-3.2883009896611286</v>
      </c>
      <c r="F4" s="15">
        <v>0</v>
      </c>
      <c r="G4">
        <f>SQRT(A4*A4+B4*B4+C4*C4)</f>
        <v>735273.0605911078</v>
      </c>
    </row>
    <row r="5" spans="4:6" ht="12.75">
      <c r="D5">
        <f>(D4-FLOOR(D4,1))*60</f>
        <v>5.87311989777163</v>
      </c>
      <c r="E5">
        <f>(ABS(E4)-FLOOR(ABS(E4),1))*60</f>
        <v>17.298059379667716</v>
      </c>
      <c r="F5" s="5" t="s">
        <v>17</v>
      </c>
    </row>
    <row r="6" spans="4:6" ht="12.75">
      <c r="D6" s="13">
        <f>(D5-FLOOR(D5,1))*60</f>
        <v>52.38719386629782</v>
      </c>
      <c r="E6" s="13">
        <f>(ABS(E5)-FLOOR(ABS(E5),1))*60</f>
        <v>17.883562780062974</v>
      </c>
      <c r="F6" s="4" t="s">
        <v>18</v>
      </c>
    </row>
    <row r="7" spans="1:2" ht="12.75">
      <c r="A7" s="11" t="s">
        <v>52</v>
      </c>
      <c r="B7" s="16" t="s">
        <v>53</v>
      </c>
    </row>
    <row r="8" spans="1:11" ht="14.25">
      <c r="A8">
        <v>671107.8061</v>
      </c>
      <c r="B8">
        <v>-297423.7202</v>
      </c>
      <c r="C8">
        <v>-42175.3402</v>
      </c>
      <c r="D8">
        <f>360+ATAN(B8/A8)*180/PI()</f>
        <v>336.09788233317647</v>
      </c>
      <c r="E8">
        <f>ASIN(C8/G8)*180/PI()</f>
        <v>-3.2883003380749285</v>
      </c>
      <c r="F8" s="15">
        <v>0</v>
      </c>
      <c r="G8">
        <f>SQRT(A8*A8+B8*B8+C8*C8)</f>
        <v>735272.273424579</v>
      </c>
      <c r="H8" s="2">
        <f>A8-A$4</f>
        <v>-0.7335999999195337</v>
      </c>
      <c r="I8" s="2">
        <f>B8-B$4</f>
        <v>0.2831000000005588</v>
      </c>
      <c r="J8" s="2">
        <f>C8-C$4</f>
        <v>0.05350000000180444</v>
      </c>
      <c r="K8" s="2">
        <f>SQRT(SUMSQ(H8:I8:J8))</f>
        <v>0.7881477145068996</v>
      </c>
    </row>
    <row r="9" spans="4:11" ht="12.75">
      <c r="D9">
        <f>(D8-FLOOR(D8,1))*60</f>
        <v>5.872939990588293</v>
      </c>
      <c r="E9">
        <f>(ABS(E8)-FLOOR(ABS(E8),1))*60</f>
        <v>17.29802028449571</v>
      </c>
      <c r="F9" s="5" t="s">
        <v>17</v>
      </c>
      <c r="H9" s="2"/>
      <c r="I9" s="2"/>
      <c r="J9" s="2"/>
      <c r="K9" s="2"/>
    </row>
    <row r="10" spans="4:11" ht="12.75">
      <c r="D10" s="13">
        <f>(D9-FLOOR(D9,1))*60</f>
        <v>52.37639943529757</v>
      </c>
      <c r="E10" s="13">
        <f>(ABS(E9)-FLOOR(ABS(E9),1))*60</f>
        <v>17.88121706974259</v>
      </c>
      <c r="F10" s="4" t="s">
        <v>18</v>
      </c>
      <c r="G10" s="2">
        <f>G8-G$4</f>
        <v>-0.7871665288694203</v>
      </c>
      <c r="H10" s="2"/>
      <c r="I10" s="2"/>
      <c r="J10" s="2"/>
      <c r="K10" s="2"/>
    </row>
    <row r="11" spans="1:2" ht="12.75">
      <c r="A11" s="11" t="s">
        <v>57</v>
      </c>
      <c r="B11" s="16" t="s">
        <v>56</v>
      </c>
    </row>
    <row r="12" spans="1:11" ht="14.25">
      <c r="A12">
        <v>671108.3026</v>
      </c>
      <c r="B12">
        <v>-297424.0447</v>
      </c>
      <c r="C12">
        <v>-42175.4081</v>
      </c>
      <c r="D12">
        <f>360+ATAN(B12/A12)*180/PI()</f>
        <v>336.09787487903674</v>
      </c>
      <c r="E12">
        <f>ASIN(C12/G12)*180/PI()</f>
        <v>-3.288303003842727</v>
      </c>
      <c r="F12" s="15">
        <v>0</v>
      </c>
      <c r="G12">
        <f>SQRT(A12*A12+B12*B12+C12*C12)</f>
        <v>735272.861754575</v>
      </c>
      <c r="H12" s="2">
        <f>A12-A$4</f>
        <v>-0.23709999991115183</v>
      </c>
      <c r="I12" s="2">
        <f>B12-B$4</f>
        <v>-0.041400000045541674</v>
      </c>
      <c r="J12" s="2">
        <f>C12-C$4</f>
        <v>-0.014400000000023283</v>
      </c>
      <c r="K12" s="2">
        <f>SQRT(SUMSQ(H12:I12:J12))</f>
        <v>0.24111766829006895</v>
      </c>
    </row>
    <row r="13" spans="4:11" ht="12.75">
      <c r="D13">
        <f>(D12-FLOOR(D12,1))*60</f>
        <v>5.872492742204258</v>
      </c>
      <c r="E13">
        <f>(ABS(E12)-FLOOR(ABS(E12),1))*60</f>
        <v>17.29818023056362</v>
      </c>
      <c r="F13" s="5" t="s">
        <v>17</v>
      </c>
      <c r="H13" s="2"/>
      <c r="I13" s="2"/>
      <c r="J13" s="2"/>
      <c r="K13" s="2"/>
    </row>
    <row r="14" spans="4:11" ht="12.75">
      <c r="D14" s="13">
        <f>(D13-FLOOR(D13,1))*60</f>
        <v>52.3495645322555</v>
      </c>
      <c r="E14" s="13">
        <f>(ABS(E13)-FLOOR(ABS(E13),1))*60</f>
        <v>17.890813833817205</v>
      </c>
      <c r="F14" s="4" t="s">
        <v>18</v>
      </c>
      <c r="G14" s="2">
        <f>G12-G$4</f>
        <v>-0.19883653277065605</v>
      </c>
      <c r="H14" s="2"/>
      <c r="I14" s="2"/>
      <c r="J14" s="2"/>
      <c r="K14" s="2"/>
    </row>
    <row r="15" spans="1:11" ht="12.75">
      <c r="A15" s="12" t="s">
        <v>36</v>
      </c>
      <c r="B15" s="12" t="s">
        <v>55</v>
      </c>
      <c r="C15" s="9" t="s">
        <v>54</v>
      </c>
      <c r="D15" s="1" t="s">
        <v>61</v>
      </c>
      <c r="E15" s="1"/>
      <c r="F15" s="1"/>
      <c r="G15" s="1"/>
      <c r="H15" s="2"/>
      <c r="I15" s="2"/>
      <c r="J15" s="2"/>
      <c r="K15" s="2"/>
    </row>
    <row r="16" spans="1:11" ht="14.25">
      <c r="A16">
        <v>671108.4996</v>
      </c>
      <c r="B16">
        <v>-297424.0472</v>
      </c>
      <c r="C16">
        <v>-42175.3067</v>
      </c>
      <c r="D16">
        <f>360+ATAN(B16/A16)*180/PI()</f>
        <v>336.0978809307964</v>
      </c>
      <c r="E16">
        <f>ASIN(C16/G16)*180/PI()</f>
        <v>-3.2882943057534706</v>
      </c>
      <c r="F16" s="15">
        <v>0</v>
      </c>
      <c r="G16">
        <f>SQRT(A16*A16+B16*B16+C16*C16)</f>
        <v>735273.0367580672</v>
      </c>
      <c r="H16" s="2">
        <f>A16-A$4</f>
        <v>-0.04009999998379499</v>
      </c>
      <c r="I16" s="2">
        <f>B16-B$4</f>
        <v>-0.04389999998966232</v>
      </c>
      <c r="J16" s="2">
        <f>C16-C$4</f>
        <v>0.08699999999953434</v>
      </c>
      <c r="K16" s="2">
        <f>SQRT(SUMSQ(H16:I16:J16))</f>
        <v>0.10537656284825238</v>
      </c>
    </row>
    <row r="17" spans="4:6" ht="12.75">
      <c r="D17">
        <f>(D16-FLOOR(D16,1))*60</f>
        <v>5.872855847784422</v>
      </c>
      <c r="E17">
        <f>(ABS(E16)-FLOOR(ABS(E16),1))*60</f>
        <v>17.297658345208234</v>
      </c>
      <c r="F17" s="5" t="s">
        <v>17</v>
      </c>
    </row>
    <row r="18" spans="4:7" ht="12.75">
      <c r="D18" s="13">
        <f>(D17-FLOOR(D17,1))*60</f>
        <v>52.3713508670653</v>
      </c>
      <c r="E18" s="13">
        <f>(ABS(E17)-FLOOR(ABS(E17),1))*60</f>
        <v>17.859500712494025</v>
      </c>
      <c r="F18" s="4" t="s">
        <v>18</v>
      </c>
      <c r="G18" s="2">
        <f>G16-G$4</f>
        <v>-0.023833040613681078</v>
      </c>
    </row>
    <row r="19" spans="4:7" ht="12.75">
      <c r="D19" s="13"/>
      <c r="E19" s="13"/>
      <c r="F19" s="4"/>
      <c r="G19" s="2"/>
    </row>
    <row r="20" spans="1:4" ht="12.75">
      <c r="A20" s="11" t="s">
        <v>58</v>
      </c>
      <c r="B20" s="16" t="s">
        <v>59</v>
      </c>
      <c r="C20" s="16" t="s">
        <v>60</v>
      </c>
      <c r="D20" s="1" t="s">
        <v>62</v>
      </c>
    </row>
    <row r="21" spans="1:11" ht="14.25">
      <c r="A21">
        <v>671108.3643</v>
      </c>
      <c r="B21">
        <v>-297424.0287</v>
      </c>
      <c r="C21">
        <v>-42175.4135</v>
      </c>
      <c r="D21">
        <f>360+ATAN(B21/A21)*180/PI()</f>
        <v>336.09787797205547</v>
      </c>
      <c r="E21">
        <f>ASIN(C21/G21)*180/PI()</f>
        <v>-3.288303200785882</v>
      </c>
      <c r="F21" s="15">
        <v>0</v>
      </c>
      <c r="G21">
        <f>SQRT(A21*A21+B21*B21+C21*C21)</f>
        <v>735272.9119078547</v>
      </c>
      <c r="H21" s="2">
        <f>A21-A$4</f>
        <v>-0.1753999999491498</v>
      </c>
      <c r="I21" s="2">
        <f>B21-B$4</f>
        <v>-0.025400000042282045</v>
      </c>
      <c r="J21" s="2">
        <f>C21-C$4</f>
        <v>-0.019800000001851004</v>
      </c>
      <c r="K21" s="2">
        <f>SQRT(SUMSQ(H21:I21:J21))</f>
        <v>0.17833216194613627</v>
      </c>
    </row>
    <row r="22" spans="4:11" ht="12.75">
      <c r="D22">
        <f>(D21-FLOOR(D21,1))*60</f>
        <v>5.872678323328273</v>
      </c>
      <c r="E22">
        <f>(ABS(E21)-FLOOR(ABS(E21),1))*60</f>
        <v>17.298192047152927</v>
      </c>
      <c r="F22" s="5" t="s">
        <v>17</v>
      </c>
      <c r="H22" s="2"/>
      <c r="I22" s="2"/>
      <c r="J22" s="2"/>
      <c r="K22" s="2"/>
    </row>
    <row r="23" spans="4:11" ht="12.75">
      <c r="D23" s="13">
        <f>(D22-FLOOR(D22,1))*60</f>
        <v>52.36069939969639</v>
      </c>
      <c r="E23" s="13">
        <f>(ABS(E22)-FLOOR(ABS(E22),1))*60</f>
        <v>17.891522829175628</v>
      </c>
      <c r="F23" s="4" t="s">
        <v>18</v>
      </c>
      <c r="G23" s="2">
        <f>G21-G$4</f>
        <v>-0.14868325309362262</v>
      </c>
      <c r="H23" s="2"/>
      <c r="I23" s="2"/>
      <c r="J23" s="2"/>
      <c r="K23" s="2"/>
    </row>
    <row r="25" spans="1:11" ht="12.75">
      <c r="A25" s="12" t="s">
        <v>63</v>
      </c>
      <c r="B25" s="12" t="s">
        <v>64</v>
      </c>
      <c r="C25" s="9" t="s">
        <v>66</v>
      </c>
      <c r="D25" s="12" t="s">
        <v>65</v>
      </c>
      <c r="E25" s="1" t="s">
        <v>62</v>
      </c>
      <c r="F25" s="1"/>
      <c r="G25" s="1"/>
      <c r="H25" s="2"/>
      <c r="I25" s="2"/>
      <c r="J25" s="2"/>
      <c r="K25" s="2"/>
    </row>
    <row r="26" spans="1:11" ht="14.25">
      <c r="A26">
        <v>671108.5182</v>
      </c>
      <c r="B26">
        <v>-297424.0211</v>
      </c>
      <c r="C26">
        <v>-42175.4295</v>
      </c>
      <c r="D26">
        <f>360+ATAN(B26/A26)*180/PI()</f>
        <v>336.0978833814968</v>
      </c>
      <c r="E26">
        <f>ASIN(C26/G26)*180/PI()</f>
        <v>-3.2883038303866776</v>
      </c>
      <c r="F26" s="15">
        <v>0</v>
      </c>
      <c r="G26">
        <f>SQRT(A26*A26+B26*B26+C26*C26)</f>
        <v>735273.0502210744</v>
      </c>
      <c r="H26" s="2">
        <f>A26-A$4</f>
        <v>-0.021499999915249646</v>
      </c>
      <c r="I26" s="2">
        <f>B26-B$4</f>
        <v>-0.01780000003054738</v>
      </c>
      <c r="J26" s="2">
        <f>C26-C$4</f>
        <v>-0.035799999997834675</v>
      </c>
      <c r="K26" s="2">
        <f>SQRT(SUMSQ(H26:I26:J26))</f>
        <v>0.045395264040295924</v>
      </c>
    </row>
    <row r="27" spans="4:6" ht="12.75">
      <c r="D27">
        <f>(D26-FLOOR(D26,1))*60</f>
        <v>5.87300288980714</v>
      </c>
      <c r="E27">
        <f>(ABS(E26)-FLOOR(ABS(E26),1))*60</f>
        <v>17.298229823200657</v>
      </c>
      <c r="F27" s="5" t="s">
        <v>17</v>
      </c>
    </row>
    <row r="28" spans="4:7" ht="12.75">
      <c r="D28" s="13">
        <f>(D27-FLOOR(D27,1))*60</f>
        <v>52.380173388428375</v>
      </c>
      <c r="E28" s="13">
        <f>(ABS(E27)-FLOOR(ABS(E27),1))*60</f>
        <v>17.893789392039423</v>
      </c>
      <c r="F28" s="4" t="s">
        <v>18</v>
      </c>
      <c r="G28" s="2">
        <f>G26-G$4</f>
        <v>-0.010370033443905413</v>
      </c>
    </row>
    <row r="29" spans="1:11" ht="12.75">
      <c r="A29" s="12" t="s">
        <v>63</v>
      </c>
      <c r="B29" s="12" t="s">
        <v>64</v>
      </c>
      <c r="C29" s="9" t="s">
        <v>66</v>
      </c>
      <c r="D29" s="12" t="s">
        <v>65</v>
      </c>
      <c r="E29" s="1" t="s">
        <v>61</v>
      </c>
      <c r="F29" s="1"/>
      <c r="G29" s="1"/>
      <c r="H29" s="2"/>
      <c r="I29" s="2"/>
      <c r="J29" s="2"/>
      <c r="K29" s="2"/>
    </row>
    <row r="30" spans="1:11" ht="14.25">
      <c r="A30">
        <v>671108.5103</v>
      </c>
      <c r="B30">
        <v>-297424.0177</v>
      </c>
      <c r="C30">
        <v>-42175.3088</v>
      </c>
      <c r="D30">
        <f>360+ATAN(B30/A30)*180/PI()</f>
        <v>336.09788337427904</v>
      </c>
      <c r="E30">
        <f>ASIN(C30/G30)*180/PI()</f>
        <v>-3.2882944788262622</v>
      </c>
      <c r="F30" s="15">
        <v>0</v>
      </c>
      <c r="G30">
        <f>SQRT(A30*A30+B30*B30+C30*C30)</f>
        <v>735273.03471178</v>
      </c>
      <c r="H30" s="2">
        <f>A30-A$4</f>
        <v>-0.029399999999441206</v>
      </c>
      <c r="I30" s="2">
        <f>B30-B$4</f>
        <v>-0.014400000043679029</v>
      </c>
      <c r="J30" s="2">
        <f>C30-C$4</f>
        <v>0.0849000000016531</v>
      </c>
      <c r="K30" s="2">
        <f>SQRT(SUMSQ(H30:I30:J30))</f>
        <v>0.09099302171873289</v>
      </c>
    </row>
    <row r="31" spans="4:6" ht="12.75">
      <c r="D31">
        <f>(D30-FLOOR(D30,1))*60</f>
        <v>5.873002456742142</v>
      </c>
      <c r="E31">
        <f>(ABS(E30)-FLOOR(ABS(E30),1))*60</f>
        <v>17.297668729575733</v>
      </c>
      <c r="F31" s="5" t="s">
        <v>17</v>
      </c>
    </row>
    <row r="32" spans="4:7" ht="12.75">
      <c r="D32" s="13">
        <f>(D31-FLOOR(D31,1))*60</f>
        <v>52.38014740452854</v>
      </c>
      <c r="E32" s="13">
        <f>(ABS(E31)-FLOOR(ABS(E31),1))*60</f>
        <v>17.86012377454398</v>
      </c>
      <c r="F32" s="4" t="s">
        <v>18</v>
      </c>
      <c r="G32" s="2">
        <f>G30-G$4</f>
        <v>-0.025879327789880335</v>
      </c>
    </row>
    <row r="33" ht="12.75">
      <c r="A33" s="10" t="s">
        <v>69</v>
      </c>
    </row>
    <row r="34" spans="1:11" ht="14.25">
      <c r="A34">
        <v>671108.5187239863</v>
      </c>
      <c r="B34">
        <v>-297424.0064324175</v>
      </c>
      <c r="C34">
        <v>-42175.325410011166</v>
      </c>
      <c r="D34">
        <f>360+ATAN(B34/A34)*180/PI()</f>
        <v>336.09788444473344</v>
      </c>
      <c r="E34">
        <f>ASIN(C34/G34)*180/PI()</f>
        <v>-3.288295757003944</v>
      </c>
      <c r="F34" s="15">
        <v>0</v>
      </c>
      <c r="G34">
        <f>SQRT(A34*A34+B34*B34+C34*C34)</f>
        <v>735273.038795558</v>
      </c>
      <c r="H34" s="2">
        <f>A34-A$4</f>
        <v>-0.020976013620384037</v>
      </c>
      <c r="I34" s="2">
        <f>B34-B$4</f>
        <v>-0.003132417507003993</v>
      </c>
      <c r="J34" s="2">
        <f>C34-C$4</f>
        <v>0.06828998883429449</v>
      </c>
      <c r="K34" s="2">
        <f>SQRT(SUMSQ(H34:I34:J34))</f>
        <v>0.07150753639882154</v>
      </c>
    </row>
    <row r="35" spans="4:11" ht="12.75">
      <c r="D35">
        <f>(D34-FLOOR(D34,1))*60</f>
        <v>5.8730666840062895</v>
      </c>
      <c r="E35">
        <f>(ABS(E34)-FLOOR(ABS(E34),1))*60</f>
        <v>17.29774542023665</v>
      </c>
      <c r="F35" s="5" t="s">
        <v>17</v>
      </c>
      <c r="G35" s="4" t="s">
        <v>70</v>
      </c>
      <c r="H35" s="2">
        <f>A34-A30</f>
        <v>0.008423986379057169</v>
      </c>
      <c r="I35" s="2">
        <f>B34-B30</f>
        <v>0.011267582536675036</v>
      </c>
      <c r="J35" s="2">
        <f>C34-C30</f>
        <v>-0.016610011167358607</v>
      </c>
      <c r="K35" s="2">
        <f>SQRT(SUMSQ(H35:I35:J35))</f>
        <v>0.021767278969019133</v>
      </c>
    </row>
    <row r="36" spans="4:7" ht="12.75">
      <c r="D36" s="13">
        <f>(D35-FLOOR(D35,1))*60</f>
        <v>52.38400104037737</v>
      </c>
      <c r="E36" s="13">
        <f>(ABS(E35)-FLOOR(ABS(E35),1))*60</f>
        <v>17.864725214199098</v>
      </c>
      <c r="F36" s="4" t="s">
        <v>18</v>
      </c>
      <c r="G36" s="2">
        <f>G34-G$4</f>
        <v>-0.021795549779199064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"/>
  <dimension ref="A1:H31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12.140625" style="0" bestFit="1" customWidth="1"/>
    <col min="3" max="3" width="13.140625" style="0" customWidth="1"/>
    <col min="4" max="4" width="12.57421875" style="0" bestFit="1" customWidth="1"/>
    <col min="5" max="5" width="9.8515625" style="0" customWidth="1"/>
    <col min="6" max="6" width="9.7109375" style="0" customWidth="1"/>
    <col min="7" max="8" width="9.8515625" style="0" customWidth="1"/>
  </cols>
  <sheetData>
    <row r="1" spans="1:8" ht="12.75">
      <c r="A1" s="10" t="s">
        <v>92</v>
      </c>
      <c r="G1" t="s">
        <v>84</v>
      </c>
      <c r="H1">
        <v>2770</v>
      </c>
    </row>
    <row r="2" spans="1:8" ht="14.25">
      <c r="A2" s="17">
        <v>6589</v>
      </c>
      <c r="B2" s="1" t="s">
        <v>72</v>
      </c>
      <c r="C2" s="1" t="s">
        <v>73</v>
      </c>
      <c r="D2" s="1" t="s">
        <v>74</v>
      </c>
      <c r="E2" s="1" t="s">
        <v>75</v>
      </c>
      <c r="F2" s="1" t="s">
        <v>76</v>
      </c>
      <c r="G2" s="1" t="s">
        <v>77</v>
      </c>
      <c r="H2" t="s">
        <v>80</v>
      </c>
    </row>
    <row r="3" spans="1:7" ht="12.75">
      <c r="A3" s="17" t="s">
        <v>71</v>
      </c>
      <c r="B3" s="2">
        <v>143933.0835</v>
      </c>
      <c r="C3" s="2">
        <v>-4757406.65975</v>
      </c>
      <c r="D3" s="2">
        <v>4231881.436</v>
      </c>
      <c r="E3" s="20">
        <f>B3-B$8</f>
        <v>0.001500000013038516</v>
      </c>
      <c r="F3" s="20">
        <f>C3-C$8</f>
        <v>-0.010749999433755875</v>
      </c>
      <c r="G3" s="20">
        <f>D3-D$8</f>
        <v>0.00800000037997961</v>
      </c>
    </row>
    <row r="4" ht="12.75">
      <c r="A4" s="19" t="s">
        <v>79</v>
      </c>
    </row>
    <row r="5" spans="1:7" ht="12.75">
      <c r="A5" s="17" t="s">
        <v>85</v>
      </c>
      <c r="B5" s="2">
        <v>143933.09</v>
      </c>
      <c r="C5" s="2">
        <v>-4757406.663</v>
      </c>
      <c r="D5" s="2">
        <v>4231881.437</v>
      </c>
      <c r="E5" s="2">
        <f aca="true" t="shared" si="0" ref="E5:G6">B5-B$3</f>
        <v>0.0064999999885912985</v>
      </c>
      <c r="F5" s="2">
        <f t="shared" si="0"/>
        <v>-0.0032500000670552254</v>
      </c>
      <c r="G5" s="2">
        <f t="shared" si="0"/>
        <v>0.0010000001639127731</v>
      </c>
    </row>
    <row r="6" spans="1:7" ht="12.75">
      <c r="A6" s="17" t="s">
        <v>86</v>
      </c>
      <c r="B6" s="2">
        <v>143933.074</v>
      </c>
      <c r="C6" s="2">
        <v>-4757406.635</v>
      </c>
      <c r="D6" s="2">
        <v>4231881.419</v>
      </c>
      <c r="E6" s="2">
        <f t="shared" si="0"/>
        <v>-0.00950000001466833</v>
      </c>
      <c r="F6" s="2">
        <f t="shared" si="0"/>
        <v>0.02474999986588955</v>
      </c>
      <c r="G6" s="2">
        <f t="shared" si="0"/>
        <v>-0.01699999999254942</v>
      </c>
    </row>
    <row r="7" spans="1:7" ht="12.75">
      <c r="A7" s="17"/>
      <c r="B7" s="2"/>
      <c r="C7" s="2"/>
      <c r="D7" s="2"/>
      <c r="E7" s="2"/>
      <c r="F7" s="2"/>
      <c r="G7" s="2"/>
    </row>
    <row r="8" spans="1:8" ht="14.25">
      <c r="A8" s="1" t="s">
        <v>83</v>
      </c>
      <c r="B8" s="2">
        <f>SUM(B5:B6)/2</f>
        <v>143933.082</v>
      </c>
      <c r="C8" s="2">
        <f>SUM(C5:C6)/2</f>
        <v>-4757406.649</v>
      </c>
      <c r="D8" s="2">
        <f>SUM(D5:D6)/2</f>
        <v>4231881.427999999</v>
      </c>
      <c r="E8" s="2">
        <f>$H$1*SUMSQ(E5:E6)</f>
        <v>0.3670250003611669</v>
      </c>
      <c r="F8" s="2">
        <f>$H$1*SUMSQ(F5:F6)</f>
        <v>1.726056232818775</v>
      </c>
      <c r="G8" s="2">
        <f>$H$1*SUMSQ(G5:G6)</f>
        <v>0.8033000002063811</v>
      </c>
      <c r="H8" s="2">
        <f>SUM(E8:G8)</f>
        <v>2.896381233386323</v>
      </c>
    </row>
    <row r="10" ht="12.75">
      <c r="A10" s="12" t="s">
        <v>27</v>
      </c>
    </row>
    <row r="11" spans="1:7" ht="12.75">
      <c r="A11" s="17" t="s">
        <v>71</v>
      </c>
      <c r="B11" s="2">
        <v>-167840.8935</v>
      </c>
      <c r="C11" s="2">
        <v>-4287596.98225</v>
      </c>
      <c r="D11" s="2">
        <v>4703794.871</v>
      </c>
      <c r="E11" s="20">
        <f>B11-B$16</f>
        <v>-0.001500000013038516</v>
      </c>
      <c r="F11" s="20">
        <f>C11-C$16</f>
        <v>0.010749999433755875</v>
      </c>
      <c r="G11" s="20">
        <f>D11-D$16</f>
        <v>-0.00800000037997961</v>
      </c>
    </row>
    <row r="12" ht="12.75">
      <c r="A12" s="19" t="s">
        <v>79</v>
      </c>
    </row>
    <row r="13" spans="1:7" ht="12.75">
      <c r="A13" s="17" t="s">
        <v>85</v>
      </c>
      <c r="B13" s="2">
        <v>-167840.89</v>
      </c>
      <c r="C13" s="2">
        <v>-4287596.988</v>
      </c>
      <c r="D13" s="2">
        <v>4703794.876</v>
      </c>
      <c r="E13" s="2">
        <f aca="true" t="shared" si="1" ref="E13:G14">B13-B$11</f>
        <v>0.003499999991618097</v>
      </c>
      <c r="F13" s="2">
        <f t="shared" si="1"/>
        <v>-0.005749999545514584</v>
      </c>
      <c r="G13" s="2">
        <f t="shared" si="1"/>
        <v>0.004999999888241291</v>
      </c>
    </row>
    <row r="14" spans="1:7" ht="12.75">
      <c r="A14" s="17" t="s">
        <v>86</v>
      </c>
      <c r="B14" s="2">
        <v>-167840.894</v>
      </c>
      <c r="C14" s="2">
        <v>-4287596.998</v>
      </c>
      <c r="D14" s="2">
        <v>4703794.882</v>
      </c>
      <c r="E14" s="2">
        <f t="shared" si="1"/>
        <v>-0.0004999999946448952</v>
      </c>
      <c r="F14" s="2">
        <f t="shared" si="1"/>
        <v>-0.015749999321997166</v>
      </c>
      <c r="G14" s="2">
        <f t="shared" si="1"/>
        <v>0.010999999940395355</v>
      </c>
    </row>
    <row r="15" spans="1:7" ht="12.75">
      <c r="A15" s="17"/>
      <c r="B15" s="2"/>
      <c r="C15" s="2"/>
      <c r="D15" s="2"/>
      <c r="E15" s="2"/>
      <c r="F15" s="2"/>
      <c r="G15" s="2"/>
    </row>
    <row r="16" spans="1:8" ht="14.25">
      <c r="A16" s="1" t="s">
        <v>83</v>
      </c>
      <c r="B16" s="2">
        <f>SUM(B13:B14)/2</f>
        <v>-167840.892</v>
      </c>
      <c r="C16" s="2">
        <f>SUM(C13:C14)/2</f>
        <v>-4287596.993</v>
      </c>
      <c r="D16" s="2">
        <f>SUM(D13:D14)/2</f>
        <v>4703794.879000001</v>
      </c>
      <c r="E16" s="2">
        <f>$H$1*SUMSQ(E13:E14)</f>
        <v>0.03462499982264126</v>
      </c>
      <c r="F16" s="2">
        <f>$H$1*SUMSQ(F13:F14)</f>
        <v>0.7787161763632316</v>
      </c>
      <c r="G16" s="2">
        <f>$H$1*SUMSQ(G13:G14)</f>
        <v>0.40441999327197675</v>
      </c>
      <c r="H16" s="2">
        <f>SUM(E16:G16)</f>
        <v>1.2177611694578496</v>
      </c>
    </row>
    <row r="18" ht="12.75">
      <c r="A18" s="18" t="s">
        <v>78</v>
      </c>
    </row>
    <row r="19" spans="1:7" ht="12.75">
      <c r="A19" t="s">
        <v>87</v>
      </c>
      <c r="B19" s="2">
        <v>-311773.979</v>
      </c>
      <c r="C19" s="2">
        <v>469809.678</v>
      </c>
      <c r="D19" s="2">
        <v>471913.436</v>
      </c>
      <c r="E19" s="2">
        <f aca="true" t="shared" si="2" ref="E19:G21">B19-B$11+B$3</f>
        <v>-0.001999999978579581</v>
      </c>
      <c r="F19" s="2">
        <f t="shared" si="2"/>
        <v>0.0005000010132789612</v>
      </c>
      <c r="G19" s="2">
        <f t="shared" si="2"/>
        <v>0.0009999992325901985</v>
      </c>
    </row>
    <row r="20" spans="1:7" ht="12.75">
      <c r="A20" t="s">
        <v>88</v>
      </c>
      <c r="B20" s="2">
        <v>-311773.977</v>
      </c>
      <c r="C20" s="2">
        <v>469809.681</v>
      </c>
      <c r="D20" s="2">
        <v>471913.436</v>
      </c>
      <c r="E20" s="2">
        <f t="shared" si="2"/>
        <v>0</v>
      </c>
      <c r="F20" s="2">
        <f t="shared" si="2"/>
        <v>0.003500000573694706</v>
      </c>
      <c r="G20" s="2">
        <f t="shared" si="2"/>
        <v>0.0009999992325901985</v>
      </c>
    </row>
    <row r="21" spans="1:7" ht="12.75">
      <c r="A21" t="s">
        <v>89</v>
      </c>
      <c r="B21" s="2">
        <v>-311773.978</v>
      </c>
      <c r="C21" s="2">
        <v>469809.695</v>
      </c>
      <c r="D21" s="2">
        <v>471913.417</v>
      </c>
      <c r="E21" s="2">
        <f t="shared" si="2"/>
        <v>-0.0009999999892897904</v>
      </c>
      <c r="F21" s="2">
        <f t="shared" si="2"/>
        <v>0.01750000100582838</v>
      </c>
      <c r="G21" s="2">
        <f t="shared" si="2"/>
        <v>-0.018000000156462193</v>
      </c>
    </row>
    <row r="22" spans="1:7" ht="12.75">
      <c r="A22" s="1" t="s">
        <v>90</v>
      </c>
      <c r="B22" s="2"/>
      <c r="C22" s="2"/>
      <c r="D22" s="2"/>
      <c r="E22" s="13">
        <f>SUM(E19:E21)</f>
        <v>-0.002999999967869371</v>
      </c>
      <c r="F22" s="13">
        <f>SUM(F19:F21)</f>
        <v>0.021500002592802048</v>
      </c>
      <c r="G22" s="13">
        <f>SUM(G19:G21)</f>
        <v>-0.016000001691281796</v>
      </c>
    </row>
    <row r="23" spans="1:7" ht="12.75">
      <c r="A23" s="1" t="s">
        <v>91</v>
      </c>
      <c r="B23" s="2"/>
      <c r="C23" s="2"/>
      <c r="D23" s="2"/>
      <c r="E23" s="13">
        <f>E22/8</f>
        <v>-0.0003749999959836714</v>
      </c>
      <c r="F23" s="13">
        <f>F22/8</f>
        <v>0.002687500324100256</v>
      </c>
      <c r="G23" s="13">
        <f>G22/8</f>
        <v>-0.0020000002114102244</v>
      </c>
    </row>
    <row r="24" spans="1:7" ht="12.75">
      <c r="A24" s="1"/>
      <c r="B24" s="2"/>
      <c r="C24" s="2"/>
      <c r="D24" s="2"/>
      <c r="E24" s="13"/>
      <c r="F24" s="13"/>
      <c r="G24" s="13"/>
    </row>
    <row r="25" spans="5:7" ht="12.75">
      <c r="E25" s="1" t="s">
        <v>72</v>
      </c>
      <c r="F25" s="1" t="s">
        <v>73</v>
      </c>
      <c r="G25" s="1" t="s">
        <v>74</v>
      </c>
    </row>
    <row r="26" spans="1:8" ht="14.25">
      <c r="A26" s="1" t="s">
        <v>81</v>
      </c>
      <c r="E26" s="2">
        <f>$H$1*SUMSQ(E19:E21)</f>
        <v>0.013849999703327195</v>
      </c>
      <c r="F26" s="2">
        <f>$H$1*SUMSQ(F19:F21)</f>
        <v>0.8829376114457911</v>
      </c>
      <c r="G26" s="2">
        <f>$H$1*SUMSQ(G19:G21)</f>
        <v>0.9030200070995126</v>
      </c>
      <c r="H26" s="2">
        <f>E26+F26+G26</f>
        <v>1.799807618248631</v>
      </c>
    </row>
    <row r="27" ht="12.75">
      <c r="A27" s="1"/>
    </row>
    <row r="28" spans="1:8" ht="14.25">
      <c r="A28" s="1" t="s">
        <v>82</v>
      </c>
      <c r="E28" s="6">
        <f>E8+E16+E26</f>
        <v>0.4154999998871354</v>
      </c>
      <c r="F28" s="6">
        <f>F8+F16+F26</f>
        <v>3.3877100206277975</v>
      </c>
      <c r="G28" s="6">
        <f>G8+G16+G26</f>
        <v>2.1107400005778705</v>
      </c>
      <c r="H28" s="13">
        <f>E28+F28+G28</f>
        <v>5.913950021092804</v>
      </c>
    </row>
    <row r="30" spans="2:4" ht="12.75">
      <c r="B30" s="2"/>
      <c r="C30" s="2"/>
      <c r="D30" s="2"/>
    </row>
    <row r="31" spans="2:4" ht="12.75">
      <c r="B31" s="2"/>
      <c r="C31" s="2"/>
      <c r="D31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D27" sqref="D27"/>
    </sheetView>
  </sheetViews>
  <sheetFormatPr defaultColWidth="9.140625" defaultRowHeight="12.75"/>
  <cols>
    <col min="1" max="1" width="11.8515625" style="0" customWidth="1"/>
    <col min="2" max="2" width="13.00390625" style="0" customWidth="1"/>
    <col min="3" max="3" width="12.57421875" style="0" customWidth="1"/>
    <col min="4" max="5" width="12.140625" style="0" customWidth="1"/>
    <col min="6" max="6" width="2.8515625" style="0" customWidth="1"/>
    <col min="7" max="7" width="12.140625" style="0" customWidth="1"/>
  </cols>
  <sheetData>
    <row r="1" spans="1:11" ht="12.75">
      <c r="A1" s="1" t="s">
        <v>39</v>
      </c>
      <c r="B1" s="1" t="s">
        <v>40</v>
      </c>
      <c r="C1" s="1" t="s">
        <v>41</v>
      </c>
      <c r="D1" s="1" t="s">
        <v>47</v>
      </c>
      <c r="E1" s="4" t="s">
        <v>42</v>
      </c>
      <c r="F1" s="1"/>
      <c r="G1" s="1" t="s">
        <v>46</v>
      </c>
      <c r="H1" s="1" t="s">
        <v>43</v>
      </c>
      <c r="I1" s="1" t="s">
        <v>44</v>
      </c>
      <c r="J1" s="1" t="s">
        <v>45</v>
      </c>
      <c r="K1" s="1" t="s">
        <v>48</v>
      </c>
    </row>
    <row r="2" spans="1:7" ht="14.25">
      <c r="A2" s="1"/>
      <c r="B2" s="1"/>
      <c r="C2" s="1"/>
      <c r="D2" s="1"/>
      <c r="E2" s="15"/>
      <c r="F2" s="5"/>
      <c r="G2" s="1" t="s">
        <v>68</v>
      </c>
    </row>
    <row r="3" spans="1:7" ht="12.75">
      <c r="A3" s="12" t="s">
        <v>35</v>
      </c>
      <c r="B3" s="12" t="s">
        <v>118</v>
      </c>
      <c r="C3" s="10" t="s">
        <v>308</v>
      </c>
      <c r="F3" s="1"/>
      <c r="G3" s="1" t="s">
        <v>50</v>
      </c>
    </row>
    <row r="4" spans="1:7" ht="14.25">
      <c r="A4" s="2">
        <v>671108.531568987</v>
      </c>
      <c r="B4" s="2">
        <v>-297424.0160414311</v>
      </c>
      <c r="C4" s="2">
        <v>-42175.38968296704</v>
      </c>
      <c r="D4">
        <f>360+ATAN(B4/A4)*180/PI()</f>
        <v>336.09788416526794</v>
      </c>
      <c r="E4">
        <f>ASIN(C4/G4)*180/PI()</f>
        <v>-3.288300687302873</v>
      </c>
      <c r="F4" s="15">
        <v>0</v>
      </c>
      <c r="G4">
        <f>SQRT(A4*A4+B4*B4+C4*C4)</f>
        <v>735273.0580932539</v>
      </c>
    </row>
    <row r="5" spans="1:6" ht="12.75">
      <c r="A5" s="2"/>
      <c r="B5" s="2"/>
      <c r="C5" s="2"/>
      <c r="D5">
        <f>(D4-FLOOR(D4,1))*60</f>
        <v>5.873049916076525</v>
      </c>
      <c r="E5">
        <f>(ABS(E4)-FLOOR(ABS(E4),1))*60</f>
        <v>17.29804123817237</v>
      </c>
      <c r="F5" s="5" t="s">
        <v>17</v>
      </c>
    </row>
    <row r="6" spans="4:6" ht="12.75">
      <c r="D6" s="13">
        <f>(D5-FLOOR(D5,1))*60</f>
        <v>52.38299496459149</v>
      </c>
      <c r="E6" s="13">
        <f>(ABS(E5)-FLOOR(ABS(E5),1))*60</f>
        <v>17.882474290342216</v>
      </c>
      <c r="F6" s="4" t="s">
        <v>18</v>
      </c>
    </row>
    <row r="7" spans="4:6" ht="12.75">
      <c r="D7" s="13"/>
      <c r="E7" s="13"/>
      <c r="F7" s="4"/>
    </row>
    <row r="8" spans="1:2" ht="12.75">
      <c r="A8" s="11" t="s">
        <v>52</v>
      </c>
      <c r="B8" s="16" t="s">
        <v>53</v>
      </c>
    </row>
    <row r="9" spans="1:11" ht="14.25">
      <c r="A9">
        <v>671107.8061</v>
      </c>
      <c r="B9">
        <v>-297423.7202</v>
      </c>
      <c r="C9">
        <v>-42175.3402</v>
      </c>
      <c r="D9">
        <f>360+ATAN(B9/A9)*180/PI()</f>
        <v>336.09788233317647</v>
      </c>
      <c r="E9">
        <f>ASIN(C9/G9)*180/PI()</f>
        <v>-3.2883003380749285</v>
      </c>
      <c r="F9" s="15">
        <v>0</v>
      </c>
      <c r="G9">
        <f>SQRT(A9*A9+B9*B9+C9*C9)</f>
        <v>735272.273424579</v>
      </c>
      <c r="H9" s="2">
        <f>A9-A$4</f>
        <v>-0.7254689869005233</v>
      </c>
      <c r="I9" s="2">
        <f>B9-B$4</f>
        <v>0.29584143112879246</v>
      </c>
      <c r="J9" s="2">
        <f>C9-C$4</f>
        <v>0.04948296704242239</v>
      </c>
      <c r="K9" s="2">
        <f>SQRT(SUMSQ(H9:I9:J9))</f>
        <v>0.7850324626116586</v>
      </c>
    </row>
    <row r="10" spans="4:11" ht="12.75">
      <c r="D10">
        <f>(D9-FLOOR(D9,1))*60</f>
        <v>5.872939990588293</v>
      </c>
      <c r="E10">
        <f>(ABS(E9)-FLOOR(ABS(E9),1))*60</f>
        <v>17.29802028449571</v>
      </c>
      <c r="F10" s="5" t="s">
        <v>17</v>
      </c>
      <c r="H10" s="2"/>
      <c r="I10" s="2"/>
      <c r="J10" s="2"/>
      <c r="K10" s="2"/>
    </row>
    <row r="11" spans="4:11" ht="12.75">
      <c r="D11" s="13">
        <f>(D10-FLOOR(D10,1))*60</f>
        <v>52.37639943529757</v>
      </c>
      <c r="E11" s="13">
        <f>(ABS(E10)-FLOOR(ABS(E10),1))*60</f>
        <v>17.88121706974259</v>
      </c>
      <c r="F11" s="4" t="s">
        <v>18</v>
      </c>
      <c r="G11" s="2">
        <f>G9-G$4</f>
        <v>-0.7846686749253422</v>
      </c>
      <c r="H11" s="24" t="s">
        <v>121</v>
      </c>
      <c r="I11" s="2"/>
      <c r="J11" s="2"/>
      <c r="K11" s="2"/>
    </row>
    <row r="12" spans="4:11" ht="12.75">
      <c r="D12" s="13">
        <f>D11-D$6</f>
        <v>-0.006595529293917934</v>
      </c>
      <c r="E12" s="13">
        <f>E$6-E11</f>
        <v>0.0012572205996264074</v>
      </c>
      <c r="F12" s="23" t="s">
        <v>120</v>
      </c>
      <c r="G12" s="2"/>
      <c r="H12" s="2"/>
      <c r="I12" s="2"/>
      <c r="J12" s="2"/>
      <c r="K12" s="2"/>
    </row>
    <row r="13" spans="1:2" ht="12.75">
      <c r="A13" s="11" t="s">
        <v>57</v>
      </c>
      <c r="B13" s="16" t="s">
        <v>56</v>
      </c>
    </row>
    <row r="14" spans="1:11" ht="14.25">
      <c r="A14">
        <v>671108.3026</v>
      </c>
      <c r="B14">
        <v>-297424.0447</v>
      </c>
      <c r="C14">
        <v>-42175.4081</v>
      </c>
      <c r="D14">
        <f>360+ATAN(B14/A14)*180/PI()</f>
        <v>336.09787487903674</v>
      </c>
      <c r="E14">
        <f>ASIN(C14/G14)*180/PI()</f>
        <v>-3.288303003842727</v>
      </c>
      <c r="F14" s="15">
        <v>0</v>
      </c>
      <c r="G14">
        <f>SQRT(A14*A14+B14*B14+C14*C14)</f>
        <v>735272.861754575</v>
      </c>
      <c r="H14" s="2">
        <f>A14-A$4</f>
        <v>-0.2289689868921414</v>
      </c>
      <c r="I14" s="2">
        <f>B14-B$4</f>
        <v>-0.028658568917308003</v>
      </c>
      <c r="J14" s="2">
        <f>C14-C$4</f>
        <v>-0.018417032959405333</v>
      </c>
      <c r="K14" s="2">
        <f>SQRT(SUMSQ(H14:I14:J14))</f>
        <v>0.23148930349765523</v>
      </c>
    </row>
    <row r="15" spans="4:11" ht="12.75">
      <c r="D15">
        <f>(D14-FLOOR(D14,1))*60</f>
        <v>5.872492742204258</v>
      </c>
      <c r="E15">
        <f>(ABS(E14)-FLOOR(ABS(E14),1))*60</f>
        <v>17.29818023056362</v>
      </c>
      <c r="F15" s="5" t="s">
        <v>17</v>
      </c>
      <c r="H15" s="2"/>
      <c r="I15" s="2"/>
      <c r="J15" s="2"/>
      <c r="K15" s="2"/>
    </row>
    <row r="16" spans="4:11" ht="12.75">
      <c r="D16" s="13">
        <f>(D15-FLOOR(D15,1))*60</f>
        <v>52.3495645322555</v>
      </c>
      <c r="E16" s="13">
        <f>(ABS(E15)-FLOOR(ABS(E15),1))*60</f>
        <v>17.890813833817205</v>
      </c>
      <c r="F16" s="4" t="s">
        <v>18</v>
      </c>
      <c r="G16" s="2">
        <f>G14-G$4</f>
        <v>-0.19633867882657796</v>
      </c>
      <c r="H16" s="24" t="s">
        <v>121</v>
      </c>
      <c r="I16" s="2"/>
      <c r="J16" s="2"/>
      <c r="K16" s="2"/>
    </row>
    <row r="17" spans="4:11" ht="12.75">
      <c r="D17" s="13">
        <f>D16-D$6</f>
        <v>-0.03343043233599019</v>
      </c>
      <c r="E17" s="13">
        <f>E$6-E16</f>
        <v>-0.008339543474988886</v>
      </c>
      <c r="F17" s="23" t="s">
        <v>120</v>
      </c>
      <c r="G17" s="2"/>
      <c r="H17" s="2"/>
      <c r="I17" s="2"/>
      <c r="J17" s="2"/>
      <c r="K17" s="2"/>
    </row>
    <row r="18" ht="12.75">
      <c r="B18" s="10" t="s">
        <v>309</v>
      </c>
    </row>
    <row r="19" spans="1:11" ht="14.25">
      <c r="A19" s="2">
        <v>671115.0186478436</v>
      </c>
      <c r="B19" s="2">
        <v>-297424.34621999203</v>
      </c>
      <c r="C19" s="2">
        <v>-42167.603168852045</v>
      </c>
      <c r="D19">
        <f>360+ATAN(B19/A19)*180/PI()</f>
        <v>336.09806575738094</v>
      </c>
      <c r="E19">
        <f>ASIN(C19/G19)*180/PI()</f>
        <v>-3.2876678239909616</v>
      </c>
      <c r="F19" s="15">
        <v>0</v>
      </c>
      <c r="G19" s="2">
        <f>SQRT(A19*A19+B19*B19+C19*C19)</f>
        <v>735278.6660417198</v>
      </c>
      <c r="H19" s="2">
        <f>A19-A$4</f>
        <v>6.487078856676817</v>
      </c>
      <c r="I19" s="2">
        <f>B19-B$4</f>
        <v>-0.3301785609219223</v>
      </c>
      <c r="J19" s="2">
        <f>C19-C$4</f>
        <v>7.786514114995953</v>
      </c>
      <c r="K19" s="2">
        <f>SQRT(SUMSQ(H19:I19:J19))</f>
        <v>10.140069626874713</v>
      </c>
    </row>
    <row r="20" spans="4:6" ht="12.75">
      <c r="D20">
        <f>(D19-FLOOR(D19,1))*60</f>
        <v>5.883945442856202</v>
      </c>
      <c r="E20">
        <f>(ABS(E19)-FLOOR(ABS(E19),1))*60</f>
        <v>17.260069439457695</v>
      </c>
      <c r="F20" s="5" t="s">
        <v>17</v>
      </c>
    </row>
    <row r="21" spans="4:7" ht="12.75">
      <c r="D21" s="13">
        <f>(D20-FLOOR(D20,1))*60</f>
        <v>53.03672657137213</v>
      </c>
      <c r="E21" s="13">
        <f>(ABS(E20)-FLOOR(ABS(E20),1))*60</f>
        <v>15.604166367461687</v>
      </c>
      <c r="F21" s="4" t="s">
        <v>18</v>
      </c>
      <c r="G21" s="2">
        <f>G19-G$4</f>
        <v>5.607948465971276</v>
      </c>
    </row>
    <row r="22" spans="4:6" ht="12.75">
      <c r="D22" s="13">
        <f>D21-D$6</f>
        <v>0.6537316067806387</v>
      </c>
      <c r="E22" s="13">
        <f>E$6-E21</f>
        <v>2.278307922880529</v>
      </c>
      <c r="F22" s="23" t="s">
        <v>120</v>
      </c>
    </row>
    <row r="23" spans="1:11" ht="12.75">
      <c r="A23" s="12" t="s">
        <v>36</v>
      </c>
      <c r="B23" s="12" t="s">
        <v>119</v>
      </c>
      <c r="C23" s="9" t="s">
        <v>54</v>
      </c>
      <c r="D23" s="1"/>
      <c r="E23" s="1"/>
      <c r="F23" s="1"/>
      <c r="G23" s="1"/>
      <c r="H23" s="2"/>
      <c r="I23" s="2"/>
      <c r="J23" s="2"/>
      <c r="K23" s="2"/>
    </row>
    <row r="24" spans="1:11" ht="14.25">
      <c r="A24" s="2">
        <v>671108.54</v>
      </c>
      <c r="B24" s="2">
        <v>-297424.003</v>
      </c>
      <c r="C24" s="2">
        <v>-42175.396</v>
      </c>
      <c r="D24">
        <f>360+ATAN(B24/A24)*180/PI()</f>
        <v>336.0978853625248</v>
      </c>
      <c r="E24">
        <f>ASIN(C24/G24)*180/PI()</f>
        <v>-3.288301167909754</v>
      </c>
      <c r="F24" s="15">
        <v>0</v>
      </c>
      <c r="G24">
        <f>SQRT(A24*A24+B24*B24+C24*C24)</f>
        <v>735273.0608755039</v>
      </c>
      <c r="H24" s="2">
        <f>A24-A$4</f>
        <v>0.008431013091467321</v>
      </c>
      <c r="I24" s="2">
        <f>B24-B$4</f>
        <v>0.013041431084275246</v>
      </c>
      <c r="J24" s="2">
        <f>C24-C$4</f>
        <v>-0.0063170329594868235</v>
      </c>
      <c r="K24" s="2">
        <f>SQRT(SUMSQ(H24:I24:J24))</f>
        <v>0.0167650175032905</v>
      </c>
    </row>
    <row r="25" spans="4:6" ht="12.75">
      <c r="D25">
        <f>(D24-FLOOR(D24,1))*60</f>
        <v>5.8731217514866785</v>
      </c>
      <c r="E25">
        <f>(ABS(E24)-FLOOR(ABS(E24),1))*60</f>
        <v>17.298070074585226</v>
      </c>
      <c r="F25" s="5" t="s">
        <v>17</v>
      </c>
    </row>
    <row r="26" spans="4:8" ht="12.75">
      <c r="D26" s="13">
        <f>(D25-FLOOR(D25,1))*60</f>
        <v>52.38730508920071</v>
      </c>
      <c r="E26" s="13">
        <f>(ABS(E25)-FLOOR(ABS(E25),1))*60</f>
        <v>17.884204475113563</v>
      </c>
      <c r="F26" s="4" t="s">
        <v>18</v>
      </c>
      <c r="G26" s="2">
        <f>G24-G$4</f>
        <v>0.0027822500560432673</v>
      </c>
      <c r="H26" s="24" t="s">
        <v>121</v>
      </c>
    </row>
    <row r="27" spans="4:7" ht="12.75">
      <c r="D27" s="13">
        <f>D26-D$6</f>
        <v>0.004310124609219201</v>
      </c>
      <c r="E27" s="13">
        <f>E$6-E26</f>
        <v>-0.0017301847713468987</v>
      </c>
      <c r="F27" s="23" t="s">
        <v>120</v>
      </c>
      <c r="G27" s="2"/>
    </row>
  </sheetData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1" sqref="A1:G8"/>
    </sheetView>
  </sheetViews>
  <sheetFormatPr defaultColWidth="9.140625" defaultRowHeight="12.75"/>
  <cols>
    <col min="1" max="1" width="5.8515625" style="0" customWidth="1"/>
    <col min="2" max="2" width="10.8515625" style="0" customWidth="1"/>
    <col min="3" max="3" width="7.7109375" style="0" customWidth="1"/>
    <col min="4" max="4" width="6.421875" style="0" customWidth="1"/>
    <col min="5" max="5" width="7.00390625" style="0" customWidth="1"/>
    <col min="6" max="6" width="9.00390625" style="0" customWidth="1"/>
    <col min="7" max="7" width="10.00390625" style="0" customWidth="1"/>
  </cols>
  <sheetData>
    <row r="1" spans="1:9" ht="12.75">
      <c r="A1" t="s">
        <v>310</v>
      </c>
      <c r="B1" s="1" t="s">
        <v>313</v>
      </c>
      <c r="C1" s="1" t="s">
        <v>362</v>
      </c>
      <c r="D1" s="1" t="s">
        <v>357</v>
      </c>
      <c r="E1" t="s">
        <v>320</v>
      </c>
      <c r="F1" s="1" t="s">
        <v>356</v>
      </c>
      <c r="G1" s="1" t="s">
        <v>368</v>
      </c>
      <c r="H1" s="1"/>
      <c r="I1" s="1"/>
    </row>
    <row r="2" spans="3:7" ht="12.75">
      <c r="C2" s="1" t="s">
        <v>363</v>
      </c>
      <c r="D2" s="1" t="s">
        <v>358</v>
      </c>
      <c r="E2" s="1" t="s">
        <v>360</v>
      </c>
      <c r="F2" s="1" t="s">
        <v>355</v>
      </c>
      <c r="G2" s="1" t="s">
        <v>367</v>
      </c>
    </row>
    <row r="3" spans="3:7" ht="12.75">
      <c r="C3" s="1" t="s">
        <v>361</v>
      </c>
      <c r="D3" s="1"/>
      <c r="E3" s="1"/>
      <c r="F3" s="1" t="s">
        <v>359</v>
      </c>
      <c r="G3" s="4" t="s">
        <v>366</v>
      </c>
    </row>
    <row r="4" spans="3:7" ht="12.75">
      <c r="C4" s="1"/>
      <c r="D4" s="1"/>
      <c r="E4" s="1"/>
      <c r="F4" s="1"/>
      <c r="G4" s="4"/>
    </row>
    <row r="5" spans="1:6" ht="12.75">
      <c r="A5" s="14">
        <v>1999</v>
      </c>
      <c r="B5" t="s">
        <v>317</v>
      </c>
      <c r="C5" s="1">
        <v>26</v>
      </c>
      <c r="D5" s="1" t="s">
        <v>314</v>
      </c>
      <c r="E5" s="1" t="s">
        <v>314</v>
      </c>
      <c r="F5" s="1" t="s">
        <v>314</v>
      </c>
    </row>
    <row r="6" spans="1:7" ht="12.75">
      <c r="A6" s="141">
        <v>1998</v>
      </c>
      <c r="B6" s="142" t="s">
        <v>317</v>
      </c>
      <c r="C6" s="150">
        <v>6</v>
      </c>
      <c r="D6" s="150" t="s">
        <v>315</v>
      </c>
      <c r="E6" s="150" t="s">
        <v>314</v>
      </c>
      <c r="F6" s="150" t="s">
        <v>315</v>
      </c>
      <c r="G6" s="143">
        <f>Sheet5!K14</f>
        <v>0.23148930349765523</v>
      </c>
    </row>
    <row r="7" spans="1:7" ht="12.75">
      <c r="A7" s="145">
        <v>1994</v>
      </c>
      <c r="B7" s="151" t="s">
        <v>317</v>
      </c>
      <c r="C7" s="152">
        <v>1</v>
      </c>
      <c r="D7" s="152" t="s">
        <v>315</v>
      </c>
      <c r="E7" s="152" t="s">
        <v>315</v>
      </c>
      <c r="F7" s="152" t="s">
        <v>315</v>
      </c>
      <c r="G7" s="147">
        <f>Sheet5!K9</f>
        <v>0.7850324626116586</v>
      </c>
    </row>
    <row r="8" spans="1:7" ht="12.75">
      <c r="A8" s="139">
        <v>2000</v>
      </c>
      <c r="B8" s="122" t="s">
        <v>318</v>
      </c>
      <c r="C8" s="121" t="s">
        <v>364</v>
      </c>
      <c r="D8" s="121" t="s">
        <v>315</v>
      </c>
      <c r="E8" s="121" t="s">
        <v>315</v>
      </c>
      <c r="F8" s="121" t="s">
        <v>315</v>
      </c>
      <c r="G8" s="140">
        <f>Sheet5!K19</f>
        <v>10.140069626874713</v>
      </c>
    </row>
    <row r="10" spans="7:9" ht="12.75">
      <c r="G10" s="23"/>
      <c r="H10" s="2"/>
      <c r="I10" s="2"/>
    </row>
    <row r="11" spans="7:9" ht="12.75">
      <c r="G11" s="2"/>
      <c r="H11" s="2"/>
      <c r="I11" s="2"/>
    </row>
    <row r="12" spans="7:9" ht="12.75">
      <c r="G12" s="2"/>
      <c r="H12" s="2"/>
      <c r="I12" s="2"/>
    </row>
    <row r="13" spans="7:9" ht="12.75">
      <c r="G13" s="2"/>
      <c r="H13" s="2"/>
      <c r="I13" s="2"/>
    </row>
    <row r="15" spans="7:9" ht="12.75">
      <c r="G15" s="2"/>
      <c r="H15" s="2"/>
      <c r="I15" s="2"/>
    </row>
    <row r="16" spans="7:9" ht="12.75">
      <c r="G16" s="2"/>
      <c r="H16" s="2"/>
      <c r="I16" s="2"/>
    </row>
    <row r="17" spans="7:9" ht="12.75">
      <c r="G17" s="2"/>
      <c r="H17" s="2"/>
      <c r="I17" s="2"/>
    </row>
    <row r="18" spans="7:9" ht="12.75">
      <c r="G18" s="2"/>
      <c r="H18" s="2"/>
      <c r="I18" s="2"/>
    </row>
    <row r="20" spans="7:9" ht="12.75">
      <c r="G20" s="2"/>
      <c r="H20" s="2"/>
      <c r="I20" s="2"/>
    </row>
    <row r="24" spans="7:9" ht="12.75">
      <c r="G24" s="2"/>
      <c r="H24" s="2"/>
      <c r="I24" s="2"/>
    </row>
    <row r="25" spans="7:9" ht="12.75">
      <c r="G25" s="2"/>
      <c r="H25" s="2"/>
      <c r="I25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D45" sqref="D45"/>
    </sheetView>
  </sheetViews>
  <sheetFormatPr defaultColWidth="9.140625" defaultRowHeight="12.75"/>
  <cols>
    <col min="1" max="1" width="5.8515625" style="0" customWidth="1"/>
    <col min="2" max="2" width="7.28125" style="0" customWidth="1"/>
    <col min="3" max="3" width="2.28125" style="0" customWidth="1"/>
    <col min="4" max="4" width="6.7109375" style="0" customWidth="1"/>
    <col min="5" max="5" width="5.57421875" style="0" customWidth="1"/>
    <col min="6" max="6" width="2.8515625" style="0" customWidth="1"/>
    <col min="7" max="7" width="6.57421875" style="0" customWidth="1"/>
    <col min="8" max="8" width="11.7109375" style="0" customWidth="1"/>
    <col min="9" max="9" width="5.7109375" style="0" customWidth="1"/>
    <col min="10" max="11" width="11.00390625" style="0" customWidth="1"/>
    <col min="12" max="12" width="10.28125" style="0" customWidth="1"/>
  </cols>
  <sheetData>
    <row r="1" spans="1:13" ht="12.75">
      <c r="A1" t="s">
        <v>310</v>
      </c>
      <c r="D1" s="4" t="s">
        <v>321</v>
      </c>
      <c r="G1" s="4" t="s">
        <v>322</v>
      </c>
      <c r="H1" s="4" t="s">
        <v>319</v>
      </c>
      <c r="I1" s="14" t="s">
        <v>310</v>
      </c>
      <c r="J1" s="4" t="s">
        <v>311</v>
      </c>
      <c r="K1" s="4" t="s">
        <v>312</v>
      </c>
      <c r="L1" s="4" t="s">
        <v>365</v>
      </c>
      <c r="M1" s="4" t="s">
        <v>323</v>
      </c>
    </row>
    <row r="2" spans="2:13" ht="14.25">
      <c r="B2" s="15">
        <v>0</v>
      </c>
      <c r="C2" s="5" t="s">
        <v>17</v>
      </c>
      <c r="D2" s="4" t="s">
        <v>18</v>
      </c>
      <c r="E2" s="15">
        <v>0</v>
      </c>
      <c r="F2" s="5" t="s">
        <v>17</v>
      </c>
      <c r="G2" s="4" t="s">
        <v>18</v>
      </c>
      <c r="H2" s="4" t="s">
        <v>366</v>
      </c>
      <c r="I2" s="14"/>
      <c r="J2" s="4" t="s">
        <v>366</v>
      </c>
      <c r="K2" s="4" t="s">
        <v>366</v>
      </c>
      <c r="L2" s="4" t="s">
        <v>366</v>
      </c>
      <c r="M2" s="4" t="s">
        <v>366</v>
      </c>
    </row>
    <row r="3" spans="2:13" ht="14.25">
      <c r="B3" s="15"/>
      <c r="C3" s="5"/>
      <c r="D3" s="4"/>
      <c r="E3" s="15"/>
      <c r="F3" s="5"/>
      <c r="G3" s="4"/>
      <c r="H3" s="4"/>
      <c r="I3" s="14"/>
      <c r="J3" s="4"/>
      <c r="K3" s="4"/>
      <c r="L3" s="4"/>
      <c r="M3" s="4"/>
    </row>
    <row r="4" spans="1:12" ht="12.75">
      <c r="A4" s="14">
        <v>1999</v>
      </c>
      <c r="B4">
        <f>FLOOR(Sheet5!D4,1)</f>
        <v>336</v>
      </c>
      <c r="C4">
        <f>FLOOR(Sheet5!D5,1)</f>
        <v>5</v>
      </c>
      <c r="D4" s="135">
        <f>Sheet5!D6</f>
        <v>52.38299496459149</v>
      </c>
      <c r="E4" s="134">
        <f>-FLOOR(ABS(Sheet5!E4),1)</f>
        <v>-3</v>
      </c>
      <c r="F4">
        <f>FLOOR(Sheet5!E5,1)</f>
        <v>17</v>
      </c>
      <c r="G4" s="135">
        <f>Sheet5!E6</f>
        <v>17.882474290342216</v>
      </c>
      <c r="H4" s="135">
        <f>Sheet5!G4</f>
        <v>735273.0580932539</v>
      </c>
      <c r="I4" s="14">
        <v>1999</v>
      </c>
      <c r="J4" s="135">
        <v>671108.531568987</v>
      </c>
      <c r="K4" s="135">
        <v>-297424.0160414311</v>
      </c>
      <c r="L4" s="135">
        <v>-42175.38968296704</v>
      </c>
    </row>
    <row r="5" spans="1:13" ht="12.75">
      <c r="A5" s="141">
        <v>1998</v>
      </c>
      <c r="B5" s="142"/>
      <c r="C5" s="142"/>
      <c r="D5" s="143">
        <f>Sheet5!D17</f>
        <v>-0.03343043233599019</v>
      </c>
      <c r="E5" s="142"/>
      <c r="F5" s="144"/>
      <c r="G5" s="143">
        <f>Sheet5!E17</f>
        <v>-0.008339543474988886</v>
      </c>
      <c r="H5" s="143">
        <f>Sheet5!G16</f>
        <v>-0.19633867882657796</v>
      </c>
      <c r="I5" s="141">
        <v>1998</v>
      </c>
      <c r="J5" s="143">
        <v>-0.2289689868921414</v>
      </c>
      <c r="K5" s="143">
        <v>-0.028658568917308003</v>
      </c>
      <c r="L5" s="143">
        <v>-0.018417032959405333</v>
      </c>
      <c r="M5" s="143">
        <v>0.23148930349765523</v>
      </c>
    </row>
    <row r="6" spans="1:13" ht="12.75">
      <c r="A6" s="145">
        <v>1994</v>
      </c>
      <c r="B6" s="146"/>
      <c r="C6" s="146"/>
      <c r="D6" s="147">
        <f>Sheet5!D12</f>
        <v>-0.006595529293917934</v>
      </c>
      <c r="E6" s="146"/>
      <c r="F6" s="148"/>
      <c r="G6" s="147">
        <f>Sheet5!E12</f>
        <v>0.0012572205996264074</v>
      </c>
      <c r="H6" s="147">
        <f>Sheet5!G11</f>
        <v>-0.7846686749253422</v>
      </c>
      <c r="I6" s="145">
        <v>1994</v>
      </c>
      <c r="J6" s="147">
        <v>-0.7254689869005233</v>
      </c>
      <c r="K6" s="147">
        <v>0.29584143112879246</v>
      </c>
      <c r="L6" s="147">
        <v>0.04948296704242239</v>
      </c>
      <c r="M6" s="147">
        <v>0.7850324626116586</v>
      </c>
    </row>
    <row r="7" spans="1:13" ht="12.75">
      <c r="A7" s="139">
        <v>2000</v>
      </c>
      <c r="B7" s="25"/>
      <c r="C7" s="25"/>
      <c r="D7" s="140">
        <f>Sheet5!D22</f>
        <v>0.6537316067806387</v>
      </c>
      <c r="E7" s="25"/>
      <c r="F7" s="149"/>
      <c r="G7" s="140">
        <f>Sheet5!E22</f>
        <v>2.278307922880529</v>
      </c>
      <c r="H7" s="140">
        <f>Sheet5!G21</f>
        <v>5.607948465971276</v>
      </c>
      <c r="I7" s="139">
        <v>2000</v>
      </c>
      <c r="J7" s="140">
        <v>6.487078856676817</v>
      </c>
      <c r="K7" s="140">
        <v>-0.3301785609219223</v>
      </c>
      <c r="L7" s="140">
        <v>7.786514114995953</v>
      </c>
      <c r="M7" s="140">
        <v>10.140069626874713</v>
      </c>
    </row>
    <row r="9" spans="6:12" ht="14.25">
      <c r="F9" s="15"/>
      <c r="H9" s="2"/>
      <c r="I9" s="2"/>
      <c r="J9" s="2"/>
      <c r="K9" s="2"/>
      <c r="L9" s="2"/>
    </row>
    <row r="10" spans="6:12" ht="12.75">
      <c r="F10" s="5"/>
      <c r="H10" s="2"/>
      <c r="I10" s="2"/>
      <c r="J10" s="2"/>
      <c r="K10" s="2"/>
      <c r="L10" s="2"/>
    </row>
    <row r="11" spans="2:12" ht="12.75">
      <c r="B11" s="13"/>
      <c r="C11" s="13"/>
      <c r="D11" s="13"/>
      <c r="E11" s="13"/>
      <c r="F11" s="4"/>
      <c r="G11" s="2"/>
      <c r="H11" s="24"/>
      <c r="I11" s="24"/>
      <c r="J11" s="2"/>
      <c r="K11" s="2"/>
      <c r="L11" s="2"/>
    </row>
    <row r="12" spans="2:12" ht="12.75">
      <c r="B12" s="13"/>
      <c r="C12" s="13"/>
      <c r="D12" s="13"/>
      <c r="E12" s="13"/>
      <c r="F12" s="23"/>
      <c r="G12" s="2"/>
      <c r="H12" s="2"/>
      <c r="I12" s="2"/>
      <c r="J12" s="2"/>
      <c r="K12" s="2"/>
      <c r="L12" s="2"/>
    </row>
    <row r="14" spans="6:12" ht="14.25">
      <c r="F14" s="15"/>
      <c r="H14" s="2"/>
      <c r="I14" s="2"/>
      <c r="J14" s="2"/>
      <c r="K14" s="2"/>
      <c r="L14" s="2"/>
    </row>
    <row r="15" spans="6:12" ht="12.75">
      <c r="F15" s="5"/>
      <c r="H15" s="2"/>
      <c r="I15" s="2"/>
      <c r="J15" s="2"/>
      <c r="K15" s="2"/>
      <c r="L15" s="2"/>
    </row>
    <row r="16" spans="2:12" ht="12.75">
      <c r="B16" s="13"/>
      <c r="C16" s="13"/>
      <c r="D16" s="13"/>
      <c r="E16" s="13"/>
      <c r="F16" s="4"/>
      <c r="G16" s="2"/>
      <c r="H16" s="24"/>
      <c r="I16" s="24"/>
      <c r="J16" s="2"/>
      <c r="K16" s="2"/>
      <c r="L16" s="2"/>
    </row>
    <row r="17" spans="2:12" ht="12.75">
      <c r="B17" s="13"/>
      <c r="C17" s="13"/>
      <c r="D17" s="13"/>
      <c r="E17" s="13"/>
      <c r="F17" s="23"/>
      <c r="G17" s="2"/>
      <c r="H17" s="2"/>
      <c r="I17" s="2"/>
      <c r="J17" s="2"/>
      <c r="K17" s="2"/>
      <c r="L17" s="2"/>
    </row>
    <row r="19" spans="6:12" ht="14.25">
      <c r="F19" s="15"/>
      <c r="G19" s="2"/>
      <c r="H19" s="2"/>
      <c r="I19" s="2"/>
      <c r="J19" s="2"/>
      <c r="K19" s="2"/>
      <c r="L19" s="2"/>
    </row>
    <row r="20" ht="12.75">
      <c r="F20" s="5"/>
    </row>
    <row r="21" spans="2:7" ht="12.75">
      <c r="B21" s="13"/>
      <c r="C21" s="13"/>
      <c r="D21" s="13"/>
      <c r="E21" s="13"/>
      <c r="F21" s="4"/>
      <c r="G21" s="2"/>
    </row>
    <row r="22" spans="2:6" ht="12.75">
      <c r="B22" s="13"/>
      <c r="C22" s="13"/>
      <c r="D22" s="13"/>
      <c r="E22" s="13"/>
      <c r="F22" s="23"/>
    </row>
    <row r="23" spans="2:12" ht="12.75">
      <c r="B23" s="1"/>
      <c r="C23" s="1"/>
      <c r="D23" s="1"/>
      <c r="E23" s="1"/>
      <c r="F23" s="1"/>
      <c r="G23" s="1"/>
      <c r="H23" s="2"/>
      <c r="I23" s="2"/>
      <c r="J23" s="2"/>
      <c r="K23" s="2"/>
      <c r="L23" s="2"/>
    </row>
    <row r="24" spans="6:12" ht="14.25">
      <c r="F24" s="15"/>
      <c r="H24" s="2"/>
      <c r="I24" s="2"/>
      <c r="J24" s="2"/>
      <c r="K24" s="2"/>
      <c r="L24" s="2"/>
    </row>
    <row r="25" ht="12.75">
      <c r="F25" s="5"/>
    </row>
    <row r="26" spans="2:9" ht="12.75">
      <c r="B26" s="13"/>
      <c r="C26" s="13"/>
      <c r="D26" s="13"/>
      <c r="E26" s="13"/>
      <c r="F26" s="4"/>
      <c r="G26" s="2"/>
      <c r="H26" s="24"/>
      <c r="I26" s="24"/>
    </row>
    <row r="27" spans="2:7" ht="12.75">
      <c r="B27" s="13"/>
      <c r="C27" s="13"/>
      <c r="D27" s="13"/>
      <c r="E27" s="13"/>
      <c r="F27" s="23"/>
      <c r="G27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6"/>
  <dimension ref="A1:K39"/>
  <sheetViews>
    <sheetView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9.28125" style="0" customWidth="1"/>
    <col min="3" max="3" width="4.8515625" style="0" customWidth="1"/>
    <col min="4" max="4" width="3.421875" style="0" customWidth="1"/>
    <col min="5" max="5" width="9.8515625" style="0" customWidth="1"/>
    <col min="6" max="6" width="5.28125" style="0" customWidth="1"/>
    <col min="7" max="7" width="3.28125" style="0" customWidth="1"/>
    <col min="8" max="8" width="9.7109375" style="0" customWidth="1"/>
    <col min="9" max="9" width="9.8515625" style="0" customWidth="1"/>
    <col min="11" max="11" width="9.7109375" style="0" customWidth="1"/>
  </cols>
  <sheetData>
    <row r="1" spans="1:9" ht="12.75">
      <c r="A1" s="10" t="s">
        <v>114</v>
      </c>
      <c r="I1" t="s">
        <v>131</v>
      </c>
    </row>
    <row r="2" spans="1:9" ht="12.75">
      <c r="A2" s="10"/>
      <c r="I2" t="s">
        <v>132</v>
      </c>
    </row>
    <row r="3" spans="1:11" ht="12.75">
      <c r="A3" s="10"/>
      <c r="B3" t="s">
        <v>128</v>
      </c>
      <c r="C3" t="s">
        <v>133</v>
      </c>
      <c r="F3" t="s">
        <v>134</v>
      </c>
      <c r="I3" s="1" t="s">
        <v>15</v>
      </c>
      <c r="J3" s="1" t="s">
        <v>16</v>
      </c>
      <c r="K3" s="1" t="s">
        <v>11</v>
      </c>
    </row>
    <row r="4" spans="2:11" ht="14.25">
      <c r="B4" t="s">
        <v>129</v>
      </c>
      <c r="C4" s="3">
        <v>0</v>
      </c>
      <c r="D4" s="5" t="s">
        <v>17</v>
      </c>
      <c r="E4" s="4" t="s">
        <v>18</v>
      </c>
      <c r="F4" s="3">
        <v>0</v>
      </c>
      <c r="G4" s="5" t="s">
        <v>17</v>
      </c>
      <c r="H4" s="4" t="s">
        <v>18</v>
      </c>
      <c r="I4" s="1" t="s">
        <v>130</v>
      </c>
      <c r="J4" s="1" t="s">
        <v>130</v>
      </c>
      <c r="K4" s="1" t="s">
        <v>130</v>
      </c>
    </row>
    <row r="5" spans="3:8" ht="14.25">
      <c r="C5" s="3"/>
      <c r="D5" s="5"/>
      <c r="E5" s="4"/>
      <c r="F5" s="3"/>
      <c r="G5" s="5"/>
      <c r="H5" s="4"/>
    </row>
    <row r="6" spans="1:8" ht="12.75">
      <c r="A6" s="1">
        <v>6589</v>
      </c>
      <c r="B6" s="2">
        <v>197.365</v>
      </c>
      <c r="C6">
        <v>41</v>
      </c>
      <c r="D6">
        <v>49</v>
      </c>
      <c r="E6" s="6">
        <v>56.56656</v>
      </c>
      <c r="F6">
        <v>88</v>
      </c>
      <c r="G6">
        <v>16</v>
      </c>
      <c r="H6" s="6">
        <v>1.4595</v>
      </c>
    </row>
    <row r="7" spans="1:8" ht="12.75">
      <c r="A7" s="1" t="s">
        <v>28</v>
      </c>
      <c r="B7" s="2">
        <v>456.121</v>
      </c>
      <c r="C7">
        <v>47</v>
      </c>
      <c r="D7">
        <v>49</v>
      </c>
      <c r="E7" s="6">
        <v>11.79937</v>
      </c>
      <c r="F7">
        <v>92</v>
      </c>
      <c r="G7">
        <v>14</v>
      </c>
      <c r="H7" s="6">
        <v>30.25559</v>
      </c>
    </row>
    <row r="8" spans="1:11" ht="12.75">
      <c r="A8" s="1" t="s">
        <v>116</v>
      </c>
      <c r="B8" s="2">
        <v>456.795</v>
      </c>
      <c r="C8">
        <v>47</v>
      </c>
      <c r="D8">
        <v>49</v>
      </c>
      <c r="E8" s="6">
        <v>10.99191</v>
      </c>
      <c r="F8">
        <v>92</v>
      </c>
      <c r="G8">
        <v>14</v>
      </c>
      <c r="H8" s="6">
        <v>27.48875</v>
      </c>
      <c r="I8" s="2">
        <v>-24.940087453830557</v>
      </c>
      <c r="J8" s="2">
        <v>57.558210764093246</v>
      </c>
      <c r="K8" s="2">
        <v>0.6736919691796857</v>
      </c>
    </row>
    <row r="9" spans="1:11" ht="12.75">
      <c r="A9" s="1" t="s">
        <v>115</v>
      </c>
      <c r="B9" s="2">
        <v>456.089</v>
      </c>
      <c r="C9">
        <v>47</v>
      </c>
      <c r="D9">
        <v>49</v>
      </c>
      <c r="E9" s="6">
        <v>10.62841</v>
      </c>
      <c r="F9">
        <v>92</v>
      </c>
      <c r="G9">
        <v>14</v>
      </c>
      <c r="H9" s="6">
        <v>34.04084</v>
      </c>
      <c r="I9" s="2">
        <v>-36.16741876690649</v>
      </c>
      <c r="J9" s="2">
        <v>-78.74420482397632</v>
      </c>
      <c r="K9" s="2">
        <v>-0.03258781651136289</v>
      </c>
    </row>
    <row r="10" spans="1:11" ht="12.75">
      <c r="A10" s="1" t="s">
        <v>127</v>
      </c>
      <c r="B10" s="2">
        <v>456.67449</v>
      </c>
      <c r="C10">
        <v>47</v>
      </c>
      <c r="D10">
        <v>49</v>
      </c>
      <c r="E10" s="6">
        <v>10.7353193</v>
      </c>
      <c r="F10">
        <v>92</v>
      </c>
      <c r="G10">
        <v>14</v>
      </c>
      <c r="H10" s="6">
        <v>30.005899</v>
      </c>
      <c r="I10" s="2">
        <v>-32.86580061117884</v>
      </c>
      <c r="J10" s="2">
        <v>5.194296238170408</v>
      </c>
      <c r="K10" s="2">
        <v>0.5534031162754935</v>
      </c>
    </row>
    <row r="11" spans="1:11" ht="12.75">
      <c r="A11" s="1" t="s">
        <v>123</v>
      </c>
      <c r="B11" s="2">
        <v>265.08451</v>
      </c>
      <c r="C11">
        <v>47</v>
      </c>
      <c r="D11">
        <v>49</v>
      </c>
      <c r="E11" s="6">
        <v>12.0804733</v>
      </c>
      <c r="F11">
        <v>92</v>
      </c>
      <c r="G11">
        <v>14</v>
      </c>
      <c r="H11" s="6">
        <v>30.2116475</v>
      </c>
      <c r="I11" s="2">
        <v>8.682300774885064</v>
      </c>
      <c r="J11" s="2">
        <v>0.9140973492893263</v>
      </c>
      <c r="K11" s="2">
        <v>-191.03649598121984</v>
      </c>
    </row>
    <row r="12" spans="1:11" ht="12.75">
      <c r="A12" s="1" t="s">
        <v>124</v>
      </c>
      <c r="B12" s="2">
        <v>206.10954</v>
      </c>
      <c r="C12">
        <v>47</v>
      </c>
      <c r="D12">
        <v>49</v>
      </c>
      <c r="E12" s="6">
        <v>12.4862717</v>
      </c>
      <c r="F12">
        <v>92</v>
      </c>
      <c r="G12">
        <v>14</v>
      </c>
      <c r="H12" s="6">
        <v>30.2696995</v>
      </c>
      <c r="I12" s="2">
        <v>21.21580203604661</v>
      </c>
      <c r="J12" s="2">
        <v>-0.29350422951281097</v>
      </c>
      <c r="K12" s="2">
        <v>-250.01149533376278</v>
      </c>
    </row>
    <row r="13" spans="1:11" ht="12.75">
      <c r="A13" s="1" t="s">
        <v>125</v>
      </c>
      <c r="B13" s="2">
        <v>-131.34545</v>
      </c>
      <c r="C13">
        <v>47</v>
      </c>
      <c r="D13">
        <v>49</v>
      </c>
      <c r="E13" s="6">
        <v>14.7286233</v>
      </c>
      <c r="F13">
        <v>92</v>
      </c>
      <c r="G13">
        <v>14</v>
      </c>
      <c r="H13" s="6">
        <v>30.5944995</v>
      </c>
      <c r="I13" s="2">
        <v>90.46880007539161</v>
      </c>
      <c r="J13" s="2">
        <v>-7.049500620448287</v>
      </c>
      <c r="K13" s="2">
        <v>-587.4670962811637</v>
      </c>
    </row>
    <row r="14" spans="1:11" ht="12.75">
      <c r="A14" s="1" t="s">
        <v>122</v>
      </c>
      <c r="B14" s="2">
        <v>-253.46385</v>
      </c>
      <c r="C14">
        <v>47</v>
      </c>
      <c r="D14">
        <v>49</v>
      </c>
      <c r="E14" s="6">
        <v>15.53284</v>
      </c>
      <c r="F14">
        <v>92</v>
      </c>
      <c r="G14">
        <v>14</v>
      </c>
      <c r="H14" s="6">
        <v>30.736502</v>
      </c>
      <c r="I14" s="2">
        <v>115.30450170204904</v>
      </c>
      <c r="J14" s="2">
        <v>-10.002995216230248</v>
      </c>
      <c r="K14" s="2">
        <v>-709.5859013577804</v>
      </c>
    </row>
    <row r="15" spans="6:11" ht="12.75">
      <c r="F15" s="6"/>
      <c r="G15" s="6"/>
      <c r="H15" s="6"/>
      <c r="I15" s="2"/>
      <c r="J15" s="2"/>
      <c r="K15" s="2"/>
    </row>
    <row r="16" spans="9:11" ht="12.75">
      <c r="I16" s="2"/>
      <c r="J16" s="2"/>
      <c r="K16" s="2"/>
    </row>
    <row r="17" spans="9:11" ht="12.75">
      <c r="I17" s="2"/>
      <c r="J17" s="2"/>
      <c r="K17" s="2"/>
    </row>
    <row r="18" spans="9:11" ht="12.75">
      <c r="I18" s="2"/>
      <c r="J18" s="2"/>
      <c r="K18" s="2"/>
    </row>
    <row r="19" spans="9:11" ht="12.75">
      <c r="I19" s="2"/>
      <c r="J19" s="2"/>
      <c r="K19" s="2"/>
    </row>
    <row r="20" spans="9:11" ht="12.75">
      <c r="I20" s="2"/>
      <c r="J20" s="2"/>
      <c r="K20" s="2"/>
    </row>
    <row r="21" spans="9:11" ht="12.75">
      <c r="I21" s="2"/>
      <c r="J21" s="2"/>
      <c r="K21" s="2"/>
    </row>
    <row r="22" spans="9:11" ht="12.75">
      <c r="I22" s="2"/>
      <c r="J22" s="2"/>
      <c r="K22" s="2"/>
    </row>
    <row r="23" spans="9:11" ht="12.75">
      <c r="I23" s="2"/>
      <c r="J23" s="2"/>
      <c r="K23" s="2"/>
    </row>
    <row r="24" spans="9:11" ht="12.75">
      <c r="I24" s="2"/>
      <c r="J24" s="2"/>
      <c r="K24" s="2"/>
    </row>
    <row r="25" spans="9:11" ht="12.75">
      <c r="I25" s="2"/>
      <c r="J25" s="2"/>
      <c r="K25" s="2"/>
    </row>
    <row r="26" spans="9:11" ht="12.75">
      <c r="I26" s="2"/>
      <c r="J26" s="2"/>
      <c r="K26" s="2"/>
    </row>
    <row r="27" spans="9:11" ht="12.75">
      <c r="I27" s="2"/>
      <c r="J27" s="2"/>
      <c r="K27" s="2"/>
    </row>
    <row r="28" spans="9:11" ht="12.75">
      <c r="I28" s="2"/>
      <c r="J28" s="2"/>
      <c r="K28" s="2"/>
    </row>
    <row r="29" spans="9:11" ht="12.75">
      <c r="I29" s="2"/>
      <c r="J29" s="2"/>
      <c r="K29" s="2"/>
    </row>
    <row r="30" spans="9:11" ht="12.75">
      <c r="I30" s="2"/>
      <c r="J30" s="2"/>
      <c r="K30" s="2"/>
    </row>
    <row r="31" spans="9:11" ht="12.75">
      <c r="I31" s="2"/>
      <c r="J31" s="2"/>
      <c r="K31" s="2"/>
    </row>
    <row r="32" spans="9:11" ht="12.75">
      <c r="I32" s="2"/>
      <c r="J32" s="2"/>
      <c r="K32" s="2"/>
    </row>
    <row r="33" spans="9:11" ht="12.75">
      <c r="I33" s="2"/>
      <c r="J33" s="2"/>
      <c r="K33" s="2"/>
    </row>
    <row r="34" spans="9:11" ht="12.75">
      <c r="I34" s="2"/>
      <c r="J34" s="2"/>
      <c r="K34" s="2"/>
    </row>
    <row r="35" spans="9:11" ht="12.75">
      <c r="I35" s="2"/>
      <c r="J35" s="2"/>
      <c r="K35" s="2"/>
    </row>
    <row r="36" spans="9:11" ht="12.75">
      <c r="I36" s="2"/>
      <c r="J36" s="2"/>
      <c r="K36" s="2"/>
    </row>
    <row r="37" spans="9:11" ht="12.75">
      <c r="I37" s="2"/>
      <c r="J37" s="2"/>
      <c r="K37" s="2"/>
    </row>
    <row r="38" spans="9:11" ht="12.75">
      <c r="I38" s="2"/>
      <c r="J38" s="2"/>
      <c r="K38" s="2"/>
    </row>
    <row r="39" spans="9:11" ht="12.75">
      <c r="I39" s="2"/>
      <c r="J39" s="2"/>
      <c r="K39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7"/>
  <dimension ref="A1:L86"/>
  <sheetViews>
    <sheetView workbookViewId="0" topLeftCell="A1">
      <selection activeCell="G23" sqref="G23"/>
    </sheetView>
  </sheetViews>
  <sheetFormatPr defaultColWidth="9.140625" defaultRowHeight="12.75"/>
  <cols>
    <col min="1" max="1" width="13.140625" style="0" customWidth="1"/>
    <col min="2" max="2" width="6.7109375" style="0" customWidth="1"/>
    <col min="3" max="3" width="15.00390625" style="0" customWidth="1"/>
    <col min="4" max="4" width="14.28125" style="0" customWidth="1"/>
    <col min="5" max="5" width="15.7109375" style="0" customWidth="1"/>
    <col min="6" max="6" width="13.421875" style="0" customWidth="1"/>
    <col min="7" max="7" width="12.7109375" style="0" customWidth="1"/>
    <col min="8" max="9" width="11.57421875" style="0" customWidth="1"/>
    <col min="10" max="10" width="13.8515625" style="0" customWidth="1"/>
    <col min="11" max="11" width="15.421875" style="0" customWidth="1"/>
    <col min="12" max="12" width="15.00390625" style="0" customWidth="1"/>
  </cols>
  <sheetData>
    <row r="1" ht="15">
      <c r="B1" s="87" t="s">
        <v>208</v>
      </c>
    </row>
    <row r="3" ht="12.75">
      <c r="A3" t="s">
        <v>213</v>
      </c>
    </row>
    <row r="4" ht="12.75">
      <c r="A4" t="s">
        <v>200</v>
      </c>
    </row>
    <row r="5" ht="12.75">
      <c r="A5" t="s">
        <v>209</v>
      </c>
    </row>
    <row r="6" ht="12.75">
      <c r="A6" t="s">
        <v>251</v>
      </c>
    </row>
    <row r="7" ht="12.75">
      <c r="A7" t="s">
        <v>261</v>
      </c>
    </row>
    <row r="8" ht="12.75">
      <c r="A8" t="s">
        <v>201</v>
      </c>
    </row>
    <row r="9" ht="12.75">
      <c r="A9" t="s">
        <v>202</v>
      </c>
    </row>
    <row r="10" ht="12.75">
      <c r="A10" t="s">
        <v>212</v>
      </c>
    </row>
    <row r="11" ht="12.75">
      <c r="A11" t="s">
        <v>217</v>
      </c>
    </row>
    <row r="12" ht="12.75">
      <c r="A12" t="s">
        <v>252</v>
      </c>
    </row>
    <row r="13" ht="12.75">
      <c r="A13" s="86" t="s">
        <v>244</v>
      </c>
    </row>
    <row r="14" ht="12.75">
      <c r="A14" s="86" t="s">
        <v>250</v>
      </c>
    </row>
    <row r="15" ht="12.75">
      <c r="A15" s="88" t="s">
        <v>249</v>
      </c>
    </row>
    <row r="16" ht="12.75">
      <c r="A16" s="88"/>
    </row>
    <row r="17" ht="12.75">
      <c r="A17" s="78" t="s">
        <v>215</v>
      </c>
    </row>
    <row r="18" ht="12.75">
      <c r="A18" t="s">
        <v>214</v>
      </c>
    </row>
    <row r="19" ht="12.75">
      <c r="A19" t="s">
        <v>253</v>
      </c>
    </row>
    <row r="21" spans="1:7" s="63" customFormat="1" ht="15.75">
      <c r="A21" s="65" t="s">
        <v>160</v>
      </c>
      <c r="B21" s="65"/>
      <c r="C21" s="64" t="s">
        <v>161</v>
      </c>
      <c r="D21" s="64" t="s">
        <v>188</v>
      </c>
      <c r="E21" s="1" t="s">
        <v>175</v>
      </c>
      <c r="F21" s="1" t="s">
        <v>176</v>
      </c>
      <c r="G21" s="65" t="s">
        <v>247</v>
      </c>
    </row>
    <row r="22" spans="1:7" s="63" customFormat="1" ht="12.75">
      <c r="A22" s="65" t="s">
        <v>163</v>
      </c>
      <c r="B22" s="65"/>
      <c r="C22" s="65" t="s">
        <v>162</v>
      </c>
      <c r="D22" s="65" t="s">
        <v>19</v>
      </c>
      <c r="G22" s="65" t="s">
        <v>168</v>
      </c>
    </row>
    <row r="23" spans="1:7" s="63" customFormat="1" ht="12.75">
      <c r="A23" s="83">
        <v>299792458</v>
      </c>
      <c r="B23" s="66"/>
      <c r="C23" s="67">
        <v>7.292115816E-05</v>
      </c>
      <c r="D23" s="66">
        <f>-ATAN2(C33,D33)</f>
        <v>-0.030271887651624207</v>
      </c>
      <c r="E23" s="75">
        <f>SQRT(1-POWER(F35/A23,2))</f>
        <v>0.9999999999993299</v>
      </c>
      <c r="F23" s="74">
        <f>1+(F35*C36)/($A$23*$A$23)</f>
        <v>0.99999953165241</v>
      </c>
      <c r="G23" s="91">
        <f>F31/A23</f>
        <v>0.0024528297898503792</v>
      </c>
    </row>
    <row r="24" s="63" customFormat="1" ht="12.75">
      <c r="G24" s="92">
        <v>0.0024528297898503792</v>
      </c>
    </row>
    <row r="25" spans="3:6" ht="12.75">
      <c r="C25" s="1" t="s">
        <v>157</v>
      </c>
      <c r="D25" s="1" t="s">
        <v>158</v>
      </c>
      <c r="E25" s="1" t="s">
        <v>159</v>
      </c>
      <c r="F25" s="1" t="s">
        <v>14</v>
      </c>
    </row>
    <row r="26" spans="1:5" ht="12.75">
      <c r="A26" s="1" t="s">
        <v>108</v>
      </c>
      <c r="B26" s="1" t="s">
        <v>187</v>
      </c>
      <c r="C26" s="2">
        <v>144059.44000000128</v>
      </c>
      <c r="D26" s="2">
        <v>-4757398.4889</v>
      </c>
      <c r="E26" s="2">
        <v>4231821.604400001</v>
      </c>
    </row>
    <row r="27" spans="1:5" ht="12.75">
      <c r="A27" s="1" t="s">
        <v>136</v>
      </c>
      <c r="B27" s="1" t="s">
        <v>187</v>
      </c>
      <c r="C27" s="2">
        <v>-167796.99235849088</v>
      </c>
      <c r="D27" s="2">
        <v>-4287098.7216036925</v>
      </c>
      <c r="E27" s="2">
        <v>4703296.872007008</v>
      </c>
    </row>
    <row r="28" spans="1:6" ht="12.75">
      <c r="A28" s="1" t="s">
        <v>248</v>
      </c>
      <c r="B28" s="1" t="s">
        <v>187</v>
      </c>
      <c r="C28" s="2">
        <f>C27-C26</f>
        <v>-311856.43235849217</v>
      </c>
      <c r="D28" s="2">
        <f>D27-D26</f>
        <v>470299.7672963077</v>
      </c>
      <c r="E28" s="2">
        <f>E27-E26</f>
        <v>471475.2676070072</v>
      </c>
      <c r="F28" s="70">
        <f>SQRT(SUMSQ(C28,D28,E28))</f>
        <v>735340.2161499308</v>
      </c>
    </row>
    <row r="29" spans="1:6" ht="12.75">
      <c r="A29" s="82" t="s">
        <v>180</v>
      </c>
      <c r="B29" s="47"/>
      <c r="C29" s="44">
        <f>-D27*$C$23*$G$24</f>
        <v>0.766804149097804</v>
      </c>
      <c r="D29" s="44">
        <f>C27*$C$23*$G$24</f>
        <v>-0.03001270516543929</v>
      </c>
      <c r="E29" s="48">
        <v>0</v>
      </c>
      <c r="F29" s="70">
        <f>SQRT(SUMSQ(C29,D29,E29))</f>
        <v>0.7673912727839396</v>
      </c>
    </row>
    <row r="30" spans="1:6" s="81" customFormat="1" ht="12.75">
      <c r="A30" s="47" t="s">
        <v>177</v>
      </c>
      <c r="B30" s="47"/>
      <c r="C30" s="80">
        <f>C27+C29</f>
        <v>-167796.2255543418</v>
      </c>
      <c r="D30" s="80">
        <f>D27+D29</f>
        <v>-4287098.751616398</v>
      </c>
      <c r="E30" s="80">
        <f>E27+E29</f>
        <v>4703296.872007008</v>
      </c>
      <c r="F30" s="66"/>
    </row>
    <row r="31" spans="1:6" ht="12.75">
      <c r="A31" s="1" t="s">
        <v>173</v>
      </c>
      <c r="B31" s="47"/>
      <c r="C31" s="2">
        <f>C30-C26</f>
        <v>-311855.6655543431</v>
      </c>
      <c r="D31" s="2">
        <f>D30-D26</f>
        <v>470299.73728360236</v>
      </c>
      <c r="E31" s="2">
        <f>E30-E26</f>
        <v>471475.2676070072</v>
      </c>
      <c r="F31" s="70">
        <f>SQRT(SUMSQ(C31,D31,E31))</f>
        <v>735339.8717548687</v>
      </c>
    </row>
    <row r="32" spans="1:6" ht="12.75">
      <c r="A32" s="82" t="s">
        <v>256</v>
      </c>
      <c r="B32" s="45"/>
      <c r="C32" s="61">
        <f>C33*$G$24</f>
        <v>0.8509234652836555</v>
      </c>
      <c r="D32" s="61">
        <f>D33*$G$24</f>
        <v>0.025766930850471506</v>
      </c>
      <c r="E32" s="61">
        <v>0</v>
      </c>
      <c r="F32" s="70">
        <f>SQRT(SUMSQ(C32,D32,E32))</f>
        <v>0.8513135018874054</v>
      </c>
    </row>
    <row r="33" spans="1:11" ht="12.75">
      <c r="A33" s="68" t="s">
        <v>254</v>
      </c>
      <c r="B33" s="72" t="s">
        <v>9</v>
      </c>
      <c r="C33" s="69">
        <f>-D26*$C$23</f>
        <v>346.9150076392219</v>
      </c>
      <c r="D33" s="69">
        <f>C26*$C$23</f>
        <v>10.504981208681125</v>
      </c>
      <c r="E33" s="57">
        <v>0</v>
      </c>
      <c r="F33" s="66">
        <f>SQRT(SUMSQ(C33,D33))</f>
        <v>347.07402258814494</v>
      </c>
      <c r="G33" s="45"/>
      <c r="H33" s="45"/>
      <c r="I33" s="45"/>
      <c r="J33" s="45"/>
      <c r="K33" s="45"/>
    </row>
    <row r="34" spans="1:11" ht="12.75">
      <c r="A34" s="1" t="s">
        <v>173</v>
      </c>
      <c r="B34" s="45" t="s">
        <v>165</v>
      </c>
      <c r="C34" s="48">
        <f>C31*COS($D$23)-D31*SIN($D$23)</f>
        <v>-297478.099702165</v>
      </c>
      <c r="D34" s="48">
        <f>C31*SIN($D$23)+D31*COS($D$23)</f>
        <v>479523.28329806513</v>
      </c>
      <c r="E34" s="48">
        <f>E31</f>
        <v>471475.2676070072</v>
      </c>
      <c r="F34" s="66">
        <f aca="true" t="shared" si="0" ref="F34:F43">SQRT(SUMSQ(C34,D34,E34))</f>
        <v>735339.8717548687</v>
      </c>
      <c r="G34" s="45"/>
      <c r="H34" s="45"/>
      <c r="I34" s="44"/>
      <c r="J34" s="44"/>
      <c r="K34" s="44"/>
    </row>
    <row r="35" spans="1:11" ht="12.75">
      <c r="A35" s="68" t="s">
        <v>254</v>
      </c>
      <c r="B35" s="45" t="s">
        <v>165</v>
      </c>
      <c r="C35" s="57">
        <f>C33*COS($D$23)-D33*SIN($D$23)</f>
        <v>347.07402258814494</v>
      </c>
      <c r="D35" s="57">
        <f>C33*SIN($D$23)+D33*COS($D$23)</f>
        <v>0</v>
      </c>
      <c r="E35" s="57">
        <f>E33</f>
        <v>0</v>
      </c>
      <c r="F35" s="71">
        <f t="shared" si="0"/>
        <v>347.07402258814494</v>
      </c>
      <c r="G35" s="45"/>
      <c r="H35" s="45"/>
      <c r="I35" s="45"/>
      <c r="J35" s="45"/>
      <c r="K35" s="45"/>
    </row>
    <row r="36" spans="1:11" ht="12.75">
      <c r="A36" s="1" t="s">
        <v>173</v>
      </c>
      <c r="B36" s="47" t="s">
        <v>185</v>
      </c>
      <c r="C36" s="48">
        <f>(C34*$A$23)/F34</f>
        <v>-121279552.6754879</v>
      </c>
      <c r="D36" s="48">
        <f>(D34*$A$23)/F34</f>
        <v>195497985.74784744</v>
      </c>
      <c r="E36" s="48">
        <f>(E34*$A$23)/F34</f>
        <v>192216871.1249087</v>
      </c>
      <c r="F36" s="73">
        <f t="shared" si="0"/>
        <v>299792458</v>
      </c>
      <c r="G36" s="45"/>
      <c r="H36" s="52"/>
      <c r="I36" s="45"/>
      <c r="J36" s="53"/>
      <c r="K36" s="45"/>
    </row>
    <row r="37" spans="1:11" ht="12.75">
      <c r="A37" s="1" t="s">
        <v>173</v>
      </c>
      <c r="B37" s="47" t="s">
        <v>196</v>
      </c>
      <c r="C37" s="61">
        <f>(C36+$F$35)/$F$23</f>
        <v>-121279262.40231559</v>
      </c>
      <c r="D37" s="61">
        <f>(D36*$E$23)/$F$23</f>
        <v>195498077.3087698</v>
      </c>
      <c r="E37" s="61">
        <f>(E36*$E$23)/$F$23</f>
        <v>192216961.1491304</v>
      </c>
      <c r="F37" s="73">
        <f t="shared" si="0"/>
        <v>299792458</v>
      </c>
      <c r="G37" s="45"/>
      <c r="H37" s="52"/>
      <c r="I37" s="45"/>
      <c r="J37" s="50"/>
      <c r="K37" s="52"/>
    </row>
    <row r="38" spans="1:11" ht="12.75">
      <c r="A38" s="1" t="s">
        <v>173</v>
      </c>
      <c r="B38" s="47" t="s">
        <v>166</v>
      </c>
      <c r="C38" s="48">
        <f>(C37*$F$34)/$A$23</f>
        <v>-297477.3877114808</v>
      </c>
      <c r="D38" s="48">
        <f>(D37*$F$34)/$A$23</f>
        <v>479523.50788142305</v>
      </c>
      <c r="E38" s="48">
        <f>(E37*$F$34)/$A$23</f>
        <v>471475.4884211001</v>
      </c>
      <c r="F38" s="66">
        <f t="shared" si="0"/>
        <v>735339.8717548687</v>
      </c>
      <c r="G38" s="45"/>
      <c r="H38" s="45"/>
      <c r="I38" s="45"/>
      <c r="J38" s="53"/>
      <c r="K38" s="45"/>
    </row>
    <row r="39" spans="1:11" ht="12.75">
      <c r="A39" s="1" t="s">
        <v>173</v>
      </c>
      <c r="B39" s="47" t="s">
        <v>8</v>
      </c>
      <c r="C39" s="48">
        <f>C37*COS(-$D$23)-D37*SIN(-$D$23)</f>
        <v>-127140889.26097487</v>
      </c>
      <c r="D39" s="48">
        <f>C37*SIN(-$D$23)+D37*COS(-$D$23)</f>
        <v>191737716.68141866</v>
      </c>
      <c r="E39" s="48">
        <f>E37</f>
        <v>192216961.1491304</v>
      </c>
      <c r="F39" s="73">
        <f>SQRT(SUMSQ(C39,D39,E39))</f>
        <v>299792457.99999994</v>
      </c>
      <c r="G39" s="45"/>
      <c r="H39" s="45"/>
      <c r="I39" s="45"/>
      <c r="J39" s="53"/>
      <c r="K39" s="45"/>
    </row>
    <row r="40" spans="1:11" ht="12.75">
      <c r="A40" s="1" t="s">
        <v>173</v>
      </c>
      <c r="B40" s="48" t="s">
        <v>167</v>
      </c>
      <c r="C40" s="48">
        <f>C38*COS(-$D$23)-D38*SIN(-$D$23)</f>
        <v>-311854.9606873874</v>
      </c>
      <c r="D40" s="48">
        <f>C38*SIN(-$D$23)+D38*COS(-$D$23)</f>
        <v>470299.98331407574</v>
      </c>
      <c r="E40" s="48">
        <f>E38</f>
        <v>471475.4884211001</v>
      </c>
      <c r="F40" s="66">
        <f t="shared" si="0"/>
        <v>735339.8717548687</v>
      </c>
      <c r="G40" s="45"/>
      <c r="H40" s="45"/>
      <c r="I40" s="45"/>
      <c r="J40" s="53"/>
      <c r="K40" s="49"/>
    </row>
    <row r="41" spans="1:12" ht="12.75">
      <c r="A41" s="82" t="s">
        <v>179</v>
      </c>
      <c r="B41" s="54"/>
      <c r="C41" s="48">
        <f>C40-C31</f>
        <v>0.7048669556970708</v>
      </c>
      <c r="D41" s="48">
        <f>D40-D31</f>
        <v>0.24603047338314354</v>
      </c>
      <c r="E41" s="48">
        <f>E40-E31</f>
        <v>0.2208140928996727</v>
      </c>
      <c r="F41" s="70">
        <f t="shared" si="0"/>
        <v>0.7785417668242953</v>
      </c>
      <c r="G41" s="45"/>
      <c r="H41" s="45"/>
      <c r="I41" s="45"/>
      <c r="J41" s="53"/>
      <c r="K41" s="49"/>
      <c r="L41" s="13"/>
    </row>
    <row r="42" spans="1:12" ht="12.75">
      <c r="A42" s="101" t="s">
        <v>169</v>
      </c>
      <c r="B42" s="99"/>
      <c r="C42" s="102">
        <f>C30-C41</f>
        <v>-167796.9304212975</v>
      </c>
      <c r="D42" s="102">
        <f>D30-D41</f>
        <v>-4287098.997646871</v>
      </c>
      <c r="E42" s="102">
        <f>E30-E41</f>
        <v>4703296.651192915</v>
      </c>
      <c r="F42" s="66"/>
      <c r="G42" s="45"/>
      <c r="H42" s="45"/>
      <c r="I42" s="45"/>
      <c r="J42" s="53"/>
      <c r="K42" s="49"/>
      <c r="L42" s="13"/>
    </row>
    <row r="43" spans="1:11" ht="12.75">
      <c r="A43" s="82" t="s">
        <v>181</v>
      </c>
      <c r="B43" s="47"/>
      <c r="C43" s="48">
        <f>C41-C29</f>
        <v>-0.061937193400733226</v>
      </c>
      <c r="D43" s="48">
        <f>D41-D29</f>
        <v>0.27604317854858285</v>
      </c>
      <c r="E43" s="48">
        <f>E41-E29</f>
        <v>0.2208140928996727</v>
      </c>
      <c r="F43" s="70">
        <f t="shared" si="0"/>
        <v>0.3588800857844719</v>
      </c>
      <c r="G43" s="45"/>
      <c r="H43" s="52"/>
      <c r="I43" s="45"/>
      <c r="J43" s="50"/>
      <c r="K43" s="52"/>
    </row>
    <row r="44" spans="1:11" ht="12.75">
      <c r="A44" s="82" t="s">
        <v>257</v>
      </c>
      <c r="B44" s="45"/>
      <c r="C44" s="61">
        <f>C32-C29</f>
        <v>0.08411931618585144</v>
      </c>
      <c r="D44" s="61">
        <f>D32-D29</f>
        <v>0.055779636015910794</v>
      </c>
      <c r="E44" s="61">
        <f>E32-E29</f>
        <v>0</v>
      </c>
      <c r="F44" s="70">
        <f>SQRT(SUMSQ(C44,D44,E44))</f>
        <v>0.10093278530607754</v>
      </c>
      <c r="G44" s="45"/>
      <c r="H44" s="52"/>
      <c r="I44" s="45"/>
      <c r="J44" s="51"/>
      <c r="K44" s="52"/>
    </row>
    <row r="45" spans="1:11" ht="12.75">
      <c r="A45" s="82" t="s">
        <v>258</v>
      </c>
      <c r="B45" s="45"/>
      <c r="C45" s="61">
        <f>C41-C32</f>
        <v>-0.14605650958658467</v>
      </c>
      <c r="D45" s="61">
        <f>D41-D32</f>
        <v>0.22026354253267205</v>
      </c>
      <c r="E45" s="61">
        <f>E41-E32</f>
        <v>0.2208140928996727</v>
      </c>
      <c r="F45" s="70">
        <f>SQRT(SUMSQ(C45,D45,E45))</f>
        <v>0.34439424470331037</v>
      </c>
      <c r="G45" s="103" t="s">
        <v>255</v>
      </c>
      <c r="H45" s="52"/>
      <c r="I45" s="45"/>
      <c r="J45" s="51"/>
      <c r="K45" s="52"/>
    </row>
    <row r="46" spans="1:11" ht="12.75">
      <c r="A46" s="23" t="s">
        <v>190</v>
      </c>
      <c r="B46" s="82" t="s">
        <v>189</v>
      </c>
      <c r="C46" s="84">
        <f>-$C$23*$G$24</f>
        <v>-1.7886318904523908E-07</v>
      </c>
      <c r="D46" s="85" t="s">
        <v>19</v>
      </c>
      <c r="E46" s="61"/>
      <c r="F46" s="70"/>
      <c r="G46" s="45"/>
      <c r="H46" s="52"/>
      <c r="I46" s="45"/>
      <c r="J46" s="51"/>
      <c r="K46" s="52"/>
    </row>
    <row r="47" spans="1:11" ht="12.75">
      <c r="A47" s="72" t="s">
        <v>194</v>
      </c>
      <c r="B47" s="45" t="s">
        <v>191</v>
      </c>
      <c r="C47" s="48">
        <f>C30*COS($C$46)-D30*SIN($C$46)</f>
        <v>-167796.9923584936</v>
      </c>
      <c r="D47" s="48">
        <f>C30*SIN($C$46)+D30*COS($C$46)</f>
        <v>-4287098.7216037605</v>
      </c>
      <c r="E47" s="48">
        <f>E30</f>
        <v>4703296.872007008</v>
      </c>
      <c r="F47" s="66"/>
      <c r="G47" s="45"/>
      <c r="H47" s="52"/>
      <c r="I47" s="45"/>
      <c r="J47" s="51"/>
      <c r="K47" s="52"/>
    </row>
    <row r="48" spans="1:11" ht="12.75">
      <c r="A48" s="1" t="s">
        <v>193</v>
      </c>
      <c r="B48" s="47" t="s">
        <v>192</v>
      </c>
      <c r="C48" s="48">
        <f>C39*COS($C$46)-D39*SIN($C$46)</f>
        <v>-127140854.96615338</v>
      </c>
      <c r="D48" s="48">
        <f>C39*SIN($C$46)+D39*COS($C$46)</f>
        <v>191737739.4222405</v>
      </c>
      <c r="E48" s="48">
        <f>E39</f>
        <v>192216961.1491304</v>
      </c>
      <c r="F48" s="73">
        <f>SQRT(SUMSQ(C48,D48,E48))</f>
        <v>299792458</v>
      </c>
      <c r="G48" s="45"/>
      <c r="H48" s="52"/>
      <c r="I48" s="45"/>
      <c r="J48" s="51"/>
      <c r="K48" s="52"/>
    </row>
    <row r="49" spans="1:11" ht="12.75">
      <c r="A49" s="1" t="s">
        <v>193</v>
      </c>
      <c r="B49" s="47" t="s">
        <v>197</v>
      </c>
      <c r="C49" s="61">
        <f>C48*$G$24</f>
        <v>-311854.87656802754</v>
      </c>
      <c r="D49" s="61">
        <f>D48*$G$24</f>
        <v>470300.0390934409</v>
      </c>
      <c r="E49" s="61">
        <f>E48*$G$24</f>
        <v>471475.4884211</v>
      </c>
      <c r="F49" s="70">
        <f>SQRT(SUMSQ(C49,D49,E49))</f>
        <v>735339.8717548685</v>
      </c>
      <c r="G49" s="45"/>
      <c r="H49" s="52"/>
      <c r="I49" s="45"/>
      <c r="J49" s="51"/>
      <c r="K49" s="52"/>
    </row>
    <row r="50" spans="1:11" ht="12.75">
      <c r="A50" s="12" t="s">
        <v>195</v>
      </c>
      <c r="B50" s="99" t="s">
        <v>197</v>
      </c>
      <c r="C50" s="100">
        <f>C47-C49</f>
        <v>144057.88420953395</v>
      </c>
      <c r="D50" s="100">
        <f>D47-D49</f>
        <v>-4757398.760697202</v>
      </c>
      <c r="E50" s="100">
        <f>E47-E49</f>
        <v>4231821.3835859075</v>
      </c>
      <c r="F50" s="70"/>
      <c r="G50" s="45"/>
      <c r="H50" s="52"/>
      <c r="I50" s="45"/>
      <c r="J50" s="51"/>
      <c r="K50" s="52"/>
    </row>
    <row r="51" spans="1:11" ht="12.75">
      <c r="A51" s="1" t="s">
        <v>198</v>
      </c>
      <c r="B51" s="47" t="s">
        <v>197</v>
      </c>
      <c r="C51" s="48">
        <f>C26*COS($C$46)-D26*SIN($C$46)</f>
        <v>144058.5890765337</v>
      </c>
      <c r="D51" s="48">
        <f>C26*SIN($C$46)+D26*COS($C$46)</f>
        <v>-4757398.514666854</v>
      </c>
      <c r="E51" s="48">
        <f>E26</f>
        <v>4231821.604400001</v>
      </c>
      <c r="F51" s="70"/>
      <c r="G51" s="45"/>
      <c r="H51" s="52"/>
      <c r="I51" s="45"/>
      <c r="J51" s="51"/>
      <c r="K51" s="52"/>
    </row>
    <row r="52" spans="1:11" ht="12.75">
      <c r="A52" s="1" t="s">
        <v>199</v>
      </c>
      <c r="B52" s="47" t="s">
        <v>197</v>
      </c>
      <c r="C52" s="61">
        <f>C50-C51</f>
        <v>-0.7048669997602701</v>
      </c>
      <c r="D52" s="61">
        <f>D50-D51</f>
        <v>-0.24603034742176533</v>
      </c>
      <c r="E52" s="61">
        <f>E50-E51</f>
        <v>-0.220814093016088</v>
      </c>
      <c r="F52" s="70">
        <f>SQRT(SUMSQ(C52,D52,E52))</f>
        <v>0.7785417669451247</v>
      </c>
      <c r="G52" s="45"/>
      <c r="H52" s="52"/>
      <c r="I52" s="45"/>
      <c r="J52" s="51"/>
      <c r="K52" s="52"/>
    </row>
    <row r="53" spans="1:11" ht="15">
      <c r="A53" s="89"/>
      <c r="B53" s="45"/>
      <c r="C53" s="90" t="s">
        <v>207</v>
      </c>
      <c r="D53" s="48"/>
      <c r="E53" s="45"/>
      <c r="F53" s="45"/>
      <c r="G53" s="45"/>
      <c r="H53" s="45"/>
      <c r="I53" s="45"/>
      <c r="J53" s="51"/>
      <c r="K53" s="48"/>
    </row>
    <row r="54" spans="1:11" ht="12.75">
      <c r="A54" s="45"/>
      <c r="B54" s="45"/>
      <c r="C54" s="48"/>
      <c r="D54" s="48"/>
      <c r="E54" s="45"/>
      <c r="F54" s="45"/>
      <c r="G54" s="45"/>
      <c r="H54" s="45"/>
      <c r="I54" s="45"/>
      <c r="J54" s="51"/>
      <c r="K54" s="48"/>
    </row>
    <row r="55" spans="1:11" ht="15.75">
      <c r="A55" s="65" t="s">
        <v>160</v>
      </c>
      <c r="B55" s="65"/>
      <c r="C55" s="64" t="s">
        <v>161</v>
      </c>
      <c r="D55" s="64" t="s">
        <v>188</v>
      </c>
      <c r="E55" s="1" t="s">
        <v>175</v>
      </c>
      <c r="F55" s="1" t="s">
        <v>176</v>
      </c>
      <c r="G55" s="65" t="s">
        <v>170</v>
      </c>
      <c r="H55" s="45"/>
      <c r="I55" s="45"/>
      <c r="J55" s="55"/>
      <c r="K55" s="45"/>
    </row>
    <row r="56" spans="1:11" ht="12.75">
      <c r="A56" s="65" t="s">
        <v>163</v>
      </c>
      <c r="B56" s="65"/>
      <c r="C56" s="65" t="s">
        <v>162</v>
      </c>
      <c r="D56" s="65" t="s">
        <v>19</v>
      </c>
      <c r="E56" s="63"/>
      <c r="F56" s="63"/>
      <c r="G56" s="65" t="s">
        <v>168</v>
      </c>
      <c r="H56" s="47"/>
      <c r="I56" s="47"/>
      <c r="J56" s="45"/>
      <c r="K56" s="45"/>
    </row>
    <row r="57" spans="1:12" ht="12.75">
      <c r="A57" s="83">
        <v>299792458</v>
      </c>
      <c r="B57" s="66"/>
      <c r="C57" s="67">
        <v>7.292115816E-05</v>
      </c>
      <c r="D57" s="66">
        <f>-ATAN2(C63,D63)</f>
        <v>-0.030271887651624207</v>
      </c>
      <c r="E57" s="75">
        <f>SQRT(1-POWER(F65/A57,2))</f>
        <v>0.9999999999993299</v>
      </c>
      <c r="F57" s="74">
        <f>1+(F65*C66)/($A$57*$A$57)</f>
        <v>0.999999531651289</v>
      </c>
      <c r="G57" s="77">
        <f>F62/A57</f>
        <v>0.0024528297898531288</v>
      </c>
      <c r="H57" s="49"/>
      <c r="I57" s="49"/>
      <c r="J57" s="45"/>
      <c r="K57" s="56"/>
      <c r="L57" s="13"/>
    </row>
    <row r="58" spans="1:11" ht="12.75">
      <c r="A58" s="63"/>
      <c r="B58" s="63"/>
      <c r="C58" s="63"/>
      <c r="D58" s="63"/>
      <c r="E58" s="63"/>
      <c r="F58" s="63"/>
      <c r="G58" s="63"/>
      <c r="H58" s="57"/>
      <c r="I58" s="57"/>
      <c r="J58" s="45"/>
      <c r="K58" s="45"/>
    </row>
    <row r="59" spans="3:11" ht="12.75">
      <c r="C59" s="1" t="s">
        <v>157</v>
      </c>
      <c r="D59" s="1" t="s">
        <v>158</v>
      </c>
      <c r="E59" s="1" t="s">
        <v>159</v>
      </c>
      <c r="F59" s="1" t="s">
        <v>14</v>
      </c>
      <c r="H59" s="57"/>
      <c r="I59" s="57"/>
      <c r="J59" s="45"/>
      <c r="K59" s="45"/>
    </row>
    <row r="60" spans="1:11" ht="12.75">
      <c r="A60" s="1" t="s">
        <v>108</v>
      </c>
      <c r="B60" s="1" t="s">
        <v>187</v>
      </c>
      <c r="C60" s="2">
        <v>144059.44000000128</v>
      </c>
      <c r="D60" s="2">
        <v>-4757398.4889</v>
      </c>
      <c r="E60" s="2">
        <v>4231821.604400001</v>
      </c>
      <c r="H60" s="52"/>
      <c r="I60" s="52"/>
      <c r="J60" s="45"/>
      <c r="K60" s="45"/>
    </row>
    <row r="61" spans="1:12" ht="12.75">
      <c r="A61" s="76" t="s">
        <v>169</v>
      </c>
      <c r="B61" s="45"/>
      <c r="C61" s="61">
        <v>-167796.9304212975</v>
      </c>
      <c r="D61" s="61">
        <v>-4287098.997646871</v>
      </c>
      <c r="E61" s="61">
        <v>4703296.651192915</v>
      </c>
      <c r="H61" s="52"/>
      <c r="I61" s="52"/>
      <c r="J61" s="45"/>
      <c r="K61" s="45"/>
      <c r="L61" s="2"/>
    </row>
    <row r="62" spans="1:11" ht="12.75">
      <c r="A62" s="1" t="s">
        <v>171</v>
      </c>
      <c r="B62" s="1"/>
      <c r="C62" s="2">
        <f>C61-C60</f>
        <v>-311856.3704212988</v>
      </c>
      <c r="D62" s="2">
        <f>D61-D60</f>
        <v>470299.4912531292</v>
      </c>
      <c r="E62" s="2">
        <f>E61-E60</f>
        <v>471475.04679291416</v>
      </c>
      <c r="F62" s="66">
        <f>SQRT(SUMSQ(C62,D62,E62))</f>
        <v>735339.871755693</v>
      </c>
      <c r="H62" s="48"/>
      <c r="I62" s="48"/>
      <c r="J62" s="45"/>
      <c r="K62" s="45"/>
    </row>
    <row r="63" spans="1:11" ht="12.75">
      <c r="A63" s="68" t="s">
        <v>254</v>
      </c>
      <c r="B63" s="72" t="s">
        <v>9</v>
      </c>
      <c r="C63" s="69">
        <f>-D60*$C$57</f>
        <v>346.9150076392219</v>
      </c>
      <c r="D63" s="69">
        <f>C60*$C$57</f>
        <v>10.504981208681125</v>
      </c>
      <c r="E63" s="57">
        <v>0</v>
      </c>
      <c r="F63" s="66">
        <f>SQRT(SUMSQ(C63,D63))</f>
        <v>347.07402258814494</v>
      </c>
      <c r="G63" s="45"/>
      <c r="H63" s="45"/>
      <c r="I63" s="45"/>
      <c r="J63" s="45"/>
      <c r="K63" s="45"/>
    </row>
    <row r="64" spans="1:11" ht="12.75">
      <c r="A64" s="1" t="s">
        <v>171</v>
      </c>
      <c r="B64" s="45" t="s">
        <v>165</v>
      </c>
      <c r="C64" s="48">
        <f>C62*COS($D$57)-D62*SIN($D$57)</f>
        <v>-297478.8116928492</v>
      </c>
      <c r="D64" s="48">
        <f>C62*SIN($D$57)+D62*COS($D$57)</f>
        <v>479523.0587147075</v>
      </c>
      <c r="E64" s="48">
        <f>E62</f>
        <v>471475.04679291416</v>
      </c>
      <c r="F64" s="66">
        <f aca="true" t="shared" si="1" ref="F64:F72">SQRT(SUMSQ(C64,D64,E64))</f>
        <v>735339.871755693</v>
      </c>
      <c r="G64" s="45"/>
      <c r="H64" s="52"/>
      <c r="I64" s="45"/>
      <c r="J64" s="45"/>
      <c r="K64" s="45"/>
    </row>
    <row r="65" spans="1:11" ht="12.75">
      <c r="A65" s="68" t="s">
        <v>254</v>
      </c>
      <c r="B65" s="45" t="s">
        <v>165</v>
      </c>
      <c r="C65" s="57">
        <f>C63*COS($D$57)-D63*SIN($D$57)</f>
        <v>347.07402258814494</v>
      </c>
      <c r="D65" s="57">
        <f>C63*SIN($D$57)+D63*COS($D$57)</f>
        <v>0</v>
      </c>
      <c r="E65" s="57">
        <f>E63</f>
        <v>0</v>
      </c>
      <c r="F65" s="71">
        <f t="shared" si="1"/>
        <v>347.07402258814494</v>
      </c>
      <c r="G65" s="45"/>
      <c r="H65" s="52"/>
      <c r="I65" s="45"/>
      <c r="J65" s="45"/>
      <c r="K65" s="45"/>
    </row>
    <row r="66" spans="1:11" ht="12.75">
      <c r="A66" s="1" t="s">
        <v>171</v>
      </c>
      <c r="B66" s="47" t="s">
        <v>185</v>
      </c>
      <c r="C66" s="48">
        <f>(C64*$A$57)/F64</f>
        <v>-121279842.94852425</v>
      </c>
      <c r="D66" s="48">
        <f>(D64*$A$57)/F64</f>
        <v>195497894.18670607</v>
      </c>
      <c r="E66" s="48">
        <f>(E64*$A$57)/F64</f>
        <v>192216781.1004714</v>
      </c>
      <c r="F66" s="73">
        <f t="shared" si="1"/>
        <v>299792458</v>
      </c>
      <c r="G66" s="45"/>
      <c r="H66" s="45"/>
      <c r="I66" s="45"/>
      <c r="J66" s="45"/>
      <c r="K66" s="45"/>
    </row>
    <row r="67" spans="1:12" ht="12.75">
      <c r="A67" s="1" t="s">
        <v>171</v>
      </c>
      <c r="B67" s="47" t="s">
        <v>186</v>
      </c>
      <c r="C67" s="61">
        <f>(C66+$F$65)/$F$57</f>
        <v>-121279552.67562383</v>
      </c>
      <c r="D67" s="61">
        <f>(D66*$E$57)/$F$57</f>
        <v>195497985.7478047</v>
      </c>
      <c r="E67" s="61">
        <f>(E66*$E$57)/$F$57</f>
        <v>192216871.12486643</v>
      </c>
      <c r="F67" s="73">
        <f t="shared" si="1"/>
        <v>299792458</v>
      </c>
      <c r="G67" s="45"/>
      <c r="H67" s="45"/>
      <c r="I67" s="45"/>
      <c r="J67" s="52"/>
      <c r="K67" s="52"/>
      <c r="L67" s="6"/>
    </row>
    <row r="68" spans="1:11" ht="12.75">
      <c r="A68" s="1" t="s">
        <v>171</v>
      </c>
      <c r="B68" s="47" t="s">
        <v>166</v>
      </c>
      <c r="C68" s="48">
        <f>(C67*$F$64)/$A$57</f>
        <v>-297478.0997028319</v>
      </c>
      <c r="D68" s="48">
        <f>(D67*$F$64)/$A$57</f>
        <v>479523.2832984978</v>
      </c>
      <c r="E68" s="48">
        <f>(E67*$F$64)/$A$57</f>
        <v>471475.2676074321</v>
      </c>
      <c r="F68" s="66">
        <f t="shared" si="1"/>
        <v>735339.871755693</v>
      </c>
      <c r="G68" s="45"/>
      <c r="H68" s="51"/>
      <c r="I68" s="47"/>
      <c r="J68" s="45"/>
      <c r="K68" s="45"/>
    </row>
    <row r="69" spans="1:11" ht="12.75">
      <c r="A69" s="1" t="s">
        <v>171</v>
      </c>
      <c r="B69" s="48" t="s">
        <v>167</v>
      </c>
      <c r="C69" s="48">
        <f>C68*COS($D$57)-D68*SIN(-$D$57)</f>
        <v>-311855.6655550227</v>
      </c>
      <c r="D69" s="48">
        <f>C68*SIN(-$D$57)+D68*COS($D$57)</f>
        <v>470299.7372840146</v>
      </c>
      <c r="E69" s="48">
        <f>E68</f>
        <v>471475.2676074321</v>
      </c>
      <c r="F69" s="66">
        <f t="shared" si="1"/>
        <v>735339.871755693</v>
      </c>
      <c r="G69" s="45"/>
      <c r="H69" s="52"/>
      <c r="I69" s="45"/>
      <c r="J69" s="45"/>
      <c r="K69" s="45"/>
    </row>
    <row r="70" spans="1:11" ht="12.75">
      <c r="A70" s="1" t="s">
        <v>243</v>
      </c>
      <c r="B70" s="48" t="s">
        <v>167</v>
      </c>
      <c r="C70" s="48">
        <f>C69+C60</f>
        <v>-167796.22555502143</v>
      </c>
      <c r="D70" s="48">
        <f>D69+D60</f>
        <v>-4287098.751615985</v>
      </c>
      <c r="E70" s="48">
        <f>E69+E60</f>
        <v>4703296.872007432</v>
      </c>
      <c r="F70" s="66"/>
      <c r="G70" s="45"/>
      <c r="H70" s="52"/>
      <c r="I70" s="45"/>
      <c r="J70" s="45"/>
      <c r="K70" s="45"/>
    </row>
    <row r="71" spans="1:11" ht="12.75">
      <c r="A71" s="47" t="s">
        <v>172</v>
      </c>
      <c r="B71" s="47"/>
      <c r="C71" s="44">
        <f>C30</f>
        <v>-167796.2255543418</v>
      </c>
      <c r="D71" s="44">
        <f>D30</f>
        <v>-4287098.751616398</v>
      </c>
      <c r="E71" s="44">
        <f>E30</f>
        <v>4703296.872007008</v>
      </c>
      <c r="F71" s="70"/>
      <c r="G71" s="50"/>
      <c r="H71" s="45"/>
      <c r="I71" s="45"/>
      <c r="J71" s="45"/>
      <c r="K71" s="45"/>
    </row>
    <row r="72" spans="1:11" ht="12.75">
      <c r="A72" s="76" t="s">
        <v>174</v>
      </c>
      <c r="B72" s="45"/>
      <c r="C72" s="44">
        <f>C71-C70</f>
        <v>6.796326488256454E-07</v>
      </c>
      <c r="D72" s="44">
        <f>D71-D70</f>
        <v>-4.12575900554657E-07</v>
      </c>
      <c r="E72" s="44">
        <f>E71-E70</f>
        <v>-4.246830940246582E-07</v>
      </c>
      <c r="F72" s="70">
        <f t="shared" si="1"/>
        <v>9.013740297005489E-07</v>
      </c>
      <c r="G72" s="45"/>
      <c r="H72" s="47"/>
      <c r="I72" s="47"/>
      <c r="J72" s="45"/>
      <c r="K72" s="45"/>
    </row>
    <row r="73" spans="1:11" ht="12.75">
      <c r="A73" s="58"/>
      <c r="B73" s="58"/>
      <c r="C73" s="58"/>
      <c r="D73" s="58"/>
      <c r="E73" s="58"/>
      <c r="F73" s="45"/>
      <c r="G73" s="47"/>
      <c r="H73" s="49"/>
      <c r="I73" s="49"/>
      <c r="J73" s="45"/>
      <c r="K73" s="45"/>
    </row>
    <row r="74" spans="1:11" ht="12.75">
      <c r="A74" s="47"/>
      <c r="B74" s="47"/>
      <c r="C74" s="47"/>
      <c r="D74" s="47"/>
      <c r="E74" s="47"/>
      <c r="F74" s="45"/>
      <c r="G74" s="47"/>
      <c r="H74" s="45"/>
      <c r="I74" s="57"/>
      <c r="J74" s="45"/>
      <c r="K74" s="45"/>
    </row>
    <row r="75" spans="1:11" ht="12.75">
      <c r="A75" s="48"/>
      <c r="B75" s="48"/>
      <c r="C75" s="48"/>
      <c r="D75" s="48"/>
      <c r="E75" s="48"/>
      <c r="F75" s="45"/>
      <c r="G75" s="47"/>
      <c r="H75" s="57"/>
      <c r="I75" s="57"/>
      <c r="J75" s="45"/>
      <c r="K75" s="45"/>
    </row>
    <row r="76" spans="1:12" ht="12.75">
      <c r="A76" s="47"/>
      <c r="B76" s="47"/>
      <c r="C76" s="47"/>
      <c r="D76" s="47"/>
      <c r="E76" s="47"/>
      <c r="F76" s="45"/>
      <c r="G76" s="50"/>
      <c r="H76" s="52"/>
      <c r="I76" s="52"/>
      <c r="J76" s="47"/>
      <c r="K76" s="47"/>
      <c r="L76" s="1"/>
    </row>
    <row r="77" spans="1:11" ht="12.75">
      <c r="A77" s="48"/>
      <c r="B77" s="48"/>
      <c r="C77" s="48"/>
      <c r="D77" s="48"/>
      <c r="E77" s="45"/>
      <c r="F77" s="45"/>
      <c r="G77" s="51"/>
      <c r="H77" s="52"/>
      <c r="I77" s="52"/>
      <c r="J77" s="49"/>
      <c r="K77" s="45"/>
    </row>
    <row r="78" spans="1:11" ht="12.75" hidden="1">
      <c r="A78" s="59"/>
      <c r="B78" s="59"/>
      <c r="C78" s="59"/>
      <c r="D78" s="59"/>
      <c r="E78" s="59"/>
      <c r="F78" s="45"/>
      <c r="G78" s="51"/>
      <c r="H78" s="45"/>
      <c r="I78" s="52"/>
      <c r="J78" s="49"/>
      <c r="K78" s="45"/>
    </row>
    <row r="79" spans="1:11" ht="12.75">
      <c r="A79" s="60"/>
      <c r="B79" s="60"/>
      <c r="C79" s="45"/>
      <c r="D79" s="45"/>
      <c r="E79" s="45"/>
      <c r="F79" s="45"/>
      <c r="G79" s="45"/>
      <c r="H79" s="45"/>
      <c r="I79" s="45"/>
      <c r="J79" s="45"/>
      <c r="K79" s="45"/>
    </row>
    <row r="80" spans="1:11" ht="12.75">
      <c r="A80" s="47"/>
      <c r="B80" s="47"/>
      <c r="C80" s="47"/>
      <c r="D80" s="47"/>
      <c r="E80" s="47"/>
      <c r="F80" s="45"/>
      <c r="G80" s="45"/>
      <c r="H80" s="45"/>
      <c r="I80" s="45"/>
      <c r="J80" s="45"/>
      <c r="K80" s="45"/>
    </row>
    <row r="81" spans="1:11" ht="12.75">
      <c r="A81" s="61"/>
      <c r="B81" s="61"/>
      <c r="C81" s="61"/>
      <c r="D81" s="61"/>
      <c r="E81" s="48"/>
      <c r="F81" s="45"/>
      <c r="G81" s="45"/>
      <c r="H81" s="48"/>
      <c r="I81" s="45"/>
      <c r="J81" s="45"/>
      <c r="K81" s="45"/>
    </row>
    <row r="82" spans="1:11" ht="12.75">
      <c r="A82" s="47"/>
      <c r="B82" s="47"/>
      <c r="C82" s="47"/>
      <c r="D82" s="47"/>
      <c r="E82" s="47"/>
      <c r="F82" s="45"/>
      <c r="G82" s="45"/>
      <c r="H82" s="45"/>
      <c r="I82" s="45"/>
      <c r="J82" s="45"/>
      <c r="K82" s="45"/>
    </row>
    <row r="83" spans="1:11" ht="12.75">
      <c r="A83" s="48"/>
      <c r="B83" s="48"/>
      <c r="C83" s="48"/>
      <c r="D83" s="48"/>
      <c r="E83" s="48"/>
      <c r="F83" s="45"/>
      <c r="G83" s="45"/>
      <c r="H83" s="45"/>
      <c r="I83" s="45"/>
      <c r="J83" s="45"/>
      <c r="K83" s="45"/>
    </row>
    <row r="84" spans="1:11" ht="12.75">
      <c r="A84" s="47"/>
      <c r="B84" s="47"/>
      <c r="C84" s="47"/>
      <c r="D84" s="47"/>
      <c r="E84" s="47"/>
      <c r="F84" s="45"/>
      <c r="G84" s="45"/>
      <c r="H84" s="45"/>
      <c r="I84" s="47"/>
      <c r="J84" s="45"/>
      <c r="K84" s="45"/>
    </row>
    <row r="85" spans="1:11" ht="12.75">
      <c r="A85" s="48"/>
      <c r="B85" s="48"/>
      <c r="C85" s="48"/>
      <c r="D85" s="48"/>
      <c r="E85" s="48"/>
      <c r="F85" s="45"/>
      <c r="G85" s="45"/>
      <c r="H85" s="51"/>
      <c r="I85" s="62"/>
      <c r="J85" s="45"/>
      <c r="K85" s="45"/>
    </row>
    <row r="86" spans="1:11" ht="12.75">
      <c r="A86" s="45"/>
      <c r="B86" s="45"/>
      <c r="C86" s="45"/>
      <c r="D86" s="45"/>
      <c r="E86" s="45"/>
      <c r="F86" s="45"/>
      <c r="G86" s="45"/>
      <c r="H86" s="51"/>
      <c r="I86" s="62"/>
      <c r="J86" s="45"/>
      <c r="K86" s="45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&amp;L&amp;F &amp;A&amp;C&amp;P&amp;R&amp;D</oddHeader>
  </headerFooter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J75"/>
  <sheetViews>
    <sheetView workbookViewId="0" topLeftCell="A8">
      <selection activeCell="F14" sqref="F14:H14"/>
    </sheetView>
  </sheetViews>
  <sheetFormatPr defaultColWidth="9.140625" defaultRowHeight="12.75"/>
  <cols>
    <col min="1" max="1" width="11.28125" style="0" customWidth="1"/>
    <col min="2" max="2" width="12.57421875" style="0" customWidth="1"/>
    <col min="3" max="3" width="13.140625" style="0" customWidth="1"/>
    <col min="4" max="5" width="12.421875" style="0" customWidth="1"/>
    <col min="6" max="6" width="13.00390625" style="0" customWidth="1"/>
    <col min="7" max="7" width="13.28125" style="0" customWidth="1"/>
    <col min="8" max="8" width="13.421875" style="0" customWidth="1"/>
    <col min="10" max="10" width="10.140625" style="0" bestFit="1" customWidth="1"/>
  </cols>
  <sheetData>
    <row r="1" spans="2:3" ht="12.75">
      <c r="B1" s="10"/>
      <c r="C1" s="10" t="s">
        <v>409</v>
      </c>
    </row>
    <row r="2" spans="2:3" ht="13.5" thickBot="1">
      <c r="B2" s="10"/>
      <c r="C2" s="10" t="s">
        <v>410</v>
      </c>
    </row>
    <row r="3" spans="1:2" ht="13.5" thickBot="1">
      <c r="A3" s="159" t="s">
        <v>401</v>
      </c>
      <c r="B3" s="10"/>
    </row>
    <row r="4" ht="12.75">
      <c r="A4" s="10" t="s">
        <v>453</v>
      </c>
    </row>
    <row r="5" spans="1:6" ht="14.25">
      <c r="A5" s="1" t="s">
        <v>0</v>
      </c>
      <c r="B5" s="1" t="s">
        <v>1</v>
      </c>
      <c r="C5" s="1" t="s">
        <v>6</v>
      </c>
      <c r="D5" s="1" t="s">
        <v>21</v>
      </c>
      <c r="F5" s="10" t="s">
        <v>20</v>
      </c>
    </row>
    <row r="6" spans="1:5" ht="12.75">
      <c r="A6">
        <v>6378137</v>
      </c>
      <c r="B6" s="2">
        <v>6356752.31414</v>
      </c>
      <c r="C6">
        <f>1-(B6*B6)/(A6*A6)</f>
        <v>0.0066943800230119255</v>
      </c>
      <c r="D6" s="7">
        <f>$A$6/($A$6-$B$6)</f>
        <v>298.2572220960422</v>
      </c>
      <c r="E6" t="s">
        <v>260</v>
      </c>
    </row>
    <row r="8" spans="1:7" ht="12.75">
      <c r="A8" s="10" t="s">
        <v>405</v>
      </c>
      <c r="C8" s="2"/>
      <c r="D8" s="12" t="s">
        <v>403</v>
      </c>
      <c r="G8" s="12" t="s">
        <v>407</v>
      </c>
    </row>
    <row r="9" spans="1:8" ht="15" thickBot="1">
      <c r="A9" s="10" t="s">
        <v>404</v>
      </c>
      <c r="C9" t="s">
        <v>4</v>
      </c>
      <c r="D9" s="4" t="s">
        <v>454</v>
      </c>
      <c r="E9" s="4" t="s">
        <v>455</v>
      </c>
      <c r="F9" s="12" t="s">
        <v>157</v>
      </c>
      <c r="G9" s="12" t="s">
        <v>158</v>
      </c>
      <c r="H9" s="12" t="s">
        <v>159</v>
      </c>
    </row>
    <row r="10" spans="1:8" ht="13.5" thickBot="1">
      <c r="A10" s="155" t="s">
        <v>108</v>
      </c>
      <c r="B10" s="179" t="s">
        <v>260</v>
      </c>
      <c r="C10" s="155">
        <v>153.96829709410667</v>
      </c>
      <c r="D10" s="156">
        <v>41.83202350680571</v>
      </c>
      <c r="E10" s="156">
        <v>-88.26555873341539</v>
      </c>
      <c r="F10" s="2">
        <f>E12*COS(D11)*COS(E11)</f>
        <v>144058.55234079924</v>
      </c>
      <c r="G10" s="2">
        <f>E12*COS(D11)*SIN(E11)</f>
        <v>-4757396.9876393</v>
      </c>
      <c r="H10" s="2">
        <f>($C12*(1-$C$6)+C10)*SIN(D11)</f>
        <v>4231823.074484399</v>
      </c>
    </row>
    <row r="11" spans="2:8" ht="12.75">
      <c r="B11" s="125"/>
      <c r="C11" s="4" t="s">
        <v>436</v>
      </c>
      <c r="D11" s="154">
        <f>D10*PI()/180</f>
        <v>0.7301065429654242</v>
      </c>
      <c r="E11" s="154">
        <f>E10*PI()/180</f>
        <v>-1.5405246160105344</v>
      </c>
      <c r="H11" s="6"/>
    </row>
    <row r="12" spans="2:8" ht="12.75">
      <c r="B12" s="4" t="s">
        <v>434</v>
      </c>
      <c r="C12" s="2">
        <f>$A$6/SQRT(1-$C$6*(SIN(D11))*(SIN(D11)))</f>
        <v>6387654.672386314</v>
      </c>
      <c r="D12" s="4" t="s">
        <v>435</v>
      </c>
      <c r="E12" s="2">
        <f>C12+C10</f>
        <v>6387808.640683408</v>
      </c>
      <c r="H12" s="6"/>
    </row>
    <row r="13" ht="13.5" thickBot="1">
      <c r="A13" s="10" t="s">
        <v>406</v>
      </c>
    </row>
    <row r="14" spans="1:10" ht="13.5" thickBot="1">
      <c r="A14" s="155"/>
      <c r="B14" s="179" t="s">
        <v>335</v>
      </c>
      <c r="C14" s="155">
        <v>196.1024393</v>
      </c>
      <c r="D14" s="156">
        <v>41.839668509166664</v>
      </c>
      <c r="E14" s="156">
        <v>-88.2702530377778</v>
      </c>
      <c r="F14" s="2">
        <f>E16*COS(D15)*COS(E15)</f>
        <v>143652.62439098718</v>
      </c>
      <c r="G14" s="2">
        <f>E16*COS(D15)*SIN(E15)</f>
        <v>-4756874.025760743</v>
      </c>
      <c r="H14" s="2">
        <f>($C16*(1-$C$6)+C14)*SIN(D15)</f>
        <v>4232483.847986074</v>
      </c>
      <c r="I14" s="13"/>
      <c r="J14" s="13"/>
    </row>
    <row r="15" spans="2:5" ht="12.75">
      <c r="B15" s="1"/>
      <c r="C15" s="4" t="s">
        <v>436</v>
      </c>
      <c r="D15">
        <f>D14*PI()/180</f>
        <v>0.7302399734279456</v>
      </c>
      <c r="E15">
        <f>E14*PI()/180</f>
        <v>-1.5406065470777492</v>
      </c>
    </row>
    <row r="16" spans="2:5" ht="12.75">
      <c r="B16" s="4" t="s">
        <v>434</v>
      </c>
      <c r="C16" s="2">
        <f>$A$6/SQRT(1-$C$6*(SIN(D15))*(SIN(D15)))</f>
        <v>6387657.516309295</v>
      </c>
      <c r="D16" s="4" t="s">
        <v>435</v>
      </c>
      <c r="E16" s="2">
        <f>C16+C14</f>
        <v>6387853.618748595</v>
      </c>
    </row>
    <row r="17" spans="3:5" ht="14.25">
      <c r="C17" s="3"/>
      <c r="D17" s="21"/>
      <c r="E17" s="21"/>
    </row>
    <row r="18" spans="2:8" ht="12.75">
      <c r="B18" s="10" t="s">
        <v>408</v>
      </c>
      <c r="E18" s="12" t="s">
        <v>14</v>
      </c>
      <c r="F18" s="12" t="s">
        <v>398</v>
      </c>
      <c r="G18" s="12" t="s">
        <v>399</v>
      </c>
      <c r="H18" s="12" t="s">
        <v>400</v>
      </c>
    </row>
    <row r="19" spans="2:8" ht="12.75">
      <c r="B19" s="1" t="s">
        <v>102</v>
      </c>
      <c r="C19" s="1" t="s">
        <v>103</v>
      </c>
      <c r="E19" s="2">
        <f>SQRT(F19*F19+G19*G19+H19*H19)</f>
        <v>935.3546104974507</v>
      </c>
      <c r="F19" s="2">
        <f>F14-F10</f>
        <v>-405.9279498120595</v>
      </c>
      <c r="G19" s="2">
        <f>G14-G10</f>
        <v>522.9618785567582</v>
      </c>
      <c r="H19" s="2">
        <f>H14-H10</f>
        <v>660.773501675576</v>
      </c>
    </row>
    <row r="20" spans="2:4" ht="12.75">
      <c r="B20" s="7">
        <f>ATAN2(F23,G23)</f>
        <v>-0.43045443566561836</v>
      </c>
      <c r="C20" s="7">
        <f>ASIN(H23/E19)</f>
        <v>0.0449880520179999</v>
      </c>
      <c r="D20" s="14" t="s">
        <v>104</v>
      </c>
    </row>
    <row r="21" spans="2:6" ht="12.75">
      <c r="B21">
        <f>IF($B20&gt;0,DEGREES($B20),DEGREES($B20)+360)</f>
        <v>335.33677756367445</v>
      </c>
      <c r="C21" s="21">
        <f>C20*180/PI()</f>
        <v>2.5776255091464004</v>
      </c>
      <c r="D21" s="14" t="s">
        <v>95</v>
      </c>
      <c r="F21" s="10" t="s">
        <v>402</v>
      </c>
    </row>
    <row r="22" spans="2:8" ht="12.75">
      <c r="B22" s="21"/>
      <c r="C22" s="21"/>
      <c r="D22" s="14"/>
      <c r="F22" s="1" t="s">
        <v>15</v>
      </c>
      <c r="G22" s="1" t="s">
        <v>16</v>
      </c>
      <c r="H22" s="1" t="s">
        <v>11</v>
      </c>
    </row>
    <row r="23" spans="2:8" ht="12.75">
      <c r="B23" s="6"/>
      <c r="C23" s="6"/>
      <c r="D23" s="158"/>
      <c r="F23" s="2">
        <f>-SIN(D11)*COS(E11)*F19-SIN(D11)*SIN(E11)*G19+COS(D11)*H19</f>
        <v>849.1679711474033</v>
      </c>
      <c r="G23" s="2">
        <f>-SIN(E11)*F19+COS(E11)*G19</f>
        <v>-389.9134396052748</v>
      </c>
      <c r="H23" s="2">
        <f>COS(D11)*COS(E11)*F19+COS(D11)*SIN(E11)*G19+SIN(D11)*H19</f>
        <v>42.06558892282868</v>
      </c>
    </row>
    <row r="24" spans="2:4" ht="12.75">
      <c r="B24" s="6"/>
      <c r="C24" s="6"/>
      <c r="D24" s="14"/>
    </row>
    <row r="26" spans="1:7" ht="12.75">
      <c r="A26" s="10" t="s">
        <v>418</v>
      </c>
      <c r="C26" s="2"/>
      <c r="D26" s="12" t="s">
        <v>403</v>
      </c>
      <c r="G26" s="12" t="s">
        <v>407</v>
      </c>
    </row>
    <row r="27" spans="1:8" ht="15" thickBot="1">
      <c r="A27" s="10" t="s">
        <v>419</v>
      </c>
      <c r="C27" t="s">
        <v>4</v>
      </c>
      <c r="D27" s="4" t="s">
        <v>454</v>
      </c>
      <c r="E27" s="4" t="s">
        <v>455</v>
      </c>
      <c r="F27" s="12" t="s">
        <v>157</v>
      </c>
      <c r="G27" s="12" t="s">
        <v>158</v>
      </c>
      <c r="H27" s="12" t="s">
        <v>159</v>
      </c>
    </row>
    <row r="28" spans="1:8" ht="13.5" thickBot="1">
      <c r="A28" s="155" t="s">
        <v>481</v>
      </c>
      <c r="B28" s="179" t="s">
        <v>447</v>
      </c>
      <c r="C28" s="155">
        <v>0</v>
      </c>
      <c r="D28" s="156">
        <v>42</v>
      </c>
      <c r="E28" s="156">
        <v>2</v>
      </c>
      <c r="F28" s="2">
        <f>E30*COS(D29)*COS(E29)</f>
        <v>4744107.224810405</v>
      </c>
      <c r="G28" s="2">
        <f>E30*COS(D29)*SIN(E29)</f>
        <v>165667.87484173916</v>
      </c>
      <c r="H28" s="2">
        <f>($C30*(1-$C$6)+C28)*SIN(D29)</f>
        <v>4245603.835991954</v>
      </c>
    </row>
    <row r="29" spans="2:8" ht="14.25">
      <c r="B29" s="1"/>
      <c r="C29" s="4" t="s">
        <v>436</v>
      </c>
      <c r="D29" s="154">
        <f>D28*PI()/180</f>
        <v>0.7330382858376184</v>
      </c>
      <c r="E29" s="154">
        <f>E28*PI()/180</f>
        <v>0.03490658503988659</v>
      </c>
      <c r="F29" s="3"/>
      <c r="G29" s="5"/>
      <c r="H29" s="4"/>
    </row>
    <row r="30" spans="2:8" ht="12.75">
      <c r="B30" s="4" t="s">
        <v>434</v>
      </c>
      <c r="C30" s="2">
        <f>$A$6/SQRT(1-$C$6*(SIN(D29))*(SIN(D29)))</f>
        <v>6387717.179182171</v>
      </c>
      <c r="D30" s="4" t="s">
        <v>435</v>
      </c>
      <c r="E30" s="2">
        <f>C30+C28</f>
        <v>6387717.179182171</v>
      </c>
      <c r="H30" s="6"/>
    </row>
    <row r="31" spans="1:8" ht="13.5" thickBot="1">
      <c r="A31" s="10" t="s">
        <v>420</v>
      </c>
      <c r="C31" s="2"/>
      <c r="D31" s="1"/>
      <c r="E31" s="2"/>
      <c r="H31" s="6"/>
    </row>
    <row r="32" spans="1:8" ht="13.5" thickBot="1">
      <c r="A32" s="155" t="s">
        <v>480</v>
      </c>
      <c r="B32" s="179" t="s">
        <v>260</v>
      </c>
      <c r="C32" s="155">
        <v>0</v>
      </c>
      <c r="D32" s="156">
        <v>42</v>
      </c>
      <c r="E32" s="156">
        <v>-88</v>
      </c>
      <c r="F32" s="2">
        <f>E34*COS(D33)*COS(E33)</f>
        <v>165667.8748417397</v>
      </c>
      <c r="G32" s="2">
        <f>E34*COS(D33)*SIN(E33)</f>
        <v>-4744107.224810405</v>
      </c>
      <c r="H32" s="2">
        <f>($C34*(1-$C$6)+C32)*SIN(D33)</f>
        <v>4245603.835991954</v>
      </c>
    </row>
    <row r="33" spans="2:8" ht="14.25">
      <c r="B33" s="125"/>
      <c r="C33" s="4" t="s">
        <v>436</v>
      </c>
      <c r="D33">
        <f>D32*PI()/180</f>
        <v>0.7330382858376184</v>
      </c>
      <c r="E33">
        <f>E32*PI()/180</f>
        <v>-1.53588974175501</v>
      </c>
      <c r="F33" s="3"/>
      <c r="G33" s="5"/>
      <c r="H33" s="4"/>
    </row>
    <row r="34" spans="2:8" ht="12.75">
      <c r="B34" s="4" t="s">
        <v>434</v>
      </c>
      <c r="C34" s="2">
        <f>$A$6/SQRT(1-$C$6*(SIN(D33))*(SIN(D33)))</f>
        <v>6387717.179182171</v>
      </c>
      <c r="D34" s="4" t="s">
        <v>435</v>
      </c>
      <c r="E34" s="2">
        <f>C34+C32</f>
        <v>6387717.179182171</v>
      </c>
      <c r="H34" s="6"/>
    </row>
    <row r="35" spans="1:7" ht="12.75">
      <c r="A35" s="1"/>
      <c r="B35" s="2"/>
      <c r="C35" s="1"/>
      <c r="D35" s="2"/>
      <c r="G35" s="6"/>
    </row>
    <row r="36" spans="1:8" ht="12.75">
      <c r="A36" s="1"/>
      <c r="B36" s="10" t="s">
        <v>421</v>
      </c>
      <c r="E36" s="12" t="s">
        <v>14</v>
      </c>
      <c r="F36" s="12" t="s">
        <v>398</v>
      </c>
      <c r="G36" s="12" t="s">
        <v>399</v>
      </c>
      <c r="H36" s="12" t="s">
        <v>400</v>
      </c>
    </row>
    <row r="37" spans="1:8" ht="12.75">
      <c r="A37" s="1"/>
      <c r="B37" s="1" t="s">
        <v>102</v>
      </c>
      <c r="C37" s="1" t="s">
        <v>103</v>
      </c>
      <c r="E37" s="2">
        <f>SQRT(F37*F37+G37*G37+H37*H37)</f>
        <v>6713270.321572469</v>
      </c>
      <c r="F37" s="2">
        <f>F32-F28</f>
        <v>-4578439.349968665</v>
      </c>
      <c r="G37" s="2">
        <f>G32-G28</f>
        <v>-4909775.099652144</v>
      </c>
      <c r="H37" s="2">
        <f>H32-H28</f>
        <v>0</v>
      </c>
    </row>
    <row r="38" spans="1:7" ht="12.75">
      <c r="A38" s="1"/>
      <c r="B38" s="7">
        <f>ATAN2(F41,G41)</f>
        <v>-0.9810898581361869</v>
      </c>
      <c r="C38" s="7">
        <f>ASIN(H41/E37)</f>
        <v>-0.5532824127579677</v>
      </c>
      <c r="D38" s="14" t="s">
        <v>104</v>
      </c>
      <c r="G38" s="6"/>
    </row>
    <row r="39" spans="2:8" ht="12.75">
      <c r="B39">
        <f>IF($B38&gt;0,DEGREES($B38),DEGREES($B38)+360)</f>
        <v>303.7876918057078</v>
      </c>
      <c r="C39" s="21">
        <f>C38*180/PI()</f>
        <v>-31.700747129846725</v>
      </c>
      <c r="D39" s="14" t="s">
        <v>95</v>
      </c>
      <c r="F39" s="10" t="s">
        <v>422</v>
      </c>
      <c r="H39" s="6"/>
    </row>
    <row r="40" spans="1:8" ht="12.75">
      <c r="A40" s="1"/>
      <c r="B40" s="21"/>
      <c r="C40" s="21"/>
      <c r="D40" s="14"/>
      <c r="F40" s="12" t="s">
        <v>15</v>
      </c>
      <c r="G40" s="12" t="s">
        <v>16</v>
      </c>
      <c r="H40" s="12" t="s">
        <v>11</v>
      </c>
    </row>
    <row r="41" spans="1:8" ht="12.75">
      <c r="A41" s="1"/>
      <c r="B41" s="6"/>
      <c r="C41" s="6"/>
      <c r="D41" s="158"/>
      <c r="F41" s="2">
        <f>-SIN(D29)*COS(E29)*F37-SIN(D29)*SIN(E29)*G37+COS(D29)*H37</f>
        <v>3176362.2980583664</v>
      </c>
      <c r="G41" s="2">
        <f>-SIN(E29)*F37+COS(E29)*G37</f>
        <v>-4746998.968322287</v>
      </c>
      <c r="H41" s="2">
        <f>COS(D29)*COS(E29)*F37+COS(D29)*SIN(E29)*G37+SIN(D29)*H37</f>
        <v>-3527707.7198552364</v>
      </c>
    </row>
    <row r="42" spans="1:7" ht="12.75">
      <c r="A42" s="1"/>
      <c r="B42" s="6"/>
      <c r="C42" s="6"/>
      <c r="D42" s="14"/>
      <c r="G42" s="6"/>
    </row>
    <row r="43" spans="1:8" ht="12.75">
      <c r="A43" s="1" t="s">
        <v>335</v>
      </c>
      <c r="B43" s="2">
        <v>41</v>
      </c>
      <c r="C43" s="1">
        <v>50</v>
      </c>
      <c r="D43" s="2">
        <v>22.806633</v>
      </c>
      <c r="E43">
        <v>88</v>
      </c>
      <c r="F43">
        <v>16</v>
      </c>
      <c r="G43" s="6">
        <v>12.910936</v>
      </c>
      <c r="H43">
        <v>196.1024393</v>
      </c>
    </row>
    <row r="44" spans="1:8" ht="12.75" hidden="1">
      <c r="A44" s="25">
        <f>F41+32.8658</f>
        <v>3176395.163858366</v>
      </c>
      <c r="B44" s="25">
        <f>G41-5.1943</f>
        <v>-4747004.162622287</v>
      </c>
      <c r="C44" s="25">
        <f>H41-0.5534</f>
        <v>-3527708.2732552364</v>
      </c>
      <c r="D44" s="25">
        <f>SQRT(SUMSQ(B44:C44))</f>
        <v>5914285.601925795</v>
      </c>
      <c r="F44" s="4"/>
      <c r="H44" s="6"/>
    </row>
    <row r="45" ht="12.75">
      <c r="A45" s="9" t="s">
        <v>22</v>
      </c>
    </row>
    <row r="46" spans="2:5" ht="12.75">
      <c r="B46" s="12" t="s">
        <v>423</v>
      </c>
      <c r="C46" s="12" t="s">
        <v>424</v>
      </c>
      <c r="D46" s="12" t="s">
        <v>425</v>
      </c>
      <c r="E46" s="12" t="s">
        <v>26</v>
      </c>
    </row>
    <row r="47" spans="2:7" ht="12.75">
      <c r="B47" s="8">
        <f>F19-F37</f>
        <v>4578033.422018853</v>
      </c>
      <c r="C47" s="8">
        <f>G19-G37</f>
        <v>4910298.061530701</v>
      </c>
      <c r="D47" s="8">
        <f>H19-H37</f>
        <v>660.773501675576</v>
      </c>
      <c r="E47" s="2">
        <f>E19-E37</f>
        <v>-6712334.9669619715</v>
      </c>
      <c r="G47" s="2"/>
    </row>
    <row r="48" spans="2:6" ht="12.75">
      <c r="B48" s="12" t="s">
        <v>23</v>
      </c>
      <c r="C48" s="12" t="s">
        <v>24</v>
      </c>
      <c r="D48" s="12" t="s">
        <v>25</v>
      </c>
      <c r="E48" s="12" t="s">
        <v>105</v>
      </c>
      <c r="F48" s="10" t="s">
        <v>30</v>
      </c>
    </row>
    <row r="49" spans="2:5" ht="12.75">
      <c r="B49" s="2">
        <f>-SIN(D29)*COS(E29)*B47-SIN(D29)*SIN(E29)*C47+COS(D29)*D47</f>
        <v>-3175612.006671294</v>
      </c>
      <c r="C49" s="2">
        <f>-SIN(E29)*B47+COS(E29)*C47</f>
        <v>4747535.778307743</v>
      </c>
      <c r="D49" s="2">
        <f>COS(D29)*COS(E29)*B47+COS(D29)*SIN(E29)*C47+SIN(D29)*D47</f>
        <v>3527861.9473540112</v>
      </c>
      <c r="E49" s="2">
        <f>SQRT(B49*B49+C49*C49+D49*D49)</f>
        <v>6713376.013811191</v>
      </c>
    </row>
    <row r="50" spans="2:8" ht="12.75">
      <c r="B50" s="12" t="s">
        <v>23</v>
      </c>
      <c r="C50" s="12" t="s">
        <v>24</v>
      </c>
      <c r="D50" s="12" t="s">
        <v>25</v>
      </c>
      <c r="E50" s="12" t="s">
        <v>105</v>
      </c>
      <c r="F50" s="10" t="s">
        <v>94</v>
      </c>
      <c r="H50" s="1"/>
    </row>
    <row r="51" spans="2:8" ht="12.75">
      <c r="B51" s="2">
        <f>F23-F41</f>
        <v>-3175513.130087219</v>
      </c>
      <c r="C51" s="2">
        <f>G23-G41</f>
        <v>4746609.054882682</v>
      </c>
      <c r="D51" s="2">
        <f>H23-H41</f>
        <v>3527749.785444159</v>
      </c>
      <c r="E51" s="2">
        <f>SQRT(B51*B51+C51*C51+D51*D51)</f>
        <v>6712614.967950412</v>
      </c>
      <c r="G51" s="4"/>
      <c r="H51" s="26"/>
    </row>
    <row r="52" spans="7:8" ht="13.5" thickBot="1">
      <c r="G52" s="4"/>
      <c r="H52" s="26"/>
    </row>
    <row r="53" spans="1:8" ht="12.75">
      <c r="A53" s="182" t="s">
        <v>416</v>
      </c>
      <c r="B53" s="183"/>
      <c r="C53" s="183"/>
      <c r="D53" s="184"/>
      <c r="E53" s="183" t="s">
        <v>417</v>
      </c>
      <c r="F53" s="185"/>
      <c r="G53" s="186"/>
      <c r="H53" s="187"/>
    </row>
    <row r="54" spans="1:8" ht="15" thickBot="1">
      <c r="A54" s="188">
        <v>0</v>
      </c>
      <c r="B54" s="50" t="s">
        <v>17</v>
      </c>
      <c r="C54" s="51" t="s">
        <v>18</v>
      </c>
      <c r="D54" s="168">
        <v>0</v>
      </c>
      <c r="E54" s="167">
        <v>0</v>
      </c>
      <c r="F54" s="167">
        <v>0</v>
      </c>
      <c r="G54" s="50" t="s">
        <v>17</v>
      </c>
      <c r="H54" s="189" t="s">
        <v>18</v>
      </c>
    </row>
    <row r="55" spans="1:8" ht="13.5" thickBot="1">
      <c r="A55" s="190">
        <v>88</v>
      </c>
      <c r="B55" s="164">
        <v>16</v>
      </c>
      <c r="C55" s="157">
        <v>12.910936</v>
      </c>
      <c r="D55" s="169">
        <f>A55+(B55+C55/60)/60</f>
        <v>88.27025303777778</v>
      </c>
      <c r="E55" s="165">
        <v>41.83202350680571</v>
      </c>
      <c r="F55" s="166">
        <f>ROUNDDOWN(E55,0)</f>
        <v>41</v>
      </c>
      <c r="G55" s="166">
        <f>ROUNDDOWN((E55-F55)*60,0)</f>
        <v>49</v>
      </c>
      <c r="H55" s="191">
        <f>((E55-F55)*60-G55)*60</f>
        <v>55.28462450056168</v>
      </c>
    </row>
    <row r="56" spans="1:8" ht="12.75">
      <c r="A56" s="192" t="s">
        <v>486</v>
      </c>
      <c r="B56" s="172"/>
      <c r="C56" s="44"/>
      <c r="D56" s="45"/>
      <c r="E56" s="173"/>
      <c r="F56" s="166"/>
      <c r="G56" s="166"/>
      <c r="H56" s="191"/>
    </row>
    <row r="57" spans="1:8" ht="13.5" thickBot="1">
      <c r="A57" s="193" t="s">
        <v>430</v>
      </c>
      <c r="B57" s="194"/>
      <c r="C57" s="194"/>
      <c r="D57" s="194"/>
      <c r="E57" s="194"/>
      <c r="F57" s="194"/>
      <c r="G57" s="195"/>
      <c r="H57" s="196"/>
    </row>
    <row r="58" spans="1:8" ht="13.5" thickBot="1">
      <c r="A58" s="45"/>
      <c r="B58" s="45"/>
      <c r="C58" s="45"/>
      <c r="D58" s="45"/>
      <c r="E58" s="45"/>
      <c r="F58" s="45"/>
      <c r="G58" s="51"/>
      <c r="H58" s="62"/>
    </row>
    <row r="59" spans="1:8" ht="12.75">
      <c r="A59" s="197" t="s">
        <v>448</v>
      </c>
      <c r="B59" s="198"/>
      <c r="C59" s="199"/>
      <c r="D59" s="45"/>
      <c r="E59" s="206"/>
      <c r="F59" s="207" t="s">
        <v>450</v>
      </c>
      <c r="G59" s="208"/>
      <c r="H59" s="62"/>
    </row>
    <row r="60" spans="1:8" ht="13.5" thickBot="1">
      <c r="A60" s="200" t="s">
        <v>449</v>
      </c>
      <c r="B60" s="45"/>
      <c r="C60" s="201"/>
      <c r="D60" s="45"/>
      <c r="E60" s="209"/>
      <c r="F60" s="47" t="s">
        <v>451</v>
      </c>
      <c r="G60" s="210" t="s">
        <v>452</v>
      </c>
      <c r="H60" s="62"/>
    </row>
    <row r="61" spans="1:8" ht="13.5" thickBot="1">
      <c r="A61" s="202" t="s">
        <v>432</v>
      </c>
      <c r="B61" s="47" t="s">
        <v>431</v>
      </c>
      <c r="C61" s="203" t="s">
        <v>433</v>
      </c>
      <c r="D61" s="45"/>
      <c r="E61" s="209">
        <v>1</v>
      </c>
      <c r="F61" s="180">
        <v>0</v>
      </c>
      <c r="G61" s="211">
        <v>0</v>
      </c>
      <c r="H61" s="62"/>
    </row>
    <row r="62" spans="1:8" ht="13.5" thickBot="1">
      <c r="A62" s="226">
        <v>1240</v>
      </c>
      <c r="B62" s="204">
        <v>-32</v>
      </c>
      <c r="C62" s="205">
        <f>$A62*12*0.0254+$B62</f>
        <v>345.952</v>
      </c>
      <c r="D62" s="45"/>
      <c r="E62" s="209">
        <v>2</v>
      </c>
      <c r="F62" s="180">
        <v>-10</v>
      </c>
      <c r="G62" s="211">
        <v>100</v>
      </c>
      <c r="H62" s="62"/>
    </row>
    <row r="63" spans="1:8" ht="13.5" thickBot="1">
      <c r="A63" s="172"/>
      <c r="B63" s="54"/>
      <c r="C63" s="48"/>
      <c r="D63" s="45"/>
      <c r="E63" s="247" t="s">
        <v>487</v>
      </c>
      <c r="F63" s="213">
        <f>F61+((G63-G61)*(F62-F61))/(G62-G61)</f>
        <v>7</v>
      </c>
      <c r="G63" s="181">
        <v>-70</v>
      </c>
      <c r="H63" s="62"/>
    </row>
    <row r="64" spans="7:8" ht="13.5" thickBot="1">
      <c r="G64" s="4"/>
      <c r="H64" s="26"/>
    </row>
    <row r="65" spans="2:8" ht="12.75">
      <c r="B65" s="214" t="s">
        <v>442</v>
      </c>
      <c r="C65" s="215"/>
      <c r="D65" s="215"/>
      <c r="E65" s="215"/>
      <c r="F65" s="216" t="s">
        <v>147</v>
      </c>
      <c r="G65" s="215"/>
      <c r="H65" s="217"/>
    </row>
    <row r="66" spans="2:8" ht="15" thickBot="1">
      <c r="B66" s="218"/>
      <c r="C66" s="45"/>
      <c r="D66" s="171" t="s">
        <v>426</v>
      </c>
      <c r="E66" s="45"/>
      <c r="F66" s="45"/>
      <c r="G66" s="45"/>
      <c r="H66" s="219"/>
    </row>
    <row r="67" spans="2:8" ht="15" thickBot="1">
      <c r="B67" s="218"/>
      <c r="C67" s="51" t="s">
        <v>411</v>
      </c>
      <c r="D67" s="36">
        <v>41.832023507247996</v>
      </c>
      <c r="E67" s="53" t="s">
        <v>443</v>
      </c>
      <c r="F67" s="161" t="s">
        <v>155</v>
      </c>
      <c r="G67" s="161" t="s">
        <v>139</v>
      </c>
      <c r="H67" s="220" t="s">
        <v>140</v>
      </c>
    </row>
    <row r="68" spans="2:8" ht="13.5" thickBot="1">
      <c r="B68" s="218"/>
      <c r="C68" s="48">
        <f>SQRT(F68*F68+G68*G68)/COS((D69*PI())/180)-$A$6/SQRT(1-$C$6*POWER(SIN((D69*PI())/180),2))</f>
        <v>153.96829725708812</v>
      </c>
      <c r="D68" s="163">
        <f>D69</f>
        <v>41.83202350680735</v>
      </c>
      <c r="E68" s="45">
        <f>(180/PI())*ATAN2(F68,G68)</f>
        <v>-88.26555873341539</v>
      </c>
      <c r="F68" s="157">
        <v>144058.55234079924</v>
      </c>
      <c r="G68" s="157">
        <v>-4757396.9876393</v>
      </c>
      <c r="H68" s="221">
        <v>4231823.074484399</v>
      </c>
    </row>
    <row r="69" spans="2:8" ht="14.25">
      <c r="B69" s="218"/>
      <c r="C69" s="53" t="s">
        <v>427</v>
      </c>
      <c r="D69" s="49">
        <f>(180/PI())*ATAN(H68/(SQRT(F68*F68+G68*G68))*(1+$C$6*$A$6*SIN((D67*PI())/180)/(H68*SQRT(1-$C$6*POWER(SIN((D67*PI())/180),2)))))</f>
        <v>41.83202350680735</v>
      </c>
      <c r="E69" s="160">
        <v>0</v>
      </c>
      <c r="F69" s="45"/>
      <c r="G69" s="45"/>
      <c r="H69" s="219"/>
    </row>
    <row r="70" spans="2:8" ht="14.25">
      <c r="B70" s="218"/>
      <c r="C70" s="53" t="s">
        <v>429</v>
      </c>
      <c r="D70" s="45">
        <f>(180/PI())*ATAN(H68/((1-$C$6)*SQRT(F68*F68+G68*G68)))</f>
        <v>41.83202813209218</v>
      </c>
      <c r="E70" s="174" t="s">
        <v>437</v>
      </c>
      <c r="F70" s="45"/>
      <c r="G70" s="45"/>
      <c r="H70" s="219"/>
    </row>
    <row r="71" spans="2:8" ht="12.75">
      <c r="B71" s="218" t="s">
        <v>412</v>
      </c>
      <c r="C71" s="45"/>
      <c r="D71" s="45"/>
      <c r="E71" s="45" t="s">
        <v>438</v>
      </c>
      <c r="F71" s="45"/>
      <c r="G71" s="45"/>
      <c r="H71" s="219"/>
    </row>
    <row r="72" spans="2:8" ht="12.75">
      <c r="B72" s="218" t="s">
        <v>413</v>
      </c>
      <c r="C72" s="45"/>
      <c r="D72" s="45"/>
      <c r="E72" s="45" t="s">
        <v>439</v>
      </c>
      <c r="F72" s="45"/>
      <c r="G72" s="56"/>
      <c r="H72" s="219"/>
    </row>
    <row r="73" spans="2:8" ht="12.75">
      <c r="B73" s="218" t="s">
        <v>414</v>
      </c>
      <c r="C73" s="45"/>
      <c r="D73" s="45"/>
      <c r="E73" s="162" t="s">
        <v>440</v>
      </c>
      <c r="F73" s="45"/>
      <c r="G73" s="45"/>
      <c r="H73" s="219"/>
    </row>
    <row r="74" spans="2:8" ht="13.5" thickBot="1">
      <c r="B74" s="222" t="s">
        <v>415</v>
      </c>
      <c r="C74" s="223"/>
      <c r="D74" s="223"/>
      <c r="E74" s="224" t="s">
        <v>441</v>
      </c>
      <c r="F74" s="223"/>
      <c r="G74" s="223"/>
      <c r="H74" s="225"/>
    </row>
    <row r="75" spans="3:8" ht="12.75">
      <c r="C75" s="45"/>
      <c r="D75" s="45"/>
      <c r="E75" s="45"/>
      <c r="F75" s="45"/>
      <c r="G75" s="45"/>
      <c r="H75" s="45"/>
    </row>
  </sheetData>
  <printOptions/>
  <pageMargins left="0.25" right="0.2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8"/>
  <dimension ref="A2:L96"/>
  <sheetViews>
    <sheetView workbookViewId="0" topLeftCell="A24">
      <selection activeCell="A50" sqref="A50:E50"/>
    </sheetView>
  </sheetViews>
  <sheetFormatPr defaultColWidth="9.140625" defaultRowHeight="12.75"/>
  <cols>
    <col min="1" max="1" width="13.140625" style="0" customWidth="1"/>
    <col min="2" max="2" width="7.28125" style="0" customWidth="1"/>
    <col min="3" max="3" width="15.00390625" style="0" customWidth="1"/>
    <col min="4" max="4" width="14.28125" style="0" customWidth="1"/>
    <col min="5" max="5" width="15.7109375" style="0" customWidth="1"/>
    <col min="6" max="6" width="13.421875" style="0" customWidth="1"/>
    <col min="7" max="7" width="12.7109375" style="0" customWidth="1"/>
    <col min="8" max="9" width="11.57421875" style="0" customWidth="1"/>
    <col min="10" max="10" width="13.8515625" style="0" customWidth="1"/>
    <col min="11" max="11" width="15.421875" style="0" customWidth="1"/>
    <col min="12" max="12" width="15.00390625" style="0" customWidth="1"/>
  </cols>
  <sheetData>
    <row r="2" spans="1:7" ht="15.75">
      <c r="A2" s="65" t="s">
        <v>160</v>
      </c>
      <c r="B2" s="65"/>
      <c r="C2" s="64" t="s">
        <v>161</v>
      </c>
      <c r="D2" s="64" t="s">
        <v>188</v>
      </c>
      <c r="E2" s="1" t="s">
        <v>175</v>
      </c>
      <c r="F2" s="1" t="s">
        <v>176</v>
      </c>
      <c r="G2" s="65" t="s">
        <v>170</v>
      </c>
    </row>
    <row r="3" spans="1:7" ht="12.75">
      <c r="A3" s="65" t="s">
        <v>163</v>
      </c>
      <c r="B3" s="65"/>
      <c r="C3" s="65" t="s">
        <v>162</v>
      </c>
      <c r="D3" s="65" t="s">
        <v>19</v>
      </c>
      <c r="E3" s="63"/>
      <c r="F3" s="63"/>
      <c r="G3" s="65" t="s">
        <v>168</v>
      </c>
    </row>
    <row r="4" spans="1:7" ht="12.75">
      <c r="A4" s="83">
        <v>299792458</v>
      </c>
      <c r="B4" s="66"/>
      <c r="C4" s="67">
        <v>7.292115816E-05</v>
      </c>
      <c r="D4" s="66">
        <f>ATAN2(C16,D16)</f>
        <v>0.030271887651624207</v>
      </c>
      <c r="E4" s="75">
        <f>SQRT(1-POWER(F18/A4,2))</f>
        <v>0.9999999999993299</v>
      </c>
      <c r="F4" s="74">
        <f>1+(F18*C19)/($A$4*$A$4)</f>
        <v>0.9999994868304137</v>
      </c>
      <c r="G4" s="91">
        <f>F15/A4</f>
        <v>0.0024528297898503792</v>
      </c>
    </row>
    <row r="5" spans="1:7" ht="12.75">
      <c r="A5" s="63"/>
      <c r="B5" s="63"/>
      <c r="C5" s="63"/>
      <c r="D5" s="63"/>
      <c r="E5" s="63"/>
      <c r="F5" s="63"/>
      <c r="G5" s="92">
        <v>0.0024528297898503792</v>
      </c>
    </row>
    <row r="6" spans="1:7" ht="15.75">
      <c r="A6" s="65" t="s">
        <v>224</v>
      </c>
      <c r="B6" s="63"/>
      <c r="C6" s="64" t="s">
        <v>223</v>
      </c>
      <c r="D6" s="65" t="s">
        <v>222</v>
      </c>
      <c r="E6" s="1" t="s">
        <v>220</v>
      </c>
      <c r="F6" s="1" t="s">
        <v>221</v>
      </c>
      <c r="G6" s="92"/>
    </row>
    <row r="7" spans="1:7" ht="12.75">
      <c r="A7" s="65" t="s">
        <v>219</v>
      </c>
      <c r="B7" s="63"/>
      <c r="C7" s="65" t="s">
        <v>162</v>
      </c>
      <c r="D7" s="65" t="s">
        <v>163</v>
      </c>
      <c r="E7" s="63"/>
      <c r="F7" s="63"/>
      <c r="G7" s="92"/>
    </row>
    <row r="8" spans="1:7" ht="12.75">
      <c r="A8" s="67">
        <v>149500000000</v>
      </c>
      <c r="B8" s="63"/>
      <c r="C8" s="67">
        <v>1.991063797E-07</v>
      </c>
      <c r="D8" s="70">
        <f>A8*C8</f>
        <v>29766.40376515</v>
      </c>
      <c r="E8" s="75">
        <f>SQRT(1-POWER(D8/A4,2))</f>
        <v>0.9999999950707444</v>
      </c>
      <c r="F8" s="74">
        <f>1+(D8*C25)/($A$4*$A$4)</f>
        <v>1.00007020865733</v>
      </c>
      <c r="G8" s="92"/>
    </row>
    <row r="9" spans="1:7" ht="12.75">
      <c r="A9" s="63"/>
      <c r="B9" s="63"/>
      <c r="C9" s="63"/>
      <c r="D9" s="63"/>
      <c r="E9" s="63"/>
      <c r="F9" s="63"/>
      <c r="G9" s="92"/>
    </row>
    <row r="10" spans="3:6" ht="12.75">
      <c r="C10" s="1" t="s">
        <v>157</v>
      </c>
      <c r="D10" s="1" t="s">
        <v>158</v>
      </c>
      <c r="E10" s="1" t="s">
        <v>159</v>
      </c>
      <c r="F10" s="1" t="s">
        <v>14</v>
      </c>
    </row>
    <row r="11" spans="1:5" ht="12.75">
      <c r="A11" s="1" t="s">
        <v>108</v>
      </c>
      <c r="B11" s="1" t="s">
        <v>187</v>
      </c>
      <c r="C11" s="2">
        <v>144059.44000000128</v>
      </c>
      <c r="D11" s="2">
        <v>-4757398.4889</v>
      </c>
      <c r="E11" s="2">
        <v>4231821.604400001</v>
      </c>
    </row>
    <row r="12" spans="1:5" ht="12.75">
      <c r="A12" s="1" t="s">
        <v>136</v>
      </c>
      <c r="B12" s="1" t="s">
        <v>187</v>
      </c>
      <c r="C12" s="2">
        <v>-167796.99235849088</v>
      </c>
      <c r="D12" s="2">
        <v>-4287098.7216036925</v>
      </c>
      <c r="E12" s="2">
        <v>4703296.872007008</v>
      </c>
    </row>
    <row r="13" spans="1:6" ht="12.75">
      <c r="A13" s="82" t="s">
        <v>180</v>
      </c>
      <c r="B13" s="47"/>
      <c r="C13" s="44">
        <f>-D12*$C$4*$G$5</f>
        <v>0.766804149097804</v>
      </c>
      <c r="D13" s="44">
        <f>C12*$C$4*$G$5</f>
        <v>-0.03001270516543929</v>
      </c>
      <c r="E13" s="48">
        <v>0</v>
      </c>
      <c r="F13" s="70">
        <f>SQRT(SUMSQ(C13,D13,E13))</f>
        <v>0.7673912727839396</v>
      </c>
    </row>
    <row r="14" spans="1:7" ht="12.75">
      <c r="A14" s="47" t="s">
        <v>177</v>
      </c>
      <c r="B14" s="79"/>
      <c r="C14" s="80">
        <f>C12+C13</f>
        <v>-167796.2255543418</v>
      </c>
      <c r="D14" s="80">
        <f>D12+D13</f>
        <v>-4287098.751616398</v>
      </c>
      <c r="E14" s="80">
        <f>E12+E13</f>
        <v>4703296.872007008</v>
      </c>
      <c r="F14" s="66"/>
      <c r="G14" s="81"/>
    </row>
    <row r="15" spans="1:6" ht="12.75">
      <c r="A15" s="1" t="s">
        <v>173</v>
      </c>
      <c r="B15" s="1"/>
      <c r="C15" s="2">
        <f>C14-C11</f>
        <v>-311855.6655543431</v>
      </c>
      <c r="D15" s="2">
        <f>D14-D11</f>
        <v>470299.73728360236</v>
      </c>
      <c r="E15" s="2">
        <f>E14-E11</f>
        <v>471475.2676070072</v>
      </c>
      <c r="F15" s="70">
        <f>SQRT(SUMSQ(C15,D15,E15))</f>
        <v>735339.8717548687</v>
      </c>
    </row>
    <row r="16" spans="1:7" ht="12.75">
      <c r="A16" s="68" t="s">
        <v>178</v>
      </c>
      <c r="B16" s="72" t="s">
        <v>9</v>
      </c>
      <c r="C16" s="69">
        <f>-D11*$C$4</f>
        <v>346.9150076392219</v>
      </c>
      <c r="D16" s="69">
        <f>C11*$C$4</f>
        <v>10.504981208681125</v>
      </c>
      <c r="E16" s="57">
        <v>0</v>
      </c>
      <c r="F16" s="66">
        <f>SQRT(SUMSQ(C16,D16))</f>
        <v>347.07402258814494</v>
      </c>
      <c r="G16" s="45"/>
    </row>
    <row r="17" spans="1:7" ht="12.75">
      <c r="A17" s="1" t="s">
        <v>156</v>
      </c>
      <c r="B17" s="45" t="s">
        <v>165</v>
      </c>
      <c r="C17" s="48">
        <f>C15*COS($D$4)-D15*SIN($D$4)</f>
        <v>-325947.47269511037</v>
      </c>
      <c r="D17" s="48">
        <f>C15*SIN($D$4)+D15*COS($D$4)</f>
        <v>460645.247528983</v>
      </c>
      <c r="E17" s="48">
        <f>E15</f>
        <v>471475.2676070072</v>
      </c>
      <c r="F17" s="66">
        <f>SQRT(SUMSQ(C17,D17,E17))</f>
        <v>735339.8717548687</v>
      </c>
      <c r="G17" s="45"/>
    </row>
    <row r="18" spans="1:7" ht="12.75">
      <c r="A18" s="68" t="s">
        <v>164</v>
      </c>
      <c r="B18" s="45" t="s">
        <v>165</v>
      </c>
      <c r="C18" s="57">
        <f>C16*COS($D$4)-D16*SIN($D$4)</f>
        <v>346.4381085005862</v>
      </c>
      <c r="D18" s="57">
        <f>C16*SIN($D$4)+D16*COS($D$4)</f>
        <v>21.000336522356456</v>
      </c>
      <c r="E18" s="57">
        <f>E16</f>
        <v>0</v>
      </c>
      <c r="F18" s="71">
        <f>SQRT(SUMSQ(C18,D18,E18))</f>
        <v>347.074022588145</v>
      </c>
      <c r="G18" s="45"/>
    </row>
    <row r="19" spans="1:7" ht="12.75">
      <c r="A19" s="1" t="s">
        <v>173</v>
      </c>
      <c r="B19" s="47" t="s">
        <v>185</v>
      </c>
      <c r="C19" s="48">
        <f>(C17*$A$4)/F17</f>
        <v>-132886298.93678553</v>
      </c>
      <c r="D19" s="48">
        <f>(D17*$A$4)/F17</f>
        <v>187801554.52901685</v>
      </c>
      <c r="E19" s="48">
        <f>(E17*$A$4)/F17</f>
        <v>192216871.1249087</v>
      </c>
      <c r="F19" s="73">
        <f>SQRT(SUMSQ(C19,D19,E19))</f>
        <v>299792458</v>
      </c>
      <c r="G19" s="45"/>
    </row>
    <row r="20" spans="1:7" ht="12.75">
      <c r="A20" s="1" t="s">
        <v>228</v>
      </c>
      <c r="B20" s="47"/>
      <c r="C20" s="61"/>
      <c r="D20" s="61"/>
      <c r="E20" s="61"/>
      <c r="F20" s="73"/>
      <c r="G20" s="45"/>
    </row>
    <row r="21" spans="1:7" ht="12.75">
      <c r="A21" s="82" t="s">
        <v>225</v>
      </c>
      <c r="B21" s="95" t="s">
        <v>235</v>
      </c>
      <c r="C21" s="48">
        <f>A8*C8*G5</f>
        <v>73.01192189187441</v>
      </c>
      <c r="D21" s="48">
        <v>0</v>
      </c>
      <c r="E21" s="48">
        <v>0</v>
      </c>
      <c r="F21" s="70">
        <f>SQRT(SUMSQ(C21,D21,E21))</f>
        <v>73.01192189187441</v>
      </c>
      <c r="G21" s="45"/>
    </row>
    <row r="22" spans="1:7" ht="12.75">
      <c r="A22" s="1" t="s">
        <v>226</v>
      </c>
      <c r="B22" s="47"/>
      <c r="C22" s="48">
        <v>0</v>
      </c>
      <c r="D22" s="54">
        <v>0</v>
      </c>
      <c r="E22" s="54">
        <v>0</v>
      </c>
      <c r="F22" s="73"/>
      <c r="G22" s="45"/>
    </row>
    <row r="23" spans="1:7" ht="12.75">
      <c r="A23" s="1" t="s">
        <v>227</v>
      </c>
      <c r="B23" s="47" t="s">
        <v>229</v>
      </c>
      <c r="C23" s="70">
        <v>519963.8097947138</v>
      </c>
      <c r="D23" s="70">
        <v>519963.8097947138</v>
      </c>
      <c r="E23" s="54">
        <v>0</v>
      </c>
      <c r="F23" s="73">
        <f>SQRT(SUMSQ(C23,D23,E23))</f>
        <v>735339.8717548687</v>
      </c>
      <c r="G23" s="45"/>
    </row>
    <row r="24" spans="1:7" ht="12.75">
      <c r="A24" s="1" t="s">
        <v>234</v>
      </c>
      <c r="B24" s="47" t="s">
        <v>236</v>
      </c>
      <c r="C24" s="48">
        <f>C21+C23</f>
        <v>520036.8217166057</v>
      </c>
      <c r="D24" s="48">
        <f>D21+D23</f>
        <v>519963.8097947138</v>
      </c>
      <c r="E24" s="54"/>
      <c r="F24" s="73">
        <f>SQRT(SUMSQ(C24,D24,E24))</f>
        <v>735391.5007921577</v>
      </c>
      <c r="G24" s="45"/>
    </row>
    <row r="25" spans="1:7" ht="12.75">
      <c r="A25" s="1" t="s">
        <v>230</v>
      </c>
      <c r="B25" s="94" t="s">
        <v>231</v>
      </c>
      <c r="C25" s="83">
        <v>211985280.00038323</v>
      </c>
      <c r="D25" s="83">
        <v>211985280.00038323</v>
      </c>
      <c r="E25" s="48"/>
      <c r="F25" s="73">
        <f>SQRT(SUMSQ(C25,D25,E25))</f>
        <v>299792458</v>
      </c>
      <c r="G25" s="45"/>
    </row>
    <row r="26" spans="1:7" ht="12.75">
      <c r="A26" s="76"/>
      <c r="B26" s="94" t="s">
        <v>232</v>
      </c>
      <c r="C26" s="48">
        <f>(C25+D8)/F8</f>
        <v>212000162.15740955</v>
      </c>
      <c r="D26" s="48">
        <f>(E8*D25)/F8</f>
        <v>211970396.79850066</v>
      </c>
      <c r="E26" s="54">
        <v>0</v>
      </c>
      <c r="F26" s="93">
        <f>SQRT(SUMSQ(C26,D26,E26))</f>
        <v>299792458</v>
      </c>
      <c r="G26" s="45"/>
    </row>
    <row r="27" spans="1:7" s="63" customFormat="1" ht="12.75">
      <c r="A27" s="82"/>
      <c r="B27" s="47" t="s">
        <v>157</v>
      </c>
      <c r="C27" s="48">
        <f>(C23+$D$8*$G$5)/$E$8</f>
        <v>520036.8242800001</v>
      </c>
      <c r="D27" s="48"/>
      <c r="E27" s="48"/>
      <c r="F27" s="70"/>
      <c r="G27" s="45"/>
    </row>
    <row r="28" spans="1:8" s="63" customFormat="1" ht="12.75">
      <c r="A28" s="82"/>
      <c r="B28" s="76" t="s">
        <v>233</v>
      </c>
      <c r="C28" s="96">
        <f>(G5+(D8*C23)/POWER(A4,2))/E8</f>
        <v>0.0024530020118280578</v>
      </c>
      <c r="D28" s="61"/>
      <c r="E28" s="61"/>
      <c r="F28" s="70"/>
      <c r="G28" s="45">
        <v>735339.8717548687</v>
      </c>
      <c r="H28" s="70">
        <f>G28/SQRT(2)</f>
        <v>519963.8097947138</v>
      </c>
    </row>
    <row r="29" spans="1:8" s="63" customFormat="1" ht="12.75">
      <c r="A29" s="82"/>
      <c r="B29" s="94" t="s">
        <v>232</v>
      </c>
      <c r="C29" s="61">
        <f>C27/C28</f>
        <v>212000162.15740955</v>
      </c>
      <c r="D29" s="61"/>
      <c r="E29" s="61"/>
      <c r="F29" s="70"/>
      <c r="G29" s="45"/>
      <c r="H29" s="83">
        <f>A4/SQRT(2)</f>
        <v>211985280.00038323</v>
      </c>
    </row>
    <row r="30" spans="1:7" s="63" customFormat="1" ht="12.75">
      <c r="A30" s="104" t="s">
        <v>266</v>
      </c>
      <c r="B30" s="45"/>
      <c r="C30" s="61"/>
      <c r="D30" s="61"/>
      <c r="E30" s="61"/>
      <c r="F30" s="70"/>
      <c r="G30" s="109" t="s">
        <v>270</v>
      </c>
    </row>
    <row r="31" spans="1:7" ht="12.75">
      <c r="A31" s="53" t="s">
        <v>108</v>
      </c>
      <c r="B31" s="86" t="s">
        <v>271</v>
      </c>
      <c r="C31" s="105">
        <v>30576.1592267</v>
      </c>
      <c r="D31" s="105">
        <v>29805.3890369</v>
      </c>
      <c r="E31" s="105">
        <v>187.3511301</v>
      </c>
      <c r="F31" s="70"/>
      <c r="G31" s="45"/>
    </row>
    <row r="32" spans="1:7" ht="12.75">
      <c r="A32" s="53" t="s">
        <v>267</v>
      </c>
      <c r="B32" s="51" t="s">
        <v>265</v>
      </c>
      <c r="C32" s="48">
        <f>C31*(39.37/12)</f>
        <v>100315.28239626491</v>
      </c>
      <c r="D32" s="48">
        <f>D31*(39.37/12)</f>
        <v>97786.51386522941</v>
      </c>
      <c r="E32" s="48">
        <f>E31*(39.37/12)</f>
        <v>614.66783266975</v>
      </c>
      <c r="F32" s="66"/>
      <c r="G32" s="48"/>
    </row>
    <row r="33" spans="1:8" s="81" customFormat="1" ht="12.75">
      <c r="A33" s="107">
        <v>36731</v>
      </c>
      <c r="B33" s="51" t="s">
        <v>265</v>
      </c>
      <c r="C33" s="44">
        <v>100308.81779</v>
      </c>
      <c r="D33" s="44">
        <v>97790.24746</v>
      </c>
      <c r="E33" s="44">
        <v>614.14999</v>
      </c>
      <c r="F33" s="66"/>
      <c r="G33" s="45"/>
      <c r="H33" s="110"/>
    </row>
    <row r="34" spans="1:8" ht="12.75">
      <c r="A34" s="106">
        <v>36683</v>
      </c>
      <c r="B34" s="51" t="s">
        <v>265</v>
      </c>
      <c r="C34" s="44">
        <v>100308.82589</v>
      </c>
      <c r="D34" s="44">
        <v>97790.24317</v>
      </c>
      <c r="E34" s="44">
        <v>614.14999</v>
      </c>
      <c r="F34" s="66">
        <v>100176.53541</v>
      </c>
      <c r="G34" s="48">
        <v>97860.04135</v>
      </c>
      <c r="H34" s="110">
        <v>605.41165</v>
      </c>
    </row>
    <row r="35" spans="1:11" ht="12.75">
      <c r="A35" s="108">
        <v>36677</v>
      </c>
      <c r="B35" s="51" t="s">
        <v>265</v>
      </c>
      <c r="C35" s="4"/>
      <c r="D35" s="4"/>
      <c r="F35" s="61">
        <v>100179.92349</v>
      </c>
      <c r="G35" s="61">
        <v>97858.25379</v>
      </c>
      <c r="H35" s="61">
        <v>606.14702</v>
      </c>
      <c r="I35" s="45"/>
      <c r="J35" s="45"/>
      <c r="K35" s="45"/>
    </row>
    <row r="36" spans="1:11" ht="12.75">
      <c r="A36" s="107">
        <v>36731</v>
      </c>
      <c r="B36" s="51" t="s">
        <v>272</v>
      </c>
      <c r="C36" s="44">
        <v>100308.81779</v>
      </c>
      <c r="D36" s="44">
        <v>97790.24746</v>
      </c>
      <c r="E36" s="44">
        <v>614.14999</v>
      </c>
      <c r="F36" s="66">
        <v>100176.5273</v>
      </c>
      <c r="G36" s="48">
        <v>97860.04562</v>
      </c>
      <c r="H36" s="48">
        <v>605.41165</v>
      </c>
      <c r="I36" s="44"/>
      <c r="J36" s="44"/>
      <c r="K36" s="44"/>
    </row>
    <row r="37" spans="1:11" ht="12.75">
      <c r="A37" s="107">
        <v>36731</v>
      </c>
      <c r="B37" s="51" t="s">
        <v>273</v>
      </c>
      <c r="C37" s="48">
        <v>100308.82589</v>
      </c>
      <c r="D37" s="48">
        <v>97790.24317</v>
      </c>
      <c r="E37" s="48">
        <v>614.14999</v>
      </c>
      <c r="F37" s="66">
        <v>100176.5273</v>
      </c>
      <c r="G37" s="48">
        <v>97860.04562</v>
      </c>
      <c r="H37" s="48">
        <v>605.41165</v>
      </c>
      <c r="I37" s="45"/>
      <c r="J37" s="45"/>
      <c r="K37" s="45"/>
    </row>
    <row r="38" spans="1:11" ht="12.75">
      <c r="A38" s="107"/>
      <c r="B38" s="47"/>
      <c r="C38" s="48"/>
      <c r="D38" s="48"/>
      <c r="E38" s="48"/>
      <c r="F38" s="45"/>
      <c r="G38" s="45"/>
      <c r="H38" s="45"/>
      <c r="I38" s="45"/>
      <c r="J38" s="45"/>
      <c r="K38" s="45"/>
    </row>
    <row r="39" spans="1:11" ht="12.75">
      <c r="A39" s="106">
        <v>36431</v>
      </c>
      <c r="B39" s="51" t="s">
        <v>265</v>
      </c>
      <c r="C39" s="48">
        <v>100248.94074</v>
      </c>
      <c r="D39" s="48">
        <v>97821.81246</v>
      </c>
      <c r="E39" s="48">
        <v>610.19524</v>
      </c>
      <c r="F39" s="66">
        <v>100176.52133</v>
      </c>
      <c r="G39" s="112">
        <v>97860.0219</v>
      </c>
      <c r="H39" s="61">
        <v>605.41162</v>
      </c>
      <c r="I39" s="45"/>
      <c r="J39" s="50"/>
      <c r="K39" s="52"/>
    </row>
    <row r="40" spans="1:11" ht="12.75">
      <c r="A40" s="111" t="s">
        <v>274</v>
      </c>
      <c r="B40" s="51" t="s">
        <v>265</v>
      </c>
      <c r="C40" s="61">
        <v>100242.21221</v>
      </c>
      <c r="D40" s="61">
        <v>97825.31107</v>
      </c>
      <c r="E40" s="61">
        <v>610.19261</v>
      </c>
      <c r="F40" s="66"/>
      <c r="G40" s="77"/>
      <c r="H40" s="45"/>
      <c r="I40" s="45"/>
      <c r="J40" s="53"/>
      <c r="K40" s="45"/>
    </row>
    <row r="41" spans="1:11" ht="12.75">
      <c r="A41" s="53"/>
      <c r="B41" s="51"/>
      <c r="C41" s="61"/>
      <c r="D41" s="61"/>
      <c r="E41" s="61"/>
      <c r="F41" s="66"/>
      <c r="G41" s="77"/>
      <c r="H41" s="45"/>
      <c r="I41" s="45"/>
      <c r="J41" s="53"/>
      <c r="K41" s="45"/>
    </row>
    <row r="42" spans="1:11" ht="12.75">
      <c r="A42" s="107">
        <v>36731</v>
      </c>
      <c r="B42" s="51" t="s">
        <v>275</v>
      </c>
      <c r="C42" s="113">
        <f>C36*(12/39.37)</f>
        <v>30574.188810769625</v>
      </c>
      <c r="D42" s="113">
        <f>D36*(12/39.37)</f>
        <v>29806.52703886208</v>
      </c>
      <c r="E42" s="113">
        <f>E36*(12/39.37)</f>
        <v>187.1932913385827</v>
      </c>
      <c r="F42" s="63"/>
      <c r="G42" s="63"/>
      <c r="H42" s="45"/>
      <c r="I42" s="45"/>
      <c r="J42" s="53"/>
      <c r="K42" s="45"/>
    </row>
    <row r="43" spans="1:11" ht="12.75">
      <c r="A43" s="117" t="s">
        <v>277</v>
      </c>
      <c r="B43" s="51"/>
      <c r="C43" s="113"/>
      <c r="D43" s="113"/>
      <c r="E43" s="113"/>
      <c r="F43" s="63"/>
      <c r="G43" s="63"/>
      <c r="H43" s="45"/>
      <c r="I43" s="45"/>
      <c r="J43" s="53"/>
      <c r="K43" s="45"/>
    </row>
    <row r="44" spans="1:11" ht="12.75">
      <c r="A44" s="107">
        <v>36731</v>
      </c>
      <c r="B44" s="51" t="s">
        <v>273</v>
      </c>
      <c r="C44" s="70">
        <v>100300.21436</v>
      </c>
      <c r="D44" s="44">
        <v>97794.78673</v>
      </c>
      <c r="E44" s="118">
        <v>613.58171</v>
      </c>
      <c r="F44" s="63"/>
      <c r="G44" s="63"/>
      <c r="H44" s="45"/>
      <c r="I44" s="45"/>
      <c r="J44" s="53"/>
      <c r="K44" s="45"/>
    </row>
    <row r="45" spans="1:11" ht="12.75">
      <c r="A45" s="107">
        <v>36731</v>
      </c>
      <c r="B45" s="51" t="s">
        <v>278</v>
      </c>
      <c r="C45" s="44">
        <v>100300.21436</v>
      </c>
      <c r="D45" s="44">
        <v>97794.78673</v>
      </c>
      <c r="E45" s="44">
        <v>613.58171</v>
      </c>
      <c r="F45" s="63"/>
      <c r="G45" s="63"/>
      <c r="H45" s="45"/>
      <c r="I45" s="45"/>
      <c r="J45" s="53"/>
      <c r="K45" s="45"/>
    </row>
    <row r="46" spans="1:11" ht="12.75">
      <c r="A46" s="107">
        <v>36731</v>
      </c>
      <c r="B46" s="51" t="s">
        <v>275</v>
      </c>
      <c r="C46" s="113">
        <f>C45*(12/39.37)</f>
        <v>30571.566480060963</v>
      </c>
      <c r="D46" s="113">
        <f>D45*(12/39.37)</f>
        <v>29807.91061112523</v>
      </c>
      <c r="E46" s="113">
        <f>E45*(12/39.37)</f>
        <v>187.02007924815854</v>
      </c>
      <c r="F46" s="63"/>
      <c r="G46" s="63"/>
      <c r="H46" s="45"/>
      <c r="I46" s="45"/>
      <c r="J46" s="53"/>
      <c r="K46" s="45"/>
    </row>
    <row r="47" spans="1:11" ht="12.75">
      <c r="A47" s="4" t="s">
        <v>276</v>
      </c>
      <c r="B47" s="114" t="s">
        <v>219</v>
      </c>
      <c r="C47" s="4">
        <v>30571.57328</v>
      </c>
      <c r="D47" s="4">
        <v>29807.90702</v>
      </c>
      <c r="E47" s="4">
        <v>187.02008</v>
      </c>
      <c r="F47" s="1"/>
      <c r="H47" s="45"/>
      <c r="I47" s="45"/>
      <c r="J47" s="53"/>
      <c r="K47" s="49"/>
    </row>
    <row r="48" spans="1:12" ht="12.75">
      <c r="A48" s="1" t="s">
        <v>279</v>
      </c>
      <c r="B48" s="114" t="s">
        <v>219</v>
      </c>
      <c r="C48" s="2">
        <f>C46-C47</f>
        <v>-0.006799939037591685</v>
      </c>
      <c r="D48" s="2">
        <f>D46-D47</f>
        <v>0.0035911252307414543</v>
      </c>
      <c r="E48" s="2">
        <f>E46-E47</f>
        <v>-7.518414690821373E-07</v>
      </c>
      <c r="F48" s="70">
        <f>SQRT(SUMSQ(C48,D48,E48))</f>
        <v>0.007689951358955191</v>
      </c>
      <c r="H48" s="45"/>
      <c r="I48" s="45"/>
      <c r="J48" s="53"/>
      <c r="K48" s="49"/>
      <c r="L48" s="13"/>
    </row>
    <row r="49" spans="1:12" ht="12.75">
      <c r="A49" s="4" t="s">
        <v>276</v>
      </c>
      <c r="B49" s="114" t="s">
        <v>265</v>
      </c>
      <c r="C49" s="48">
        <f>C47*(39.37/12)</f>
        <v>100300.23666946667</v>
      </c>
      <c r="D49" s="48">
        <f>D47*(39.37/12)</f>
        <v>97794.77494811665</v>
      </c>
      <c r="E49" s="48">
        <f>E47*(39.37/12)</f>
        <v>613.5817124666667</v>
      </c>
      <c r="H49" s="45"/>
      <c r="I49" s="45"/>
      <c r="J49" s="53"/>
      <c r="K49" s="49"/>
      <c r="L49" s="13"/>
    </row>
    <row r="50" spans="1:11" ht="12.75">
      <c r="A50" s="4"/>
      <c r="B50" s="114"/>
      <c r="C50" s="2"/>
      <c r="D50" s="2"/>
      <c r="E50" s="2"/>
      <c r="F50" s="66"/>
      <c r="H50" s="52"/>
      <c r="I50" s="45"/>
      <c r="J50" s="50"/>
      <c r="K50" s="52"/>
    </row>
    <row r="51" spans="1:11" ht="12.75">
      <c r="A51" s="68"/>
      <c r="B51" s="72"/>
      <c r="C51" s="69"/>
      <c r="D51" s="69"/>
      <c r="E51" s="57"/>
      <c r="F51" s="66"/>
      <c r="G51" s="45"/>
      <c r="H51" s="52"/>
      <c r="I51" s="45"/>
      <c r="J51" s="51"/>
      <c r="K51" s="52"/>
    </row>
    <row r="52" spans="1:11" ht="12.75">
      <c r="A52" s="1"/>
      <c r="B52" s="45"/>
      <c r="C52" s="48"/>
      <c r="D52" s="48"/>
      <c r="E52" s="48"/>
      <c r="F52" s="66"/>
      <c r="G52" s="45"/>
      <c r="H52" s="52"/>
      <c r="I52" s="45"/>
      <c r="J52" s="51"/>
      <c r="K52" s="52"/>
    </row>
    <row r="53" spans="1:11" ht="12.75">
      <c r="A53" s="68"/>
      <c r="B53" s="45"/>
      <c r="C53" s="57"/>
      <c r="D53" s="57"/>
      <c r="E53" s="57"/>
      <c r="F53" s="71"/>
      <c r="G53" s="45"/>
      <c r="H53" s="52"/>
      <c r="I53" s="45"/>
      <c r="J53" s="51"/>
      <c r="K53" s="52"/>
    </row>
    <row r="54" spans="1:11" ht="12.75">
      <c r="A54" s="1"/>
      <c r="B54" s="47"/>
      <c r="C54" s="48"/>
      <c r="D54" s="48"/>
      <c r="E54" s="48"/>
      <c r="F54" s="73"/>
      <c r="G54" s="45"/>
      <c r="H54" s="52"/>
      <c r="I54" s="45"/>
      <c r="J54" s="51"/>
      <c r="K54" s="52"/>
    </row>
    <row r="55" spans="1:11" ht="12.75">
      <c r="A55" s="1"/>
      <c r="B55" s="47"/>
      <c r="C55" s="61"/>
      <c r="D55" s="61"/>
      <c r="E55" s="61"/>
      <c r="F55" s="73"/>
      <c r="G55" s="45"/>
      <c r="H55" s="52"/>
      <c r="I55" s="45"/>
      <c r="J55" s="51"/>
      <c r="K55" s="52"/>
    </row>
    <row r="56" spans="1:11" ht="12.75">
      <c r="A56" s="1"/>
      <c r="B56" s="47"/>
      <c r="C56" s="48"/>
      <c r="D56" s="48"/>
      <c r="E56" s="48"/>
      <c r="F56" s="66"/>
      <c r="G56" s="45"/>
      <c r="H56" s="52"/>
      <c r="I56" s="45"/>
      <c r="J56" s="51"/>
      <c r="K56" s="52"/>
    </row>
    <row r="57" spans="1:11" ht="12.75">
      <c r="A57" s="1"/>
      <c r="B57" s="48"/>
      <c r="C57" s="48"/>
      <c r="D57" s="48"/>
      <c r="E57" s="48"/>
      <c r="F57" s="66"/>
      <c r="G57" s="45"/>
      <c r="H57" s="52"/>
      <c r="I57" s="45"/>
      <c r="J57" s="51"/>
      <c r="K57" s="52"/>
    </row>
    <row r="58" spans="1:11" ht="12.75">
      <c r="A58" s="1"/>
      <c r="B58" s="1"/>
      <c r="C58" s="2"/>
      <c r="D58" s="2"/>
      <c r="E58" s="2"/>
      <c r="F58" s="70"/>
      <c r="G58" s="45"/>
      <c r="H58" s="52"/>
      <c r="I58" s="45"/>
      <c r="J58" s="51"/>
      <c r="K58" s="52"/>
    </row>
    <row r="59" spans="1:11" ht="12.75">
      <c r="A59" s="82"/>
      <c r="B59" s="47"/>
      <c r="C59" s="44"/>
      <c r="D59" s="44"/>
      <c r="E59" s="48"/>
      <c r="F59" s="70"/>
      <c r="G59" s="50"/>
      <c r="H59" s="52"/>
      <c r="I59" s="45"/>
      <c r="J59" s="51"/>
      <c r="K59" s="52"/>
    </row>
    <row r="60" spans="1:11" ht="12.75">
      <c r="A60" s="47"/>
      <c r="B60" s="47"/>
      <c r="C60" s="44"/>
      <c r="D60" s="44"/>
      <c r="E60" s="44"/>
      <c r="F60" s="70"/>
      <c r="G60" s="50"/>
      <c r="H60" s="52"/>
      <c r="I60" s="45"/>
      <c r="J60" s="51"/>
      <c r="K60" s="52"/>
    </row>
    <row r="61" spans="1:11" ht="12.75">
      <c r="A61" s="47"/>
      <c r="B61" s="47"/>
      <c r="C61" s="44"/>
      <c r="D61" s="44"/>
      <c r="E61" s="44"/>
      <c r="F61" s="70"/>
      <c r="G61" s="45"/>
      <c r="H61" s="45"/>
      <c r="I61" s="45"/>
      <c r="J61" s="51"/>
      <c r="K61" s="48"/>
    </row>
    <row r="62" spans="1:11" ht="12.75">
      <c r="A62" s="76"/>
      <c r="B62" s="45"/>
      <c r="C62" s="44"/>
      <c r="D62" s="44"/>
      <c r="E62" s="44"/>
      <c r="F62" s="70"/>
      <c r="G62" s="45"/>
      <c r="H62" s="45"/>
      <c r="I62" s="45"/>
      <c r="J62" s="51"/>
      <c r="K62" s="48"/>
    </row>
    <row r="63" spans="1:11" ht="12.75">
      <c r="A63" s="58"/>
      <c r="B63" s="58"/>
      <c r="C63" s="58"/>
      <c r="D63" s="58"/>
      <c r="E63" s="58"/>
      <c r="F63" s="45"/>
      <c r="G63" s="47"/>
      <c r="H63" s="45"/>
      <c r="I63" s="45"/>
      <c r="J63" s="55"/>
      <c r="K63" s="45"/>
    </row>
    <row r="64" spans="1:11" ht="12.75">
      <c r="A64" s="47"/>
      <c r="B64" s="47"/>
      <c r="C64" s="47"/>
      <c r="D64" s="47"/>
      <c r="E64" s="47"/>
      <c r="F64" s="45"/>
      <c r="G64" s="47"/>
      <c r="H64" s="47"/>
      <c r="I64" s="47"/>
      <c r="J64" s="45"/>
      <c r="K64" s="45"/>
    </row>
    <row r="65" spans="1:12" ht="12.75">
      <c r="A65" s="48"/>
      <c r="B65" s="48"/>
      <c r="C65" s="48"/>
      <c r="D65" s="48"/>
      <c r="E65" s="48"/>
      <c r="F65" s="45"/>
      <c r="G65" s="47"/>
      <c r="H65" s="49"/>
      <c r="I65" s="49"/>
      <c r="J65" s="45"/>
      <c r="K65" s="56"/>
      <c r="L65" s="13"/>
    </row>
    <row r="66" spans="1:11" ht="12.75">
      <c r="A66" s="47"/>
      <c r="B66" s="47"/>
      <c r="C66" s="47"/>
      <c r="D66" s="47"/>
      <c r="E66" s="47"/>
      <c r="F66" s="45"/>
      <c r="G66" s="50"/>
      <c r="H66" s="57"/>
      <c r="I66" s="57"/>
      <c r="J66" s="45"/>
      <c r="K66" s="45"/>
    </row>
    <row r="67" spans="1:11" ht="12.75">
      <c r="A67" s="48"/>
      <c r="B67" s="48"/>
      <c r="C67" s="48"/>
      <c r="D67" s="48"/>
      <c r="E67" s="45"/>
      <c r="F67" s="45"/>
      <c r="G67" s="51"/>
      <c r="H67" s="57"/>
      <c r="I67" s="57"/>
      <c r="J67" s="45"/>
      <c r="K67" s="45"/>
    </row>
    <row r="68" spans="1:11" ht="12.75">
      <c r="A68" s="59"/>
      <c r="B68" s="59"/>
      <c r="C68" s="59"/>
      <c r="D68" s="59"/>
      <c r="E68" s="59"/>
      <c r="F68" s="45"/>
      <c r="G68" s="51"/>
      <c r="H68" s="52"/>
      <c r="I68" s="52"/>
      <c r="J68" s="45"/>
      <c r="K68" s="45"/>
    </row>
    <row r="69" spans="1:12" ht="12.75">
      <c r="A69" s="60"/>
      <c r="B69" s="60"/>
      <c r="C69" s="45"/>
      <c r="D69" s="45"/>
      <c r="E69" s="45"/>
      <c r="F69" s="45"/>
      <c r="G69" s="45"/>
      <c r="H69" s="52"/>
      <c r="I69" s="52"/>
      <c r="J69" s="45"/>
      <c r="K69" s="45"/>
      <c r="L69" s="2"/>
    </row>
    <row r="70" spans="1:11" ht="12.75">
      <c r="A70" s="47"/>
      <c r="B70" s="47"/>
      <c r="C70" s="47"/>
      <c r="D70" s="47"/>
      <c r="E70" s="47"/>
      <c r="F70" s="45"/>
      <c r="G70" s="45"/>
      <c r="H70" s="48"/>
      <c r="I70" s="48"/>
      <c r="J70" s="45"/>
      <c r="K70" s="45"/>
    </row>
    <row r="71" spans="1:11" ht="12.75">
      <c r="A71" s="61"/>
      <c r="B71" s="61"/>
      <c r="C71" s="61"/>
      <c r="D71" s="61"/>
      <c r="E71" s="48"/>
      <c r="F71" s="45"/>
      <c r="G71" s="45"/>
      <c r="H71" s="45"/>
      <c r="I71" s="45"/>
      <c r="J71" s="45"/>
      <c r="K71" s="45"/>
    </row>
    <row r="72" spans="1:11" ht="12.75">
      <c r="A72" s="47"/>
      <c r="B72" s="47"/>
      <c r="C72" s="47"/>
      <c r="D72" s="47"/>
      <c r="E72" s="47"/>
      <c r="F72" s="45"/>
      <c r="G72" s="45"/>
      <c r="H72" s="52"/>
      <c r="I72" s="45"/>
      <c r="J72" s="45"/>
      <c r="K72" s="45"/>
    </row>
    <row r="73" spans="1:11" ht="12.75">
      <c r="A73" s="48"/>
      <c r="B73" s="48"/>
      <c r="C73" s="48"/>
      <c r="D73" s="48"/>
      <c r="E73" s="48"/>
      <c r="F73" s="45"/>
      <c r="G73" s="45"/>
      <c r="H73" s="52"/>
      <c r="I73" s="45"/>
      <c r="J73" s="45"/>
      <c r="K73" s="45"/>
    </row>
    <row r="74" spans="1:11" ht="12.75">
      <c r="A74" s="47"/>
      <c r="B74" s="47"/>
      <c r="C74" s="47"/>
      <c r="D74" s="47"/>
      <c r="E74" s="47"/>
      <c r="F74" s="45"/>
      <c r="G74" s="45"/>
      <c r="H74" s="45"/>
      <c r="I74" s="45"/>
      <c r="J74" s="45"/>
      <c r="K74" s="45"/>
    </row>
    <row r="75" spans="1:12" ht="12.75">
      <c r="A75" s="48"/>
      <c r="B75" s="48"/>
      <c r="C75" s="48"/>
      <c r="D75" s="48"/>
      <c r="E75" s="48"/>
      <c r="F75" s="45"/>
      <c r="G75" s="45"/>
      <c r="H75" s="45"/>
      <c r="I75" s="45"/>
      <c r="J75" s="52"/>
      <c r="K75" s="52"/>
      <c r="L75" s="6"/>
    </row>
    <row r="76" spans="1:11" ht="12.75">
      <c r="A76" s="45"/>
      <c r="B76" s="45"/>
      <c r="C76" s="45"/>
      <c r="D76" s="45"/>
      <c r="E76" s="45"/>
      <c r="F76" s="45"/>
      <c r="G76" s="45"/>
      <c r="H76" s="51"/>
      <c r="I76" s="47"/>
      <c r="J76" s="45"/>
      <c r="K76" s="45"/>
    </row>
    <row r="77" spans="8:11" ht="12.75">
      <c r="H77" s="52"/>
      <c r="I77" s="45"/>
      <c r="J77" s="45"/>
      <c r="K77" s="45"/>
    </row>
    <row r="78" spans="8:11" ht="12.75">
      <c r="H78" s="52"/>
      <c r="I78" s="45"/>
      <c r="J78" s="45"/>
      <c r="K78" s="45"/>
    </row>
    <row r="79" spans="8:11" ht="12.75">
      <c r="H79" s="45"/>
      <c r="I79" s="45"/>
      <c r="J79" s="45"/>
      <c r="K79" s="45"/>
    </row>
    <row r="80" spans="8:11" ht="12.75">
      <c r="H80" s="45"/>
      <c r="I80" s="45"/>
      <c r="J80" s="45"/>
      <c r="K80" s="45"/>
    </row>
    <row r="81" spans="8:11" ht="12.75">
      <c r="H81" s="45"/>
      <c r="I81" s="45"/>
      <c r="J81" s="45"/>
      <c r="K81" s="45"/>
    </row>
    <row r="82" spans="8:11" ht="12.75">
      <c r="H82" s="47"/>
      <c r="I82" s="47"/>
      <c r="J82" s="45"/>
      <c r="K82" s="45"/>
    </row>
    <row r="83" spans="8:11" ht="12.75">
      <c r="H83" s="49"/>
      <c r="I83" s="49"/>
      <c r="J83" s="45"/>
      <c r="K83" s="45"/>
    </row>
    <row r="84" spans="8:11" ht="12.75">
      <c r="H84" s="45"/>
      <c r="I84" s="57"/>
      <c r="J84" s="45"/>
      <c r="K84" s="45"/>
    </row>
    <row r="85" spans="8:11" ht="12.75">
      <c r="H85" s="57"/>
      <c r="I85" s="57"/>
      <c r="J85" s="45"/>
      <c r="K85" s="45"/>
    </row>
    <row r="86" spans="8:12" ht="12.75">
      <c r="H86" s="52"/>
      <c r="I86" s="52"/>
      <c r="J86" s="47"/>
      <c r="K86" s="47"/>
      <c r="L86" s="1"/>
    </row>
    <row r="87" spans="8:11" ht="12.75">
      <c r="H87" s="52"/>
      <c r="I87" s="52"/>
      <c r="J87" s="49"/>
      <c r="K87" s="45"/>
    </row>
    <row r="88" spans="8:11" ht="12.75" hidden="1">
      <c r="H88" s="45"/>
      <c r="I88" s="52"/>
      <c r="J88" s="49"/>
      <c r="K88" s="45"/>
    </row>
    <row r="89" spans="8:11" ht="12.75">
      <c r="H89" s="45"/>
      <c r="I89" s="45"/>
      <c r="J89" s="45"/>
      <c r="K89" s="45"/>
    </row>
    <row r="90" spans="8:11" ht="12.75">
      <c r="H90" s="45"/>
      <c r="I90" s="45"/>
      <c r="J90" s="45"/>
      <c r="K90" s="45"/>
    </row>
    <row r="91" spans="8:11" ht="12.75">
      <c r="H91" s="48"/>
      <c r="I91" s="45"/>
      <c r="J91" s="45"/>
      <c r="K91" s="45"/>
    </row>
    <row r="92" spans="8:11" ht="12.75">
      <c r="H92" s="45"/>
      <c r="I92" s="45"/>
      <c r="J92" s="45"/>
      <c r="K92" s="45"/>
    </row>
    <row r="93" spans="8:11" ht="12.75">
      <c r="H93" s="45"/>
      <c r="I93" s="45"/>
      <c r="J93" s="45"/>
      <c r="K93" s="45"/>
    </row>
    <row r="94" spans="8:11" ht="12.75">
      <c r="H94" s="45"/>
      <c r="I94" s="47"/>
      <c r="J94" s="45"/>
      <c r="K94" s="45"/>
    </row>
    <row r="95" spans="8:11" ht="12.75">
      <c r="H95" s="51"/>
      <c r="I95" s="62"/>
      <c r="J95" s="45"/>
      <c r="K95" s="45"/>
    </row>
    <row r="96" spans="8:11" ht="12.75">
      <c r="H96" s="51"/>
      <c r="I96" s="62"/>
      <c r="J96" s="45"/>
      <c r="K96" s="45"/>
    </row>
  </sheetData>
  <printOptions/>
  <pageMargins left="0.75" right="0.75" top="1" bottom="1" header="0.5" footer="0.5"/>
  <pageSetup horizontalDpi="600" verticalDpi="600" orientation="portrait" r:id="rId1"/>
  <rowBreaks count="1" manualBreakCount="1">
    <brk id="6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0"/>
  <dimension ref="A1:L87"/>
  <sheetViews>
    <sheetView workbookViewId="0" topLeftCell="A65">
      <selection activeCell="C42" sqref="C42"/>
    </sheetView>
  </sheetViews>
  <sheetFormatPr defaultColWidth="9.140625" defaultRowHeight="12.75"/>
  <cols>
    <col min="1" max="1" width="13.140625" style="0" customWidth="1"/>
    <col min="2" max="2" width="6.7109375" style="0" customWidth="1"/>
    <col min="3" max="3" width="15.00390625" style="0" customWidth="1"/>
    <col min="4" max="4" width="14.28125" style="0" customWidth="1"/>
    <col min="5" max="5" width="15.7109375" style="0" customWidth="1"/>
    <col min="6" max="6" width="13.421875" style="0" customWidth="1"/>
    <col min="7" max="7" width="12.57421875" style="0" customWidth="1"/>
    <col min="8" max="9" width="11.57421875" style="0" customWidth="1"/>
    <col min="10" max="10" width="13.8515625" style="0" customWidth="1"/>
    <col min="11" max="11" width="15.421875" style="0" customWidth="1"/>
    <col min="12" max="12" width="15.00390625" style="0" customWidth="1"/>
  </cols>
  <sheetData>
    <row r="1" ht="15">
      <c r="B1" s="87" t="s">
        <v>208</v>
      </c>
    </row>
    <row r="3" ht="12.75">
      <c r="A3" t="s">
        <v>213</v>
      </c>
    </row>
    <row r="4" ht="12.75">
      <c r="A4" t="s">
        <v>200</v>
      </c>
    </row>
    <row r="5" ht="12.75">
      <c r="A5" t="s">
        <v>209</v>
      </c>
    </row>
    <row r="6" ht="12.75">
      <c r="A6" t="s">
        <v>210</v>
      </c>
    </row>
    <row r="7" ht="12.75">
      <c r="A7" t="s">
        <v>211</v>
      </c>
    </row>
    <row r="8" ht="12.75">
      <c r="A8" t="s">
        <v>201</v>
      </c>
    </row>
    <row r="9" ht="12.75">
      <c r="A9" t="s">
        <v>202</v>
      </c>
    </row>
    <row r="10" ht="12.75">
      <c r="A10" t="s">
        <v>212</v>
      </c>
    </row>
    <row r="11" ht="12.75">
      <c r="A11" t="s">
        <v>217</v>
      </c>
    </row>
    <row r="12" ht="12.75">
      <c r="A12" t="s">
        <v>216</v>
      </c>
    </row>
    <row r="13" ht="12.75">
      <c r="A13" s="86" t="s">
        <v>204</v>
      </c>
    </row>
    <row r="14" ht="12.75">
      <c r="A14" t="s">
        <v>203</v>
      </c>
    </row>
    <row r="15" ht="12.75">
      <c r="A15" s="82" t="s">
        <v>206</v>
      </c>
    </row>
    <row r="16" ht="12.75">
      <c r="A16" s="88" t="s">
        <v>205</v>
      </c>
    </row>
    <row r="17" ht="12.75">
      <c r="A17" s="88"/>
    </row>
    <row r="18" ht="12.75">
      <c r="A18" s="78" t="s">
        <v>215</v>
      </c>
    </row>
    <row r="19" ht="12.75">
      <c r="A19" t="s">
        <v>214</v>
      </c>
    </row>
    <row r="20" ht="12.75">
      <c r="A20" t="s">
        <v>218</v>
      </c>
    </row>
    <row r="22" spans="1:7" s="63" customFormat="1" ht="15.75">
      <c r="A22" s="65" t="s">
        <v>160</v>
      </c>
      <c r="B22" s="65"/>
      <c r="C22" s="64" t="s">
        <v>161</v>
      </c>
      <c r="D22" s="64" t="s">
        <v>188</v>
      </c>
      <c r="E22" s="1" t="s">
        <v>175</v>
      </c>
      <c r="F22" s="1" t="s">
        <v>176</v>
      </c>
      <c r="G22" s="65" t="s">
        <v>246</v>
      </c>
    </row>
    <row r="23" spans="1:7" s="63" customFormat="1" ht="12.75">
      <c r="A23" s="65" t="s">
        <v>163</v>
      </c>
      <c r="B23" s="65"/>
      <c r="C23" s="65" t="s">
        <v>162</v>
      </c>
      <c r="D23" s="65" t="s">
        <v>19</v>
      </c>
      <c r="G23" s="65" t="s">
        <v>168</v>
      </c>
    </row>
    <row r="24" spans="1:7" s="63" customFormat="1" ht="12.75">
      <c r="A24" s="83">
        <v>299792458</v>
      </c>
      <c r="B24" s="66"/>
      <c r="C24" s="67">
        <v>7.292115816E-05</v>
      </c>
      <c r="D24" s="66">
        <f>-ATAN2(C35,D35)</f>
        <v>-0.030271887651624207</v>
      </c>
      <c r="E24" s="75">
        <f>SQRT(1-POWER(F37/A24,2))</f>
        <v>0.9999999999993299</v>
      </c>
      <c r="F24" s="74">
        <f>1+(F37*C38)/($A$24*$A$24)</f>
        <v>0.999999531651289</v>
      </c>
      <c r="G24" s="91">
        <f>F34/A24</f>
        <v>0.002452830938628676</v>
      </c>
    </row>
    <row r="25" s="63" customFormat="1" ht="12.75">
      <c r="G25" s="92">
        <v>0.002452830938628676</v>
      </c>
    </row>
    <row r="26" spans="3:6" ht="12.75">
      <c r="C26" s="1" t="s">
        <v>157</v>
      </c>
      <c r="D26" s="1" t="s">
        <v>158</v>
      </c>
      <c r="E26" s="1" t="s">
        <v>159</v>
      </c>
      <c r="F26" s="1" t="s">
        <v>14</v>
      </c>
    </row>
    <row r="27" spans="1:5" ht="12.75">
      <c r="A27" s="1" t="s">
        <v>108</v>
      </c>
      <c r="B27" s="1" t="s">
        <v>187</v>
      </c>
      <c r="C27" s="2">
        <v>144059.44000000128</v>
      </c>
      <c r="D27" s="2">
        <v>-4757398.4889</v>
      </c>
      <c r="E27" s="2">
        <v>4231821.604400001</v>
      </c>
    </row>
    <row r="28" spans="1:5" ht="12.75">
      <c r="A28" s="1" t="s">
        <v>136</v>
      </c>
      <c r="B28" s="1" t="s">
        <v>187</v>
      </c>
      <c r="C28" s="2">
        <v>-167796.99235849088</v>
      </c>
      <c r="D28" s="2">
        <v>-4287098.7216036925</v>
      </c>
      <c r="E28" s="2">
        <v>4703296.872007008</v>
      </c>
    </row>
    <row r="29" spans="1:6" ht="12.75">
      <c r="A29" s="1" t="s">
        <v>156</v>
      </c>
      <c r="B29" s="1" t="s">
        <v>187</v>
      </c>
      <c r="C29" s="2">
        <f>C28-C27</f>
        <v>-311856.43235849217</v>
      </c>
      <c r="D29" s="2">
        <f>D28-D27</f>
        <v>470299.7672963077</v>
      </c>
      <c r="E29" s="2">
        <f>E28-E27</f>
        <v>471475.2676070072</v>
      </c>
      <c r="F29" s="70">
        <f>SQRT(SUMSQ(C29,D29,E29))</f>
        <v>735340.2161499308</v>
      </c>
    </row>
    <row r="30" spans="1:6" ht="12.75">
      <c r="A30" s="82" t="s">
        <v>180</v>
      </c>
      <c r="B30" s="47"/>
      <c r="C30" s="44">
        <f>-D28*$C$24*$G$25</f>
        <v>0.7668045082291095</v>
      </c>
      <c r="D30" s="44">
        <f>C28*$C$24*$G$25</f>
        <v>-0.030012719221834263</v>
      </c>
      <c r="E30" s="48">
        <v>0</v>
      </c>
      <c r="F30" s="70">
        <f>SQRT(SUMSQ(C30,D30,E30))</f>
        <v>0.7673916321902234</v>
      </c>
    </row>
    <row r="31" spans="1:6" ht="12.75">
      <c r="A31" s="82" t="s">
        <v>237</v>
      </c>
      <c r="B31" s="47"/>
      <c r="C31" s="61">
        <f>C35*$G$25</f>
        <v>0.8509238638120871</v>
      </c>
      <c r="D31" s="61">
        <f>D35*$G$25</f>
        <v>0.025766942918365926</v>
      </c>
      <c r="E31" s="61">
        <f>E35*$G$25</f>
        <v>0</v>
      </c>
      <c r="F31" s="70">
        <f>SQRT(SUMSQ(C31,D31,E31))</f>
        <v>0.8513139005985099</v>
      </c>
    </row>
    <row r="32" spans="1:6" ht="12.75">
      <c r="A32" s="86" t="s">
        <v>238</v>
      </c>
      <c r="C32" s="61">
        <f>C30-C31</f>
        <v>-0.08411935558297756</v>
      </c>
      <c r="D32" s="61">
        <f>D30-D31</f>
        <v>-0.05577966214020019</v>
      </c>
      <c r="E32" s="61">
        <f>E30-E31</f>
        <v>0</v>
      </c>
      <c r="F32" s="70">
        <f>SQRT(SUMSQ(C32,D32,E32))</f>
        <v>0.10093283257776085</v>
      </c>
    </row>
    <row r="33" spans="1:6" s="81" customFormat="1" ht="12.75">
      <c r="A33" s="47" t="s">
        <v>177</v>
      </c>
      <c r="B33" s="47" t="s">
        <v>229</v>
      </c>
      <c r="C33" s="80">
        <f>C28+C32</f>
        <v>-167797.07647784648</v>
      </c>
      <c r="D33" s="80">
        <f>D28+D32</f>
        <v>-4287098.7773833545</v>
      </c>
      <c r="E33" s="80">
        <f>E28+E32</f>
        <v>4703296.872007008</v>
      </c>
      <c r="F33" s="66"/>
    </row>
    <row r="34" spans="1:6" ht="12.75">
      <c r="A34" s="1" t="s">
        <v>173</v>
      </c>
      <c r="B34" s="47" t="s">
        <v>229</v>
      </c>
      <c r="C34" s="2">
        <f>C33-C27</f>
        <v>-311856.51647784776</v>
      </c>
      <c r="D34" s="2">
        <f>D33-D27</f>
        <v>470299.71151664574</v>
      </c>
      <c r="E34" s="2">
        <f>E33-E27</f>
        <v>471475.2676070072</v>
      </c>
      <c r="F34" s="70">
        <f>SQRT(SUMSQ(C34,D34,E34))</f>
        <v>735340.216149938</v>
      </c>
    </row>
    <row r="35" spans="1:11" ht="12.75">
      <c r="A35" s="68" t="s">
        <v>178</v>
      </c>
      <c r="B35" s="72" t="s">
        <v>9</v>
      </c>
      <c r="C35" s="69">
        <f>-D27*$C$24</f>
        <v>346.9150076392219</v>
      </c>
      <c r="D35" s="69">
        <f>C27*$C$24</f>
        <v>10.504981208681125</v>
      </c>
      <c r="E35" s="57">
        <v>0</v>
      </c>
      <c r="F35" s="66">
        <f>SQRT(SUMSQ(C35,D35))</f>
        <v>347.07402258814494</v>
      </c>
      <c r="G35" s="45"/>
      <c r="H35" s="45"/>
      <c r="I35" s="45"/>
      <c r="J35" s="45"/>
      <c r="K35" s="45"/>
    </row>
    <row r="36" spans="1:11" ht="12.75">
      <c r="A36" s="1" t="s">
        <v>173</v>
      </c>
      <c r="B36" s="45" t="s">
        <v>165</v>
      </c>
      <c r="C36" s="48">
        <f>C34*COS($D$24)-D34*SIN($D$24)</f>
        <v>-297478.9510157071</v>
      </c>
      <c r="D36" s="48">
        <f>C34*SIN($D$24)+D34*COS($D$24)</f>
        <v>479523.28329804057</v>
      </c>
      <c r="E36" s="48">
        <f>E34</f>
        <v>471475.2676070072</v>
      </c>
      <c r="F36" s="66">
        <f aca="true" t="shared" si="0" ref="F36:F43">SQRT(SUMSQ(C36,D36,E36))</f>
        <v>735340.216149938</v>
      </c>
      <c r="G36" s="45"/>
      <c r="H36" s="45"/>
      <c r="I36" s="44"/>
      <c r="J36" s="44"/>
      <c r="K36" s="44"/>
    </row>
    <row r="37" spans="1:11" ht="12.75">
      <c r="A37" s="68" t="s">
        <v>164</v>
      </c>
      <c r="B37" s="45" t="s">
        <v>165</v>
      </c>
      <c r="C37" s="57">
        <f>C35*COS($D$24)-D35*SIN($D$24)</f>
        <v>347.07402258814494</v>
      </c>
      <c r="D37" s="57">
        <f>C35*SIN($D$24)+D35*COS($D$24)</f>
        <v>0</v>
      </c>
      <c r="E37" s="57">
        <f>E35</f>
        <v>0</v>
      </c>
      <c r="F37" s="71">
        <f t="shared" si="0"/>
        <v>347.07402258814494</v>
      </c>
      <c r="G37" s="45"/>
      <c r="H37" s="45"/>
      <c r="I37" s="45"/>
      <c r="J37" s="45"/>
      <c r="K37" s="45"/>
    </row>
    <row r="38" spans="1:11" ht="12.75">
      <c r="A38" s="1" t="s">
        <v>173</v>
      </c>
      <c r="B38" s="47" t="s">
        <v>185</v>
      </c>
      <c r="C38" s="48">
        <f>(C36*$A$24)/F36</f>
        <v>-121279842.9483367</v>
      </c>
      <c r="D38" s="48">
        <f>(D36*$A$24)/F36</f>
        <v>195497894.1867602</v>
      </c>
      <c r="E38" s="48">
        <f>(E36*$A$24)/F36</f>
        <v>192216781.10053468</v>
      </c>
      <c r="F38" s="73">
        <f t="shared" si="0"/>
        <v>299792458</v>
      </c>
      <c r="G38" s="45"/>
      <c r="H38" s="52"/>
      <c r="I38" s="45"/>
      <c r="J38" s="53"/>
      <c r="K38" s="45"/>
    </row>
    <row r="39" spans="1:11" ht="12.75">
      <c r="A39" s="1" t="s">
        <v>173</v>
      </c>
      <c r="B39" s="47" t="s">
        <v>196</v>
      </c>
      <c r="C39" s="61">
        <f>(C38+$F$37)/$F$24</f>
        <v>-121279552.67543629</v>
      </c>
      <c r="D39" s="61">
        <f>(D38*$E$24)/$F$24</f>
        <v>195497985.74785882</v>
      </c>
      <c r="E39" s="61">
        <f>(E38*$E$24)/$F$24</f>
        <v>192216871.1249297</v>
      </c>
      <c r="F39" s="73">
        <f t="shared" si="0"/>
        <v>299792458</v>
      </c>
      <c r="G39" s="1" t="s">
        <v>239</v>
      </c>
      <c r="H39" s="52"/>
      <c r="I39" s="45"/>
      <c r="J39" s="50"/>
      <c r="K39" s="52"/>
    </row>
    <row r="40" spans="1:11" ht="12.75">
      <c r="A40" s="1" t="s">
        <v>173</v>
      </c>
      <c r="B40" s="47" t="s">
        <v>166</v>
      </c>
      <c r="C40" s="48">
        <f>(C39*$F$36)/$A$24</f>
        <v>-297478.23902535636</v>
      </c>
      <c r="D40" s="48">
        <f>(D39*$F$36)/$A$24</f>
        <v>479523.5078819361</v>
      </c>
      <c r="E40" s="48">
        <f>(E39*$F$36)/$A$24</f>
        <v>471475.48842162854</v>
      </c>
      <c r="F40" s="66">
        <f t="shared" si="0"/>
        <v>735340.216149938</v>
      </c>
      <c r="G40" s="48">
        <f>(C36+$F$35*$G$25)/$E$24</f>
        <v>-297478.09970200586</v>
      </c>
      <c r="H40" s="45"/>
      <c r="I40" s="45"/>
      <c r="J40" s="53"/>
      <c r="K40" s="45"/>
    </row>
    <row r="41" spans="1:11" ht="12.75">
      <c r="A41" s="1" t="s">
        <v>173</v>
      </c>
      <c r="B41" s="47" t="s">
        <v>8</v>
      </c>
      <c r="C41" s="48">
        <f>C39*COS(-$D$24)-D39*SIN(-$D$24)</f>
        <v>-127141176.62980615</v>
      </c>
      <c r="D41" s="48">
        <f>C39*SIN(-$D$24)+D39*COS(-$D$24)</f>
        <v>191737616.37668383</v>
      </c>
      <c r="E41" s="48">
        <f>E39</f>
        <v>192216871.1249297</v>
      </c>
      <c r="F41" s="73">
        <f t="shared" si="0"/>
        <v>299792458</v>
      </c>
      <c r="G41" s="47" t="s">
        <v>240</v>
      </c>
      <c r="H41" s="45"/>
      <c r="I41" s="45"/>
      <c r="J41" s="53"/>
      <c r="K41" s="45"/>
    </row>
    <row r="42" spans="1:11" ht="12.75">
      <c r="A42" s="1" t="s">
        <v>173</v>
      </c>
      <c r="B42" s="48" t="s">
        <v>167</v>
      </c>
      <c r="C42" s="48">
        <f>C40*COS(-$D$24)-D40*SIN(-$D$24)</f>
        <v>-311855.8116112417</v>
      </c>
      <c r="D42" s="48">
        <f>C40*SIN(-$D$24)+D40*COS(-$D$24)</f>
        <v>470299.95754764637</v>
      </c>
      <c r="E42" s="48">
        <f>E40</f>
        <v>471475.48842162854</v>
      </c>
      <c r="F42" s="66">
        <f t="shared" si="0"/>
        <v>735340.216149938</v>
      </c>
      <c r="G42" s="97">
        <f>($G$25+($F$35*C36)/POWER(A24,2))/$E$24</f>
        <v>0.0024528297898501112</v>
      </c>
      <c r="H42" s="45"/>
      <c r="I42" s="45"/>
      <c r="J42" s="53"/>
      <c r="K42" s="49"/>
    </row>
    <row r="43" spans="1:12" ht="15.75">
      <c r="A43" s="82" t="s">
        <v>179</v>
      </c>
      <c r="B43" s="54"/>
      <c r="C43" s="48">
        <f>C42-C34</f>
        <v>0.7048666060436517</v>
      </c>
      <c r="D43" s="48">
        <f>D42-D34</f>
        <v>0.2460310006281361</v>
      </c>
      <c r="E43" s="48">
        <f>E42-E34</f>
        <v>0.22081462136702612</v>
      </c>
      <c r="F43" s="70">
        <f t="shared" si="0"/>
        <v>0.7785417667633776</v>
      </c>
      <c r="G43" s="47" t="s">
        <v>241</v>
      </c>
      <c r="H43" s="45"/>
      <c r="I43" s="45"/>
      <c r="J43" s="53"/>
      <c r="K43" s="49"/>
      <c r="L43" s="13"/>
    </row>
    <row r="44" spans="1:12" ht="12.75">
      <c r="A44" s="76" t="s">
        <v>169</v>
      </c>
      <c r="B44" s="54"/>
      <c r="C44" s="48">
        <f>C33-C43</f>
        <v>-167797.78134445252</v>
      </c>
      <c r="D44" s="48">
        <f>D33-D43</f>
        <v>-4287099.023414355</v>
      </c>
      <c r="E44" s="48">
        <f>E33-E43</f>
        <v>4703296.651192387</v>
      </c>
      <c r="F44" s="66"/>
      <c r="G44" s="54">
        <f>G40/G42</f>
        <v>-121279552.67543627</v>
      </c>
      <c r="H44" s="45"/>
      <c r="I44" s="45"/>
      <c r="J44" s="53"/>
      <c r="K44" s="49"/>
      <c r="L44" s="13"/>
    </row>
    <row r="45" spans="1:11" ht="12.75">
      <c r="A45" s="82" t="s">
        <v>181</v>
      </c>
      <c r="B45" s="47"/>
      <c r="C45" s="48">
        <f>C43-C30</f>
        <v>-0.061937902185457805</v>
      </c>
      <c r="D45" s="48">
        <f>D43-D30</f>
        <v>0.27604371984997034</v>
      </c>
      <c r="E45" s="48">
        <f>E43-E30</f>
        <v>0.22081462136702612</v>
      </c>
      <c r="F45" s="70">
        <f>SQRT(SUMSQ(C45,D45,E45))</f>
        <v>0.35888094962704187</v>
      </c>
      <c r="G45" s="47" t="s">
        <v>245</v>
      </c>
      <c r="H45" s="52"/>
      <c r="I45" s="45"/>
      <c r="J45" s="50"/>
      <c r="K45" s="52"/>
    </row>
    <row r="46" spans="1:11" ht="12.75">
      <c r="A46" s="82" t="s">
        <v>182</v>
      </c>
      <c r="B46" s="45"/>
      <c r="C46" s="61">
        <f>C35*$G$25</f>
        <v>0.8509238638120871</v>
      </c>
      <c r="D46" s="61">
        <f>D35*$G$25</f>
        <v>0.025766942918365926</v>
      </c>
      <c r="E46" s="61">
        <v>0</v>
      </c>
      <c r="F46" s="70">
        <f>SQRT(SUMSQ(C46,D46,E46))</f>
        <v>0.8513139005985099</v>
      </c>
      <c r="G46" s="45">
        <f>G42*$A$24</f>
        <v>735339.8717547883</v>
      </c>
      <c r="H46" s="52"/>
      <c r="I46" s="45"/>
      <c r="J46" s="51"/>
      <c r="K46" s="52"/>
    </row>
    <row r="47" spans="1:11" ht="12.75">
      <c r="A47" s="82" t="s">
        <v>183</v>
      </c>
      <c r="B47" s="45"/>
      <c r="C47" s="61">
        <f>C46-C30</f>
        <v>0.08411935558297756</v>
      </c>
      <c r="D47" s="61">
        <f>D46-D30</f>
        <v>0.05577966214020019</v>
      </c>
      <c r="E47" s="61">
        <f>E46-E30</f>
        <v>0</v>
      </c>
      <c r="F47" s="70">
        <f>SQRT(SUMSQ(C47,D47,E47))</f>
        <v>0.10093283257776085</v>
      </c>
      <c r="G47" s="45"/>
      <c r="H47" s="52"/>
      <c r="I47" s="45"/>
      <c r="J47" s="51"/>
      <c r="K47" s="52"/>
    </row>
    <row r="48" spans="1:11" ht="12.75">
      <c r="A48" s="82" t="s">
        <v>184</v>
      </c>
      <c r="B48" s="45"/>
      <c r="C48" s="61">
        <f>C43-C46</f>
        <v>-0.14605725776843537</v>
      </c>
      <c r="D48" s="61">
        <f>D43-D46</f>
        <v>0.22026405770977017</v>
      </c>
      <c r="E48" s="61">
        <f>E43-E46</f>
        <v>0.22081462136702612</v>
      </c>
      <c r="F48" s="70">
        <f>SQRT(SUMSQ(C48,D48,E48))</f>
        <v>0.3443952303314772</v>
      </c>
      <c r="G48" s="45"/>
      <c r="H48" s="52"/>
      <c r="I48" s="45"/>
      <c r="J48" s="51"/>
      <c r="K48" s="52"/>
    </row>
    <row r="49" spans="1:11" ht="12.75">
      <c r="A49" s="23" t="s">
        <v>190</v>
      </c>
      <c r="B49" s="82" t="s">
        <v>189</v>
      </c>
      <c r="C49" s="84">
        <f>-$C$24*$G$25</f>
        <v>-1.7886327281548297E-07</v>
      </c>
      <c r="D49" s="85" t="s">
        <v>19</v>
      </c>
      <c r="E49" s="61"/>
      <c r="F49" s="70"/>
      <c r="G49" s="45"/>
      <c r="H49" s="52"/>
      <c r="I49" s="45"/>
      <c r="J49" s="51"/>
      <c r="K49" s="52"/>
    </row>
    <row r="50" spans="1:11" ht="12.75">
      <c r="A50" s="72" t="s">
        <v>194</v>
      </c>
      <c r="B50" s="45" t="s">
        <v>191</v>
      </c>
      <c r="C50" s="48">
        <f>C33*COS($C$49)-D33*SIN($C$49)</f>
        <v>-167797.843282362</v>
      </c>
      <c r="D50" s="48">
        <f>C33*SIN($C$49)+D33*COS($C$49)</f>
        <v>-4287098.747370551</v>
      </c>
      <c r="E50" s="48">
        <f>E33</f>
        <v>4703296.872007008</v>
      </c>
      <c r="F50" s="66"/>
      <c r="G50" s="45"/>
      <c r="H50" s="52"/>
      <c r="I50" s="45"/>
      <c r="J50" s="51"/>
      <c r="K50" s="52"/>
    </row>
    <row r="51" spans="1:11" ht="12.75">
      <c r="A51" s="1" t="s">
        <v>193</v>
      </c>
      <c r="B51" s="47" t="s">
        <v>192</v>
      </c>
      <c r="C51" s="48">
        <f>C41*COS($C$49)-D41*SIN($C$49)</f>
        <v>-127141142.33498654</v>
      </c>
      <c r="D51" s="48">
        <f>C41*SIN($C$49)+D41*COS($C$49)</f>
        <v>191737639.11756772</v>
      </c>
      <c r="E51" s="48">
        <f>E41</f>
        <v>192216871.1249297</v>
      </c>
      <c r="F51" s="73">
        <f>SQRT(SUMSQ(C51,D51,E51))</f>
        <v>299792458</v>
      </c>
      <c r="G51" s="45"/>
      <c r="H51" s="52"/>
      <c r="I51" s="45"/>
      <c r="J51" s="51"/>
      <c r="K51" s="52"/>
    </row>
    <row r="52" spans="1:11" ht="12.75">
      <c r="A52" s="1" t="s">
        <v>193</v>
      </c>
      <c r="B52" s="47" t="s">
        <v>197</v>
      </c>
      <c r="C52" s="61">
        <f>C51*$G$25</f>
        <v>-311855.7274918471</v>
      </c>
      <c r="D52" s="61">
        <f>D51*$G$25</f>
        <v>470300.01332719</v>
      </c>
      <c r="E52" s="61">
        <f>E51*$G$25</f>
        <v>471475.4884216286</v>
      </c>
      <c r="F52" s="70">
        <f>SQRT(SUMSQ(C52,D52,E52))</f>
        <v>735340.216149938</v>
      </c>
      <c r="G52" s="45"/>
      <c r="H52" s="52"/>
      <c r="I52" s="45"/>
      <c r="J52" s="51"/>
      <c r="K52" s="52"/>
    </row>
    <row r="53" spans="1:11" ht="12.75">
      <c r="A53" s="1" t="s">
        <v>195</v>
      </c>
      <c r="B53" s="47" t="s">
        <v>197</v>
      </c>
      <c r="C53" s="61">
        <f>C50-C52</f>
        <v>144057.8842094851</v>
      </c>
      <c r="D53" s="61">
        <f>D50-D52</f>
        <v>-4757398.760697741</v>
      </c>
      <c r="E53" s="61">
        <f>E50-E52</f>
        <v>4231821.383585379</v>
      </c>
      <c r="F53" s="70"/>
      <c r="G53" s="45"/>
      <c r="H53" s="52"/>
      <c r="I53" s="45"/>
      <c r="J53" s="51"/>
      <c r="K53" s="52"/>
    </row>
    <row r="54" spans="1:11" ht="12.75">
      <c r="A54" s="1" t="s">
        <v>198</v>
      </c>
      <c r="B54" s="47" t="s">
        <v>197</v>
      </c>
      <c r="C54" s="48">
        <f>C27*COS($C$49)-D27*SIN($C$49)</f>
        <v>144058.58907613516</v>
      </c>
      <c r="D54" s="48">
        <f>C27*SIN($C$49)+D27*COS($C$49)</f>
        <v>-4757398.5146668665</v>
      </c>
      <c r="E54" s="48">
        <f>E27</f>
        <v>4231821.604400001</v>
      </c>
      <c r="F54" s="70"/>
      <c r="G54" s="45"/>
      <c r="H54" s="52"/>
      <c r="I54" s="45"/>
      <c r="J54" s="51"/>
      <c r="K54" s="52"/>
    </row>
    <row r="55" spans="1:11" ht="12.75">
      <c r="A55" s="1" t="s">
        <v>199</v>
      </c>
      <c r="B55" s="47" t="s">
        <v>197</v>
      </c>
      <c r="C55" s="61">
        <f>C53-C54</f>
        <v>-0.7048666500486434</v>
      </c>
      <c r="D55" s="61">
        <f>D53-D54</f>
        <v>-0.24603087455034256</v>
      </c>
      <c r="E55" s="61">
        <f>E53-E54</f>
        <v>-0.22081462107598782</v>
      </c>
      <c r="F55" s="70">
        <f>SQRT(SUMSQ(C55,D55,E55))</f>
        <v>0.7785417666790492</v>
      </c>
      <c r="G55" s="45"/>
      <c r="H55" s="52"/>
      <c r="I55" s="45"/>
      <c r="J55" s="51"/>
      <c r="K55" s="52"/>
    </row>
    <row r="56" spans="1:11" ht="12.75">
      <c r="A56" s="1"/>
      <c r="B56" s="47"/>
      <c r="C56" s="61"/>
      <c r="D56" s="61"/>
      <c r="E56" s="61"/>
      <c r="F56" s="70"/>
      <c r="G56" s="45"/>
      <c r="H56" s="52"/>
      <c r="I56" s="45"/>
      <c r="J56" s="51"/>
      <c r="K56" s="52"/>
    </row>
    <row r="57" spans="1:11" ht="15">
      <c r="A57" s="45"/>
      <c r="B57" s="45"/>
      <c r="C57" s="90" t="s">
        <v>207</v>
      </c>
      <c r="D57" s="48"/>
      <c r="E57" s="45"/>
      <c r="F57" s="45"/>
      <c r="G57" s="45"/>
      <c r="H57" s="45"/>
      <c r="I57" s="45"/>
      <c r="J57" s="51"/>
      <c r="K57" s="48"/>
    </row>
    <row r="58" spans="1:11" ht="15.75">
      <c r="A58" s="65" t="s">
        <v>160</v>
      </c>
      <c r="B58" s="65"/>
      <c r="C58" s="64" t="s">
        <v>161</v>
      </c>
      <c r="D58" s="64" t="s">
        <v>188</v>
      </c>
      <c r="E58" s="1" t="s">
        <v>175</v>
      </c>
      <c r="F58" s="1" t="s">
        <v>176</v>
      </c>
      <c r="G58" s="65" t="s">
        <v>170</v>
      </c>
      <c r="H58" s="45"/>
      <c r="I58" s="45"/>
      <c r="J58" s="55"/>
      <c r="K58" s="45"/>
    </row>
    <row r="59" spans="1:11" ht="12.75">
      <c r="A59" s="65" t="s">
        <v>163</v>
      </c>
      <c r="B59" s="65"/>
      <c r="C59" s="65" t="s">
        <v>162</v>
      </c>
      <c r="D59" s="65" t="s">
        <v>19</v>
      </c>
      <c r="E59" s="63"/>
      <c r="F59" s="63"/>
      <c r="G59" s="65" t="s">
        <v>168</v>
      </c>
      <c r="H59" s="47"/>
      <c r="I59" s="47"/>
      <c r="J59" s="45"/>
      <c r="K59" s="45"/>
    </row>
    <row r="60" spans="1:12" ht="12.75">
      <c r="A60" s="83">
        <v>299792458</v>
      </c>
      <c r="B60" s="66"/>
      <c r="C60" s="67">
        <v>7.292115816E-05</v>
      </c>
      <c r="D60" s="66">
        <f>-ATAN2(C66,D66)</f>
        <v>-0.030271887651624207</v>
      </c>
      <c r="E60" s="75">
        <f>SQRT(1-POWER(F68/A60,2))</f>
        <v>0.9999999999993299</v>
      </c>
      <c r="F60" s="74">
        <f>1+(F68*C69)/($A$60*$A$60)</f>
        <v>0.999999531650168</v>
      </c>
      <c r="G60" s="98">
        <f>F65/A60</f>
        <v>0.0024528309386314265</v>
      </c>
      <c r="H60" s="49"/>
      <c r="I60" s="49"/>
      <c r="J60" s="45"/>
      <c r="K60" s="56"/>
      <c r="L60" s="13"/>
    </row>
    <row r="61" spans="1:11" ht="12.75">
      <c r="A61" s="63"/>
      <c r="B61" s="63"/>
      <c r="C61" s="63"/>
      <c r="D61" s="63"/>
      <c r="E61" s="63"/>
      <c r="F61" s="63"/>
      <c r="G61" s="63"/>
      <c r="H61" s="57"/>
      <c r="I61" s="57"/>
      <c r="J61" s="45"/>
      <c r="K61" s="45"/>
    </row>
    <row r="62" spans="3:11" ht="12.75">
      <c r="C62" s="1" t="s">
        <v>157</v>
      </c>
      <c r="D62" s="1" t="s">
        <v>158</v>
      </c>
      <c r="E62" s="1" t="s">
        <v>159</v>
      </c>
      <c r="F62" s="1" t="s">
        <v>14</v>
      </c>
      <c r="H62" s="57"/>
      <c r="I62" s="57"/>
      <c r="J62" s="45"/>
      <c r="K62" s="45"/>
    </row>
    <row r="63" spans="1:11" ht="12.75">
      <c r="A63" s="1" t="s">
        <v>108</v>
      </c>
      <c r="B63" s="1" t="s">
        <v>187</v>
      </c>
      <c r="C63" s="2">
        <v>144059.44000000128</v>
      </c>
      <c r="D63" s="2">
        <v>-4757398.4889</v>
      </c>
      <c r="E63" s="2">
        <v>4231821.604400001</v>
      </c>
      <c r="H63" s="52"/>
      <c r="I63" s="52"/>
      <c r="J63" s="45"/>
      <c r="K63" s="45"/>
    </row>
    <row r="64" spans="1:12" ht="12.75">
      <c r="A64" s="76" t="s">
        <v>169</v>
      </c>
      <c r="B64" s="45"/>
      <c r="C64" s="61">
        <v>-167797.78134445252</v>
      </c>
      <c r="D64" s="61">
        <v>-4287099.023414355</v>
      </c>
      <c r="E64" s="61">
        <v>4703296.651192387</v>
      </c>
      <c r="H64" s="52"/>
      <c r="I64" s="52"/>
      <c r="J64" s="45"/>
      <c r="K64" s="45"/>
      <c r="L64" s="2"/>
    </row>
    <row r="65" spans="1:11" ht="12.75">
      <c r="A65" s="1" t="s">
        <v>171</v>
      </c>
      <c r="B65" s="1"/>
      <c r="C65" s="2">
        <f>C64-C63</f>
        <v>-311857.2213444538</v>
      </c>
      <c r="D65" s="2">
        <f>D64-D63</f>
        <v>470299.46548564546</v>
      </c>
      <c r="E65" s="2">
        <f>E64-E63</f>
        <v>471475.0467923861</v>
      </c>
      <c r="F65" s="66">
        <f>SQRT(SUMSQ(C65,D65,E65))</f>
        <v>735340.2161507625</v>
      </c>
      <c r="H65" s="48"/>
      <c r="I65" s="48"/>
      <c r="J65" s="45"/>
      <c r="K65" s="45"/>
    </row>
    <row r="66" spans="1:11" ht="12.75">
      <c r="A66" s="68" t="s">
        <v>164</v>
      </c>
      <c r="B66" s="72" t="s">
        <v>9</v>
      </c>
      <c r="C66" s="69">
        <f>-D63*$C$60</f>
        <v>346.9150076392219</v>
      </c>
      <c r="D66" s="69">
        <f>C63*$C$60</f>
        <v>10.504981208681125</v>
      </c>
      <c r="E66" s="57">
        <v>0</v>
      </c>
      <c r="F66" s="66">
        <f>SQRT(SUMSQ(C66,D66))</f>
        <v>347.07402258814494</v>
      </c>
      <c r="G66" s="45"/>
      <c r="H66" s="45"/>
      <c r="I66" s="45"/>
      <c r="J66" s="45"/>
      <c r="K66" s="45"/>
    </row>
    <row r="67" spans="1:11" ht="12.75">
      <c r="A67" s="1" t="s">
        <v>171</v>
      </c>
      <c r="B67" s="45" t="s">
        <v>165</v>
      </c>
      <c r="C67" s="48">
        <f>C65*COS($D$60)-D65*SIN($D$60)</f>
        <v>-297479.66300605773</v>
      </c>
      <c r="D67" s="48">
        <f>C65*SIN($D$60)+D65*COS($D$60)</f>
        <v>479523.05871414545</v>
      </c>
      <c r="E67" s="48">
        <f>E65</f>
        <v>471475.0467923861</v>
      </c>
      <c r="F67" s="66">
        <f aca="true" t="shared" si="1" ref="F67:F72">SQRT(SUMSQ(C67,D67,E67))</f>
        <v>735340.2161507625</v>
      </c>
      <c r="G67" s="45"/>
      <c r="H67" s="52"/>
      <c r="I67" s="45"/>
      <c r="J67" s="45"/>
      <c r="K67" s="45"/>
    </row>
    <row r="68" spans="1:11" ht="12.75">
      <c r="A68" s="68" t="s">
        <v>164</v>
      </c>
      <c r="B68" s="45" t="s">
        <v>165</v>
      </c>
      <c r="C68" s="57">
        <f>C66*COS($D$60)-D66*SIN($D$60)</f>
        <v>347.07402258814494</v>
      </c>
      <c r="D68" s="57">
        <f>C66*SIN($D$60)+D66*COS($D$60)</f>
        <v>0</v>
      </c>
      <c r="E68" s="57">
        <f>E66</f>
        <v>0</v>
      </c>
      <c r="F68" s="71">
        <f t="shared" si="1"/>
        <v>347.07402258814494</v>
      </c>
      <c r="G68" s="45"/>
      <c r="H68" s="52"/>
      <c r="I68" s="45"/>
      <c r="J68" s="45"/>
      <c r="K68" s="45"/>
    </row>
    <row r="69" spans="1:11" ht="12.75">
      <c r="A69" s="1" t="s">
        <v>171</v>
      </c>
      <c r="B69" s="47" t="s">
        <v>185</v>
      </c>
      <c r="C69" s="48">
        <f>(C67*$A$60)/F67</f>
        <v>-121280133.22110105</v>
      </c>
      <c r="D69" s="48">
        <f>(D67*$A$60)/F67</f>
        <v>195497802.62544248</v>
      </c>
      <c r="E69" s="48">
        <f>(E67*$A$60)/F67</f>
        <v>192216691.0759242</v>
      </c>
      <c r="F69" s="73">
        <f t="shared" si="1"/>
        <v>299792458</v>
      </c>
      <c r="G69" s="45"/>
      <c r="H69" s="45"/>
      <c r="I69" s="45"/>
      <c r="J69" s="45"/>
      <c r="K69" s="45"/>
    </row>
    <row r="70" spans="1:12" ht="12.75">
      <c r="A70" s="1" t="s">
        <v>171</v>
      </c>
      <c r="B70" s="47" t="s">
        <v>186</v>
      </c>
      <c r="C70" s="61">
        <f>(C69+$F$68)/$F$60</f>
        <v>-121279842.94847253</v>
      </c>
      <c r="D70" s="61">
        <f>(D69*$E$60)/$F$60</f>
        <v>195497894.18671736</v>
      </c>
      <c r="E70" s="61">
        <f>(E69*$E$60)/$F$60</f>
        <v>192216781.10049254</v>
      </c>
      <c r="F70" s="73">
        <f t="shared" si="1"/>
        <v>299792458</v>
      </c>
      <c r="G70" s="45"/>
      <c r="H70" s="45"/>
      <c r="I70" s="45"/>
      <c r="J70" s="52"/>
      <c r="K70" s="52"/>
      <c r="L70" s="6"/>
    </row>
    <row r="71" spans="1:11" ht="12.75">
      <c r="A71" s="1" t="s">
        <v>171</v>
      </c>
      <c r="B71" s="47" t="s">
        <v>166</v>
      </c>
      <c r="C71" s="48">
        <f>(C70*$F$67)/$A$60</f>
        <v>-297478.9510163739</v>
      </c>
      <c r="D71" s="48">
        <f>(D70*$F$67)/$A$60</f>
        <v>479523.2832984733</v>
      </c>
      <c r="E71" s="48">
        <f>(E70*$F$67)/$A$60</f>
        <v>471475.2676074326</v>
      </c>
      <c r="F71" s="66">
        <f t="shared" si="1"/>
        <v>735340.2161507626</v>
      </c>
      <c r="G71" s="45"/>
      <c r="H71" s="51"/>
      <c r="I71" s="47"/>
      <c r="J71" s="45"/>
      <c r="K71" s="45"/>
    </row>
    <row r="72" spans="1:11" ht="12.75">
      <c r="A72" s="1" t="s">
        <v>171</v>
      </c>
      <c r="B72" s="48" t="s">
        <v>167</v>
      </c>
      <c r="C72" s="48">
        <f>C71*COS($D$60)-D71*SIN(-$D$60)</f>
        <v>-311856.51647852734</v>
      </c>
      <c r="D72" s="48">
        <f>C71*SIN(-$D$60)+D71*COS($D$60)</f>
        <v>470299.711517058</v>
      </c>
      <c r="E72" s="48">
        <f>E71</f>
        <v>471475.2676074326</v>
      </c>
      <c r="F72" s="66">
        <f t="shared" si="1"/>
        <v>735340.2161507625</v>
      </c>
      <c r="G72" s="45"/>
      <c r="H72" s="52"/>
      <c r="I72" s="45"/>
      <c r="J72" s="45"/>
      <c r="K72" s="45"/>
    </row>
    <row r="73" spans="1:11" ht="12.75">
      <c r="A73" s="1" t="s">
        <v>243</v>
      </c>
      <c r="B73" s="48" t="s">
        <v>167</v>
      </c>
      <c r="C73" s="48">
        <f>C72+C63</f>
        <v>-167797.07647852605</v>
      </c>
      <c r="D73" s="48">
        <f>D72+D63</f>
        <v>-4287098.777382942</v>
      </c>
      <c r="E73" s="48">
        <f>E72+E63</f>
        <v>4703296.872007433</v>
      </c>
      <c r="F73" s="66"/>
      <c r="G73" s="45"/>
      <c r="H73" s="52"/>
      <c r="I73" s="45"/>
      <c r="J73" s="45"/>
      <c r="K73" s="45"/>
    </row>
    <row r="74" spans="1:11" ht="12.75">
      <c r="A74" s="47" t="s">
        <v>177</v>
      </c>
      <c r="B74" s="79"/>
      <c r="C74" s="80">
        <v>-167797.07647784648</v>
      </c>
      <c r="D74" s="80">
        <v>-4287098.7773833545</v>
      </c>
      <c r="E74" s="80">
        <v>4703296.872007008</v>
      </c>
      <c r="F74" s="45"/>
      <c r="G74" s="47"/>
      <c r="H74" s="49"/>
      <c r="I74" s="49"/>
      <c r="J74" s="45"/>
      <c r="K74" s="45"/>
    </row>
    <row r="75" spans="1:11" ht="12.75">
      <c r="A75" s="1" t="s">
        <v>242</v>
      </c>
      <c r="B75" s="47"/>
      <c r="C75" s="61">
        <f>C74-C73</f>
        <v>6.79574441164732E-07</v>
      </c>
      <c r="D75" s="61">
        <f>D74-D73</f>
        <v>-4.12575900554657E-07</v>
      </c>
      <c r="E75" s="61">
        <f>E74-E73</f>
        <v>-4.256144165992737E-07</v>
      </c>
      <c r="F75" s="70">
        <f>SQRT(SUMSQ(C75,D75,E75))</f>
        <v>9.017693310486802E-07</v>
      </c>
      <c r="G75" s="47"/>
      <c r="H75" s="45"/>
      <c r="I75" s="57"/>
      <c r="J75" s="45"/>
      <c r="K75" s="45"/>
    </row>
    <row r="76" spans="1:11" ht="12.75">
      <c r="A76" s="48"/>
      <c r="B76" s="48"/>
      <c r="C76" s="48"/>
      <c r="D76" s="48"/>
      <c r="E76" s="48"/>
      <c r="F76" s="45"/>
      <c r="G76" s="47"/>
      <c r="H76" s="57"/>
      <c r="I76" s="57"/>
      <c r="J76" s="45"/>
      <c r="K76" s="45"/>
    </row>
    <row r="77" spans="1:12" ht="12.75">
      <c r="A77" s="47"/>
      <c r="B77" s="47"/>
      <c r="C77" s="47"/>
      <c r="D77" s="47"/>
      <c r="E77" s="47"/>
      <c r="F77" s="45"/>
      <c r="G77" s="50"/>
      <c r="H77" s="52"/>
      <c r="I77" s="52"/>
      <c r="J77" s="47"/>
      <c r="K77" s="47"/>
      <c r="L77" s="1"/>
    </row>
    <row r="78" spans="1:11" ht="12.75">
      <c r="A78" s="48"/>
      <c r="B78" s="48"/>
      <c r="C78" s="48"/>
      <c r="D78" s="48"/>
      <c r="E78" s="45"/>
      <c r="F78" s="45"/>
      <c r="G78" s="51"/>
      <c r="H78" s="52"/>
      <c r="I78" s="52"/>
      <c r="J78" s="49"/>
      <c r="K78" s="45"/>
    </row>
    <row r="79" spans="1:11" ht="12.75" hidden="1">
      <c r="A79" s="59"/>
      <c r="B79" s="59"/>
      <c r="C79" s="59"/>
      <c r="D79" s="59"/>
      <c r="E79" s="59"/>
      <c r="F79" s="45"/>
      <c r="G79" s="51"/>
      <c r="H79" s="45"/>
      <c r="I79" s="52"/>
      <c r="J79" s="49"/>
      <c r="K79" s="45"/>
    </row>
    <row r="80" spans="1:11" ht="12.75">
      <c r="A80" s="60"/>
      <c r="B80" s="60"/>
      <c r="C80" s="45"/>
      <c r="D80" s="45"/>
      <c r="E80" s="45"/>
      <c r="F80" s="45"/>
      <c r="G80" s="45"/>
      <c r="H80" s="45"/>
      <c r="I80" s="45"/>
      <c r="J80" s="45"/>
      <c r="K80" s="45"/>
    </row>
    <row r="81" spans="1:11" ht="12.75">
      <c r="A81" s="47"/>
      <c r="B81" s="47"/>
      <c r="C81" s="47"/>
      <c r="D81" s="47"/>
      <c r="E81" s="47"/>
      <c r="F81" s="45"/>
      <c r="G81" s="45"/>
      <c r="H81" s="45"/>
      <c r="I81" s="45"/>
      <c r="J81" s="45"/>
      <c r="K81" s="45"/>
    </row>
    <row r="82" spans="1:11" ht="12.75">
      <c r="A82" s="61"/>
      <c r="B82" s="61"/>
      <c r="C82" s="61"/>
      <c r="D82" s="61"/>
      <c r="E82" s="48"/>
      <c r="F82" s="45"/>
      <c r="G82" s="45"/>
      <c r="H82" s="48"/>
      <c r="I82" s="45"/>
      <c r="J82" s="45"/>
      <c r="K82" s="45"/>
    </row>
    <row r="83" spans="1:11" ht="12.75">
      <c r="A83" s="47"/>
      <c r="B83" s="47"/>
      <c r="C83" s="47"/>
      <c r="D83" s="47"/>
      <c r="E83" s="47"/>
      <c r="F83" s="45"/>
      <c r="G83" s="45"/>
      <c r="H83" s="45"/>
      <c r="I83" s="45"/>
      <c r="J83" s="45"/>
      <c r="K83" s="45"/>
    </row>
    <row r="84" spans="1:11" ht="12.75">
      <c r="A84" s="48"/>
      <c r="B84" s="48"/>
      <c r="C84" s="48"/>
      <c r="D84" s="48"/>
      <c r="E84" s="48"/>
      <c r="F84" s="45"/>
      <c r="G84" s="45"/>
      <c r="H84" s="45"/>
      <c r="I84" s="45"/>
      <c r="J84" s="45"/>
      <c r="K84" s="45"/>
    </row>
    <row r="85" spans="1:11" ht="12.75">
      <c r="A85" s="47"/>
      <c r="B85" s="47"/>
      <c r="C85" s="47"/>
      <c r="D85" s="47"/>
      <c r="E85" s="47"/>
      <c r="F85" s="45"/>
      <c r="G85" s="45"/>
      <c r="H85" s="45"/>
      <c r="I85" s="47"/>
      <c r="J85" s="45"/>
      <c r="K85" s="45"/>
    </row>
    <row r="86" spans="1:11" ht="12.75">
      <c r="A86" s="48"/>
      <c r="B86" s="48"/>
      <c r="C86" s="48"/>
      <c r="D86" s="48"/>
      <c r="E86" s="48"/>
      <c r="F86" s="45"/>
      <c r="G86" s="45"/>
      <c r="H86" s="51"/>
      <c r="I86" s="62"/>
      <c r="J86" s="45"/>
      <c r="K86" s="45"/>
    </row>
    <row r="87" spans="1:11" ht="12.75">
      <c r="A87" s="45"/>
      <c r="B87" s="45"/>
      <c r="C87" s="45"/>
      <c r="D87" s="45"/>
      <c r="E87" s="45"/>
      <c r="F87" s="45"/>
      <c r="G87" s="45"/>
      <c r="H87" s="51"/>
      <c r="I87" s="62"/>
      <c r="J87" s="45"/>
      <c r="K87" s="45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&amp;L&amp;F &amp;A&amp;C&amp;P&amp;R&amp;D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9"/>
  <dimension ref="A1:L103"/>
  <sheetViews>
    <sheetView workbookViewId="0" topLeftCell="A10">
      <selection activeCell="E42" sqref="E42"/>
    </sheetView>
  </sheetViews>
  <sheetFormatPr defaultColWidth="9.140625" defaultRowHeight="12.75"/>
  <cols>
    <col min="1" max="1" width="13.140625" style="0" customWidth="1"/>
    <col min="2" max="2" width="6.7109375" style="0" customWidth="1"/>
    <col min="3" max="3" width="15.00390625" style="0" customWidth="1"/>
    <col min="4" max="4" width="14.28125" style="0" customWidth="1"/>
    <col min="5" max="5" width="15.7109375" style="0" customWidth="1"/>
    <col min="6" max="6" width="13.421875" style="0" customWidth="1"/>
    <col min="7" max="7" width="12.7109375" style="0" customWidth="1"/>
    <col min="8" max="9" width="11.57421875" style="0" customWidth="1"/>
    <col min="10" max="10" width="13.8515625" style="0" customWidth="1"/>
    <col min="11" max="11" width="15.421875" style="0" customWidth="1"/>
    <col min="12" max="12" width="15.00390625" style="0" customWidth="1"/>
  </cols>
  <sheetData>
    <row r="1" ht="15">
      <c r="B1" s="87" t="s">
        <v>208</v>
      </c>
    </row>
    <row r="2" ht="12.75">
      <c r="D2" t="s">
        <v>324</v>
      </c>
    </row>
    <row r="3" ht="12.75">
      <c r="A3" t="s">
        <v>213</v>
      </c>
    </row>
    <row r="4" ht="12.75">
      <c r="A4" t="s">
        <v>200</v>
      </c>
    </row>
    <row r="5" ht="12.75">
      <c r="A5" t="s">
        <v>209</v>
      </c>
    </row>
    <row r="6" ht="12.75">
      <c r="A6" t="s">
        <v>251</v>
      </c>
    </row>
    <row r="7" ht="12.75">
      <c r="A7" t="s">
        <v>261</v>
      </c>
    </row>
    <row r="8" ht="12.75">
      <c r="A8" t="s">
        <v>201</v>
      </c>
    </row>
    <row r="9" ht="12.75">
      <c r="A9" t="s">
        <v>202</v>
      </c>
    </row>
    <row r="10" ht="12.75">
      <c r="A10" t="s">
        <v>212</v>
      </c>
    </row>
    <row r="11" ht="12.75">
      <c r="A11" t="s">
        <v>217</v>
      </c>
    </row>
    <row r="12" ht="12.75">
      <c r="A12" t="s">
        <v>252</v>
      </c>
    </row>
    <row r="13" ht="12.75">
      <c r="A13" s="86" t="s">
        <v>244</v>
      </c>
    </row>
    <row r="14" ht="12.75">
      <c r="A14" s="86" t="s">
        <v>250</v>
      </c>
    </row>
    <row r="15" ht="12.75">
      <c r="A15" s="88" t="s">
        <v>249</v>
      </c>
    </row>
    <row r="16" ht="12.75">
      <c r="A16" s="88"/>
    </row>
    <row r="17" ht="12.75">
      <c r="A17" s="78" t="s">
        <v>215</v>
      </c>
    </row>
    <row r="18" ht="12.75">
      <c r="A18" t="s">
        <v>214</v>
      </c>
    </row>
    <row r="19" ht="12.75">
      <c r="A19" t="s">
        <v>253</v>
      </c>
    </row>
    <row r="21" spans="1:7" s="63" customFormat="1" ht="15.75">
      <c r="A21" s="65" t="s">
        <v>160</v>
      </c>
      <c r="B21" s="65"/>
      <c r="C21" s="64" t="s">
        <v>161</v>
      </c>
      <c r="D21" s="64" t="s">
        <v>188</v>
      </c>
      <c r="E21" s="1" t="s">
        <v>175</v>
      </c>
      <c r="F21" s="1" t="s">
        <v>176</v>
      </c>
      <c r="G21" s="65" t="s">
        <v>247</v>
      </c>
    </row>
    <row r="22" spans="1:7" s="63" customFormat="1" ht="12.75">
      <c r="A22" s="65" t="s">
        <v>163</v>
      </c>
      <c r="B22" s="65"/>
      <c r="C22" s="65" t="s">
        <v>162</v>
      </c>
      <c r="D22" s="65" t="s">
        <v>19</v>
      </c>
      <c r="G22" s="65" t="s">
        <v>168</v>
      </c>
    </row>
    <row r="23" spans="1:7" s="63" customFormat="1" ht="12.75">
      <c r="A23" s="83">
        <v>299792458</v>
      </c>
      <c r="B23" s="66"/>
      <c r="C23" s="67">
        <v>7.292115816E-05</v>
      </c>
      <c r="D23" s="66">
        <f>-ATAN2(C33,D33)</f>
        <v>-0.030271710784362416</v>
      </c>
      <c r="E23" s="75">
        <f>SQRT(1-POWER(F35/A23,2))</f>
        <v>0.9999999999993299</v>
      </c>
      <c r="F23" s="74">
        <f>1+(F35*C36)/($A$23*$A$23)</f>
        <v>0.9999995316523004</v>
      </c>
      <c r="G23" s="91">
        <f>F31/A23</f>
        <v>0.0024528221873252234</v>
      </c>
    </row>
    <row r="24" s="63" customFormat="1" ht="12.75">
      <c r="G24" s="92">
        <v>0.0024528221873252234</v>
      </c>
    </row>
    <row r="25" spans="3:6" ht="12.75">
      <c r="C25" s="1" t="s">
        <v>157</v>
      </c>
      <c r="D25" s="1" t="s">
        <v>158</v>
      </c>
      <c r="E25" s="1" t="s">
        <v>159</v>
      </c>
      <c r="F25" s="1" t="s">
        <v>14</v>
      </c>
    </row>
    <row r="26" spans="1:5" ht="12.75">
      <c r="A26" s="1" t="s">
        <v>108</v>
      </c>
      <c r="B26" s="1" t="s">
        <v>187</v>
      </c>
      <c r="C26" s="2">
        <v>144058.5523408</v>
      </c>
      <c r="D26" s="2">
        <v>-4757396.9876393</v>
      </c>
      <c r="E26" s="2">
        <v>4231823.0744844</v>
      </c>
    </row>
    <row r="27" spans="1:5" ht="12.75">
      <c r="A27" s="1" t="s">
        <v>136</v>
      </c>
      <c r="B27" s="1" t="s">
        <v>187</v>
      </c>
      <c r="C27" s="2">
        <v>-167796.99235849088</v>
      </c>
      <c r="D27" s="2">
        <v>-4287098.7216036925</v>
      </c>
      <c r="E27" s="2">
        <v>4703296.872007008</v>
      </c>
    </row>
    <row r="28" spans="1:6" ht="12.75">
      <c r="A28" s="1" t="s">
        <v>248</v>
      </c>
      <c r="B28" s="1" t="s">
        <v>187</v>
      </c>
      <c r="C28" s="2">
        <f>C27-C26</f>
        <v>-311855.5446992909</v>
      </c>
      <c r="D28" s="2">
        <f>D27-D26</f>
        <v>470298.2660356071</v>
      </c>
      <c r="E28" s="2">
        <f>E27-E26</f>
        <v>471473.79752260726</v>
      </c>
      <c r="F28" s="70">
        <f>SQRT(SUMSQ(C28,D28,E28))</f>
        <v>735337.9369692404</v>
      </c>
    </row>
    <row r="29" spans="1:6" ht="12.75">
      <c r="A29" s="82" t="s">
        <v>180</v>
      </c>
      <c r="B29" s="47"/>
      <c r="C29" s="44">
        <f>-D27*$C$23*$G$24</f>
        <v>0.7668017723948395</v>
      </c>
      <c r="D29" s="44">
        <f>C27*$C$23*$G$24</f>
        <v>-0.030012612141313868</v>
      </c>
      <c r="E29" s="48">
        <v>0</v>
      </c>
      <c r="F29" s="70">
        <f>SQRT(SUMSQ(C29,D29,E29))</f>
        <v>0.7673888942611903</v>
      </c>
    </row>
    <row r="30" spans="1:6" s="81" customFormat="1" ht="12.75">
      <c r="A30" s="47" t="s">
        <v>177</v>
      </c>
      <c r="B30" s="47"/>
      <c r="C30" s="80">
        <f>C27+C29</f>
        <v>-167796.22555671848</v>
      </c>
      <c r="D30" s="80">
        <f>D27+D29</f>
        <v>-4287098.751616305</v>
      </c>
      <c r="E30" s="80">
        <f>E27+E29</f>
        <v>4703296.872007008</v>
      </c>
      <c r="F30" s="66"/>
    </row>
    <row r="31" spans="1:6" ht="12.75">
      <c r="A31" s="1" t="s">
        <v>173</v>
      </c>
      <c r="B31" s="47"/>
      <c r="C31" s="2">
        <f>C30-C26</f>
        <v>-311854.7778975185</v>
      </c>
      <c r="D31" s="2">
        <f>D30-D26</f>
        <v>470298.23602299485</v>
      </c>
      <c r="E31" s="2">
        <f>E30-E26</f>
        <v>471473.79752260726</v>
      </c>
      <c r="F31" s="70">
        <f>SQRT(SUMSQ(C31,D31,E31))</f>
        <v>735337.5925751652</v>
      </c>
    </row>
    <row r="32" spans="1:6" ht="12.75">
      <c r="A32" s="82" t="s">
        <v>256</v>
      </c>
      <c r="B32" s="45"/>
      <c r="C32" s="61">
        <f>C33*$G$24</f>
        <v>0.8509205593341387</v>
      </c>
      <c r="D32" s="61">
        <f>D33*$G$24</f>
        <v>0.025766692217024184</v>
      </c>
      <c r="E32" s="61">
        <v>0</v>
      </c>
      <c r="F32" s="70">
        <f>SQRT(SUMSQ(C32,D32,E32))</f>
        <v>0.851310590046506</v>
      </c>
    </row>
    <row r="33" spans="1:11" ht="12.75">
      <c r="A33" s="68" t="s">
        <v>254</v>
      </c>
      <c r="B33" s="72" t="s">
        <v>9</v>
      </c>
      <c r="C33" s="69">
        <f>-D26*$C$23</f>
        <v>346.9148981655529</v>
      </c>
      <c r="D33" s="69">
        <f>C26*$C$23</f>
        <v>10.504916479544116</v>
      </c>
      <c r="E33" s="57">
        <v>0</v>
      </c>
      <c r="F33" s="66">
        <f>SQRT(SUMSQ(C33,D33))</f>
        <v>347.0739112054638</v>
      </c>
      <c r="G33" s="45"/>
      <c r="H33" s="45"/>
      <c r="I33" s="45"/>
      <c r="J33" s="45"/>
      <c r="K33" s="45"/>
    </row>
    <row r="34" spans="1:11" ht="12.75">
      <c r="A34" s="1" t="s">
        <v>173</v>
      </c>
      <c r="B34" s="45" t="s">
        <v>165</v>
      </c>
      <c r="C34" s="48">
        <f>C31*COS($D$23)-D31*SIN($D$23)</f>
        <v>-297477.34270277503</v>
      </c>
      <c r="D34" s="48">
        <f>C31*SIN($D$23)+D31*COS($D$23)</f>
        <v>479521.7032443338</v>
      </c>
      <c r="E34" s="48">
        <f>E31</f>
        <v>471473.79752260726</v>
      </c>
      <c r="F34" s="66">
        <f aca="true" t="shared" si="0" ref="F34:F41">SQRT(SUMSQ(C34,D34,E34))</f>
        <v>735337.5925751652</v>
      </c>
      <c r="G34" s="45"/>
      <c r="H34" s="45"/>
      <c r="I34" s="44"/>
      <c r="J34" s="44"/>
      <c r="K34" s="44"/>
    </row>
    <row r="35" spans="1:11" ht="12.75">
      <c r="A35" s="68" t="s">
        <v>254</v>
      </c>
      <c r="B35" s="45" t="s">
        <v>165</v>
      </c>
      <c r="C35" s="57">
        <f>C33*COS($D$23)-D33*SIN($D$23)</f>
        <v>347.07391120546384</v>
      </c>
      <c r="D35" s="57">
        <f>C33*SIN($D$23)+D33*COS($D$23)</f>
        <v>0</v>
      </c>
      <c r="E35" s="57">
        <f>E33</f>
        <v>0</v>
      </c>
      <c r="F35" s="71">
        <f t="shared" si="0"/>
        <v>347.07391120546384</v>
      </c>
      <c r="G35" s="45"/>
      <c r="H35" s="45"/>
      <c r="I35" s="45"/>
      <c r="J35" s="45"/>
      <c r="K35" s="45"/>
    </row>
    <row r="36" spans="1:11" ht="12.75">
      <c r="A36" s="1" t="s">
        <v>173</v>
      </c>
      <c r="B36" s="47" t="s">
        <v>185</v>
      </c>
      <c r="C36" s="48">
        <f>(C34*$A$23)/F34</f>
        <v>-121279619.95776421</v>
      </c>
      <c r="D36" s="48">
        <f>(D34*$A$23)/F34</f>
        <v>195497947.51622298</v>
      </c>
      <c r="E36" s="48">
        <f>(E34*$A$23)/F34</f>
        <v>192216867.55726245</v>
      </c>
      <c r="F36" s="73">
        <f t="shared" si="0"/>
        <v>299792458</v>
      </c>
      <c r="G36" s="45"/>
      <c r="H36" s="52"/>
      <c r="I36" s="45"/>
      <c r="J36" s="53"/>
      <c r="K36" s="45"/>
    </row>
    <row r="37" spans="1:11" ht="12.75">
      <c r="A37" s="1" t="s">
        <v>173</v>
      </c>
      <c r="B37" s="47" t="s">
        <v>196</v>
      </c>
      <c r="C37" s="61">
        <f>(C36+$F$35)/$F$23</f>
        <v>-121279329.68474807</v>
      </c>
      <c r="D37" s="61">
        <f>(D36*$E$23)/$F$23</f>
        <v>195498039.07714885</v>
      </c>
      <c r="E37" s="61">
        <f>(E36*$E$23)/$F$23</f>
        <v>192216957.58150357</v>
      </c>
      <c r="F37" s="73">
        <f t="shared" si="0"/>
        <v>299792458.00000006</v>
      </c>
      <c r="G37" s="45"/>
      <c r="H37" s="52"/>
      <c r="I37" s="45"/>
      <c r="J37" s="50"/>
      <c r="K37" s="52"/>
    </row>
    <row r="38" spans="1:11" ht="12.75">
      <c r="A38" s="1" t="s">
        <v>173</v>
      </c>
      <c r="B38" s="47" t="s">
        <v>166</v>
      </c>
      <c r="C38" s="48">
        <f>(C37*$F$34)/$A$23</f>
        <v>-297476.6307146807</v>
      </c>
      <c r="D38" s="48">
        <f>(D37*$F$34)/$A$23</f>
        <v>479521.9278270043</v>
      </c>
      <c r="E38" s="48">
        <f>(E37*$F$34)/$A$23</f>
        <v>471474.01833606337</v>
      </c>
      <c r="F38" s="66">
        <f t="shared" si="0"/>
        <v>735337.5925751653</v>
      </c>
      <c r="G38" s="45"/>
      <c r="H38" s="45"/>
      <c r="I38" s="45"/>
      <c r="J38" s="53"/>
      <c r="K38" s="45"/>
    </row>
    <row r="39" spans="1:11" ht="12.75">
      <c r="A39" s="1" t="s">
        <v>173</v>
      </c>
      <c r="B39" s="47" t="s">
        <v>8</v>
      </c>
      <c r="C39" s="48">
        <f>C37*COS(-$D$23)-D37*SIN(-$D$23)</f>
        <v>-127140921.44329496</v>
      </c>
      <c r="D39" s="48">
        <f>C37*SIN(-$D$23)+D37*COS(-$D$23)</f>
        <v>191737698.91792834</v>
      </c>
      <c r="E39" s="48">
        <f>E37</f>
        <v>192216957.58150357</v>
      </c>
      <c r="F39" s="73">
        <f t="shared" si="0"/>
        <v>299792458.00000006</v>
      </c>
      <c r="G39" s="45"/>
      <c r="H39" s="45"/>
      <c r="I39" s="45"/>
      <c r="J39" s="53"/>
      <c r="K39" s="45"/>
    </row>
    <row r="40" spans="1:11" ht="12.75">
      <c r="A40" s="1" t="s">
        <v>173</v>
      </c>
      <c r="B40" s="48" t="s">
        <v>167</v>
      </c>
      <c r="C40" s="48">
        <f>C38*COS(-$D$23)-D38*SIN(-$D$23)</f>
        <v>-311854.0730330872</v>
      </c>
      <c r="D40" s="48">
        <f>C38*SIN(-$D$23)+D38*COS(-$D$23)</f>
        <v>470298.4820525782</v>
      </c>
      <c r="E40" s="48">
        <f>E38</f>
        <v>471474.01833606337</v>
      </c>
      <c r="F40" s="66">
        <f t="shared" si="0"/>
        <v>735337.5925751653</v>
      </c>
      <c r="G40" s="45"/>
      <c r="H40" s="45"/>
      <c r="I40" s="45"/>
      <c r="J40" s="53"/>
      <c r="K40" s="49"/>
    </row>
    <row r="41" spans="1:12" ht="12.75">
      <c r="A41" s="82" t="s">
        <v>179</v>
      </c>
      <c r="B41" s="54"/>
      <c r="C41" s="48">
        <f>C40-C31</f>
        <v>0.7048644312890247</v>
      </c>
      <c r="D41" s="48">
        <f>D40-D31</f>
        <v>0.24602958332980052</v>
      </c>
      <c r="E41" s="48">
        <f>E40-E31</f>
        <v>0.2208134561078623</v>
      </c>
      <c r="F41" s="70">
        <f t="shared" si="0"/>
        <v>0.7785390194255739</v>
      </c>
      <c r="G41" s="45"/>
      <c r="H41" s="45"/>
      <c r="I41" s="45"/>
      <c r="J41" s="53"/>
      <c r="K41" s="49"/>
      <c r="L41" s="13"/>
    </row>
    <row r="42" spans="1:12" ht="12.75">
      <c r="A42" s="101" t="s">
        <v>169</v>
      </c>
      <c r="B42" s="99"/>
      <c r="C42" s="102">
        <f>C30-C41</f>
        <v>-167796.93042114977</v>
      </c>
      <c r="D42" s="102">
        <f>D30-D41</f>
        <v>-4287098.9976458885</v>
      </c>
      <c r="E42" s="102">
        <f>E30-E41</f>
        <v>4703296.651193552</v>
      </c>
      <c r="F42" s="66"/>
      <c r="G42" s="45"/>
      <c r="H42" s="45"/>
      <c r="I42" s="45"/>
      <c r="J42" s="53"/>
      <c r="K42" s="49"/>
      <c r="L42" s="13"/>
    </row>
    <row r="43" spans="1:11" ht="12.75">
      <c r="A43" s="82" t="s">
        <v>181</v>
      </c>
      <c r="B43" s="47"/>
      <c r="C43" s="48">
        <f>C41-C29</f>
        <v>-0.061937341105814836</v>
      </c>
      <c r="D43" s="48">
        <f>D41-D29</f>
        <v>0.27604219547111436</v>
      </c>
      <c r="E43" s="48">
        <f>E41-E29</f>
        <v>0.2208134561078623</v>
      </c>
      <c r="F43" s="70">
        <f>SQRT(SUMSQ(C43,D43,E43))</f>
        <v>0.358878963303883</v>
      </c>
      <c r="G43" s="45"/>
      <c r="H43" s="52"/>
      <c r="I43" s="45"/>
      <c r="J43" s="50"/>
      <c r="K43" s="52"/>
    </row>
    <row r="44" spans="1:11" ht="12.75">
      <c r="A44" s="82" t="s">
        <v>257</v>
      </c>
      <c r="B44" s="45"/>
      <c r="C44" s="61">
        <f>C32-C29</f>
        <v>0.0841187869392992</v>
      </c>
      <c r="D44" s="61">
        <f>D32-D29</f>
        <v>0.055779304358338055</v>
      </c>
      <c r="E44" s="61">
        <f>E32-E29</f>
        <v>0</v>
      </c>
      <c r="F44" s="70">
        <f>SQRT(SUMSQ(C44,D44,E44))</f>
        <v>0.10093216093416074</v>
      </c>
      <c r="G44" s="45"/>
      <c r="H44" s="52"/>
      <c r="I44" s="45"/>
      <c r="J44" s="51"/>
      <c r="K44" s="52"/>
    </row>
    <row r="45" spans="1:11" ht="12.75">
      <c r="A45" s="82" t="s">
        <v>258</v>
      </c>
      <c r="B45" s="45"/>
      <c r="C45" s="61">
        <f>C41-C32</f>
        <v>-0.14605612804511403</v>
      </c>
      <c r="D45" s="61">
        <f>D41-D32</f>
        <v>0.22026289111277633</v>
      </c>
      <c r="E45" s="61">
        <f>E41-E32</f>
        <v>0.2208134561078623</v>
      </c>
      <c r="F45" s="70">
        <f>SQRT(SUMSQ(C45,D45,E45))</f>
        <v>0.3443932579758035</v>
      </c>
      <c r="G45" s="103" t="s">
        <v>255</v>
      </c>
      <c r="H45" s="52"/>
      <c r="I45" s="45"/>
      <c r="J45" s="51"/>
      <c r="K45" s="52"/>
    </row>
    <row r="46" spans="1:11" ht="12.75">
      <c r="A46" s="23" t="s">
        <v>190</v>
      </c>
      <c r="B46" s="82" t="s">
        <v>189</v>
      </c>
      <c r="C46" s="84">
        <f>-$C$23*$G$24</f>
        <v>-1.7886263466029977E-07</v>
      </c>
      <c r="D46" s="85" t="s">
        <v>19</v>
      </c>
      <c r="E46" s="61"/>
      <c r="F46" s="70"/>
      <c r="G46" s="45"/>
      <c r="H46" s="52"/>
      <c r="I46" s="45"/>
      <c r="J46" s="51"/>
      <c r="K46" s="52"/>
    </row>
    <row r="47" spans="1:11" ht="12.75">
      <c r="A47" s="72" t="s">
        <v>194</v>
      </c>
      <c r="B47" s="45" t="s">
        <v>191</v>
      </c>
      <c r="C47" s="48">
        <f>C30*COS($C$46)-D30*SIN($C$46)</f>
        <v>-167796.99235849356</v>
      </c>
      <c r="D47" s="48">
        <f>C30*SIN($C$46)+D30*COS($C$46)</f>
        <v>-4287098.7216037605</v>
      </c>
      <c r="E47" s="48">
        <f>E30</f>
        <v>4703296.872007008</v>
      </c>
      <c r="F47" s="66"/>
      <c r="G47" s="45"/>
      <c r="H47" s="52"/>
      <c r="I47" s="45"/>
      <c r="J47" s="51"/>
      <c r="K47" s="52"/>
    </row>
    <row r="48" spans="1:11" ht="12.75">
      <c r="A48" s="1" t="s">
        <v>193</v>
      </c>
      <c r="B48" s="47" t="s">
        <v>192</v>
      </c>
      <c r="C48" s="48">
        <f>C39*COS($C$46)-D39*SIN($C$46)</f>
        <v>-127140887.14858294</v>
      </c>
      <c r="D48" s="48">
        <f>C39*SIN($C$46)+D39*COS($C$46)</f>
        <v>191737721.65868545</v>
      </c>
      <c r="E48" s="48">
        <f>E39</f>
        <v>192216957.58150357</v>
      </c>
      <c r="F48" s="73">
        <f>SQRT(SUMSQ(C48,D48,E48))</f>
        <v>299792458.00000006</v>
      </c>
      <c r="G48" s="45"/>
      <c r="H48" s="52"/>
      <c r="I48" s="45"/>
      <c r="J48" s="51"/>
      <c r="K48" s="52"/>
    </row>
    <row r="49" spans="1:11" ht="12.75">
      <c r="A49" s="1" t="s">
        <v>193</v>
      </c>
      <c r="B49" s="47" t="s">
        <v>197</v>
      </c>
      <c r="C49" s="61">
        <f>C48*$G$24</f>
        <v>-311853.98891425657</v>
      </c>
      <c r="D49" s="61">
        <f>D48*$G$24</f>
        <v>470298.5378316117</v>
      </c>
      <c r="E49" s="61">
        <f>E48*$G$24</f>
        <v>471474.01833606325</v>
      </c>
      <c r="F49" s="70">
        <f>SQRT(SUMSQ(C49,D49,E49))</f>
        <v>735337.5925751652</v>
      </c>
      <c r="G49" s="45"/>
      <c r="H49" s="52"/>
      <c r="I49" s="45"/>
      <c r="J49" s="51"/>
      <c r="K49" s="52"/>
    </row>
    <row r="50" spans="1:11" ht="12.75">
      <c r="A50" s="12" t="s">
        <v>195</v>
      </c>
      <c r="B50" s="99" t="s">
        <v>197</v>
      </c>
      <c r="C50" s="100">
        <f>C47-C49</f>
        <v>144056.996555763</v>
      </c>
      <c r="D50" s="100">
        <f>D47-D49</f>
        <v>-4757397.259435372</v>
      </c>
      <c r="E50" s="100">
        <f>E47-E49</f>
        <v>4231822.853670944</v>
      </c>
      <c r="F50" s="70"/>
      <c r="G50" s="45"/>
      <c r="H50" s="52"/>
      <c r="I50" s="45"/>
      <c r="J50" s="51"/>
      <c r="K50" s="52"/>
    </row>
    <row r="51" spans="1:11" ht="12.75">
      <c r="A51" s="1" t="s">
        <v>198</v>
      </c>
      <c r="B51" s="47" t="s">
        <v>197</v>
      </c>
      <c r="C51" s="48">
        <f>C26*COS($C$46)-D26*SIN($C$46)</f>
        <v>144057.70142023836</v>
      </c>
      <c r="D51" s="48">
        <f>C26*SIN($C$46)+D26*COS($C$46)</f>
        <v>-4757397.013405915</v>
      </c>
      <c r="E51" s="48">
        <f>E26</f>
        <v>4231823.0744844</v>
      </c>
      <c r="F51" s="70"/>
      <c r="G51" s="45"/>
      <c r="H51" s="52"/>
      <c r="I51" s="45"/>
      <c r="J51" s="51"/>
      <c r="K51" s="52"/>
    </row>
    <row r="52" spans="1:11" ht="12.75">
      <c r="A52" s="1" t="s">
        <v>199</v>
      </c>
      <c r="B52" s="47" t="s">
        <v>197</v>
      </c>
      <c r="C52" s="61">
        <f>C50-C51</f>
        <v>-0.704864475352224</v>
      </c>
      <c r="D52" s="61">
        <f>D50-D51</f>
        <v>-0.246029457077384</v>
      </c>
      <c r="E52" s="61">
        <f>E50-E51</f>
        <v>-0.22081345599144697</v>
      </c>
      <c r="F52" s="70">
        <f>SQRT(SUMSQ(C52,D52,E52))</f>
        <v>0.7785390193883958</v>
      </c>
      <c r="G52" s="45"/>
      <c r="H52" s="52"/>
      <c r="I52" s="45"/>
      <c r="J52" s="51"/>
      <c r="K52" s="52"/>
    </row>
    <row r="53" spans="1:11" ht="15">
      <c r="A53" s="89"/>
      <c r="B53" s="45"/>
      <c r="C53" s="90" t="s">
        <v>207</v>
      </c>
      <c r="D53" s="48"/>
      <c r="E53" s="45"/>
      <c r="F53" s="45"/>
      <c r="G53" s="45"/>
      <c r="H53" s="45"/>
      <c r="I53" s="45"/>
      <c r="J53" s="51"/>
      <c r="K53" s="48"/>
    </row>
    <row r="54" spans="1:11" ht="12.75">
      <c r="A54" s="45"/>
      <c r="B54" s="45"/>
      <c r="C54" s="48"/>
      <c r="D54" s="48"/>
      <c r="E54" s="45"/>
      <c r="F54" s="45"/>
      <c r="G54" s="45"/>
      <c r="H54" s="45"/>
      <c r="I54" s="45"/>
      <c r="J54" s="51"/>
      <c r="K54" s="48"/>
    </row>
    <row r="55" spans="1:11" ht="15.75">
      <c r="A55" s="65" t="s">
        <v>160</v>
      </c>
      <c r="B55" s="65"/>
      <c r="C55" s="64" t="s">
        <v>161</v>
      </c>
      <c r="D55" s="64" t="s">
        <v>188</v>
      </c>
      <c r="E55" s="1" t="s">
        <v>175</v>
      </c>
      <c r="F55" s="1" t="s">
        <v>176</v>
      </c>
      <c r="G55" s="65" t="s">
        <v>170</v>
      </c>
      <c r="H55" s="45"/>
      <c r="I55" s="45"/>
      <c r="J55" s="55"/>
      <c r="K55" s="45"/>
    </row>
    <row r="56" spans="1:11" ht="12.75">
      <c r="A56" s="65" t="s">
        <v>163</v>
      </c>
      <c r="B56" s="65"/>
      <c r="C56" s="65" t="s">
        <v>162</v>
      </c>
      <c r="D56" s="65" t="s">
        <v>19</v>
      </c>
      <c r="E56" s="63"/>
      <c r="F56" s="63"/>
      <c r="G56" s="65" t="s">
        <v>168</v>
      </c>
      <c r="H56" s="47"/>
      <c r="I56" s="47"/>
      <c r="J56" s="45"/>
      <c r="K56" s="45"/>
    </row>
    <row r="57" spans="1:12" ht="12.75">
      <c r="A57" s="83">
        <v>299792458</v>
      </c>
      <c r="B57" s="66"/>
      <c r="C57" s="67">
        <v>7.292115816E-05</v>
      </c>
      <c r="D57" s="66">
        <f>-ATAN2(C63,D63)</f>
        <v>-0.030271710784362416</v>
      </c>
      <c r="E57" s="75">
        <f>SQRT(1-POWER(F65/A57,2))</f>
        <v>0.9999999999993299</v>
      </c>
      <c r="F57" s="74">
        <f>1+(F65*C66)/($A$57*$A$57)</f>
        <v>0.9999995316511794</v>
      </c>
      <c r="G57" s="77">
        <f>F62/A57</f>
        <v>0.002452822187324722</v>
      </c>
      <c r="H57" s="49"/>
      <c r="I57" s="49"/>
      <c r="J57" s="45"/>
      <c r="K57" s="56"/>
      <c r="L57" s="13"/>
    </row>
    <row r="58" spans="1:11" ht="12.75">
      <c r="A58" s="63"/>
      <c r="B58" s="63"/>
      <c r="C58" s="63"/>
      <c r="D58" s="63"/>
      <c r="E58" s="63"/>
      <c r="F58" s="63"/>
      <c r="G58" s="63"/>
      <c r="H58" s="57"/>
      <c r="I58" s="57"/>
      <c r="J58" s="45"/>
      <c r="K58" s="45"/>
    </row>
    <row r="59" spans="3:11" ht="12.75">
      <c r="C59" s="1" t="s">
        <v>157</v>
      </c>
      <c r="D59" s="1" t="s">
        <v>158</v>
      </c>
      <c r="E59" s="1" t="s">
        <v>159</v>
      </c>
      <c r="F59" s="1" t="s">
        <v>14</v>
      </c>
      <c r="H59" s="57"/>
      <c r="I59" s="57"/>
      <c r="J59" s="45"/>
      <c r="K59" s="45"/>
    </row>
    <row r="60" spans="1:11" ht="12.75">
      <c r="A60" s="1" t="s">
        <v>108</v>
      </c>
      <c r="B60" s="1" t="s">
        <v>187</v>
      </c>
      <c r="C60" s="2">
        <v>144058.5523408</v>
      </c>
      <c r="D60" s="2">
        <v>-4757396.9876393</v>
      </c>
      <c r="E60" s="2">
        <v>4231823.0744844</v>
      </c>
      <c r="H60" s="52"/>
      <c r="I60" s="52"/>
      <c r="J60" s="45"/>
      <c r="K60" s="45"/>
    </row>
    <row r="61" spans="1:12" ht="12.75">
      <c r="A61" s="76" t="s">
        <v>169</v>
      </c>
      <c r="B61" s="45"/>
      <c r="C61" s="61">
        <v>-167796.9304212975</v>
      </c>
      <c r="D61" s="61">
        <v>-4287098.997646871</v>
      </c>
      <c r="E61" s="61">
        <v>4703296.651192915</v>
      </c>
      <c r="H61" s="52"/>
      <c r="I61" s="52"/>
      <c r="J61" s="45"/>
      <c r="K61" s="45"/>
      <c r="L61" s="2"/>
    </row>
    <row r="62" spans="1:11" ht="12.75">
      <c r="A62" s="1" t="s">
        <v>171</v>
      </c>
      <c r="B62" s="1"/>
      <c r="C62" s="2">
        <f>C61-C60</f>
        <v>-311855.4827620975</v>
      </c>
      <c r="D62" s="2">
        <f>D61-D60</f>
        <v>470297.9899924286</v>
      </c>
      <c r="E62" s="2">
        <f>E61-E60</f>
        <v>471473.57670851424</v>
      </c>
      <c r="F62" s="66">
        <f>SQRT(SUMSQ(C62,D62,E62))</f>
        <v>735337.5925750149</v>
      </c>
      <c r="H62" s="48"/>
      <c r="I62" s="48"/>
      <c r="J62" s="45"/>
      <c r="K62" s="45"/>
    </row>
    <row r="63" spans="1:11" ht="12.75">
      <c r="A63" s="68" t="s">
        <v>254</v>
      </c>
      <c r="B63" s="72" t="s">
        <v>9</v>
      </c>
      <c r="C63" s="69">
        <f>-D60*$C$57</f>
        <v>346.9148981655529</v>
      </c>
      <c r="D63" s="69">
        <f>C60*$C$57</f>
        <v>10.504916479544116</v>
      </c>
      <c r="E63" s="57">
        <v>0</v>
      </c>
      <c r="F63" s="66">
        <f>SQRT(SUMSQ(C63,D63))</f>
        <v>347.0739112054638</v>
      </c>
      <c r="G63" s="45"/>
      <c r="H63" s="45"/>
      <c r="I63" s="45"/>
      <c r="J63" s="45"/>
      <c r="K63" s="45"/>
    </row>
    <row r="64" spans="1:11" ht="12.75">
      <c r="A64" s="1" t="s">
        <v>171</v>
      </c>
      <c r="B64" s="45" t="s">
        <v>165</v>
      </c>
      <c r="C64" s="48">
        <f>C62*COS($D$57)-D62*SIN($D$57)</f>
        <v>-297478.05469104677</v>
      </c>
      <c r="D64" s="48">
        <f>C62*SIN($D$57)+D62*COS($D$57)</f>
        <v>479521.4786606852</v>
      </c>
      <c r="E64" s="48">
        <f>E62</f>
        <v>471473.57670851424</v>
      </c>
      <c r="F64" s="66">
        <f aca="true" t="shared" si="1" ref="F64:F69">SQRT(SUMSQ(C64,D64,E64))</f>
        <v>735337.5925750149</v>
      </c>
      <c r="G64" s="45"/>
      <c r="H64" s="52"/>
      <c r="I64" s="45"/>
      <c r="J64" s="45"/>
      <c r="K64" s="45"/>
    </row>
    <row r="65" spans="1:11" ht="12.75">
      <c r="A65" s="68" t="s">
        <v>254</v>
      </c>
      <c r="B65" s="45" t="s">
        <v>165</v>
      </c>
      <c r="C65" s="57">
        <f>C63*COS($D$57)-D63*SIN($D$57)</f>
        <v>347.07391120546384</v>
      </c>
      <c r="D65" s="57">
        <f>C63*SIN($D$57)+D63*COS($D$57)</f>
        <v>0</v>
      </c>
      <c r="E65" s="57">
        <f>E63</f>
        <v>0</v>
      </c>
      <c r="F65" s="71">
        <f t="shared" si="1"/>
        <v>347.07391120546384</v>
      </c>
      <c r="G65" s="45"/>
      <c r="H65" s="52"/>
      <c r="I65" s="45"/>
      <c r="J65" s="45"/>
      <c r="K65" s="45"/>
    </row>
    <row r="66" spans="1:11" ht="12.75">
      <c r="A66" s="1" t="s">
        <v>171</v>
      </c>
      <c r="B66" s="47" t="s">
        <v>185</v>
      </c>
      <c r="C66" s="48">
        <f>(C64*$A$57)/F64</f>
        <v>-121279910.23087744</v>
      </c>
      <c r="D66" s="48">
        <f>(D64*$A$57)/F64</f>
        <v>195497855.9549383</v>
      </c>
      <c r="E66" s="48">
        <f>(E64*$A$57)/F64</f>
        <v>192216777.5328009</v>
      </c>
      <c r="F66" s="73">
        <f t="shared" si="1"/>
        <v>299792458</v>
      </c>
      <c r="G66" s="45"/>
      <c r="H66" s="45"/>
      <c r="I66" s="45"/>
      <c r="J66" s="45"/>
      <c r="K66" s="45"/>
    </row>
    <row r="67" spans="1:12" ht="12.75">
      <c r="A67" s="1" t="s">
        <v>171</v>
      </c>
      <c r="B67" s="47" t="s">
        <v>186</v>
      </c>
      <c r="C67" s="61">
        <f>(C66+$F$65)/$F$57</f>
        <v>-121279619.9581332</v>
      </c>
      <c r="D67" s="61">
        <f>(D66*$E$57)/$F$57</f>
        <v>195497947.51604044</v>
      </c>
      <c r="E67" s="61">
        <f>(E66*$E$57)/$F$57</f>
        <v>192216867.55721533</v>
      </c>
      <c r="F67" s="73">
        <f t="shared" si="1"/>
        <v>299792458.00000006</v>
      </c>
      <c r="G67" s="45"/>
      <c r="H67" s="45"/>
      <c r="I67" s="45"/>
      <c r="J67" s="52"/>
      <c r="K67" s="52"/>
      <c r="L67" s="6"/>
    </row>
    <row r="68" spans="1:11" ht="12.75">
      <c r="A68" s="1" t="s">
        <v>171</v>
      </c>
      <c r="B68" s="47" t="s">
        <v>166</v>
      </c>
      <c r="C68" s="48">
        <f>(C67*$F$64)/$A$57</f>
        <v>-297477.34270361933</v>
      </c>
      <c r="D68" s="48">
        <f>(D67*$F$64)/$A$57</f>
        <v>479521.7032437881</v>
      </c>
      <c r="E68" s="48">
        <f>(E67*$F$64)/$A$57</f>
        <v>471473.7975223954</v>
      </c>
      <c r="F68" s="66">
        <f t="shared" si="1"/>
        <v>735337.592575015</v>
      </c>
      <c r="G68" s="45"/>
      <c r="H68" s="51"/>
      <c r="I68" s="47"/>
      <c r="J68" s="45"/>
      <c r="K68" s="45"/>
    </row>
    <row r="69" spans="1:11" ht="12.75">
      <c r="A69" s="1" t="s">
        <v>171</v>
      </c>
      <c r="B69" s="48" t="s">
        <v>167</v>
      </c>
      <c r="C69" s="48">
        <f>C68*COS($D$57)-D68*SIN(-$D$57)</f>
        <v>-311854.7778983459</v>
      </c>
      <c r="D69" s="48">
        <f>C68*SIN(-$D$57)+D68*COS($D$57)</f>
        <v>470298.2360224239</v>
      </c>
      <c r="E69" s="48">
        <f>E68</f>
        <v>471473.7975223954</v>
      </c>
      <c r="F69" s="66">
        <f t="shared" si="1"/>
        <v>735337.5925750152</v>
      </c>
      <c r="G69" s="45"/>
      <c r="H69" s="52"/>
      <c r="I69" s="45"/>
      <c r="J69" s="45"/>
      <c r="K69" s="45"/>
    </row>
    <row r="70" spans="1:11" ht="12.75">
      <c r="A70" s="1" t="s">
        <v>243</v>
      </c>
      <c r="B70" s="48" t="s">
        <v>167</v>
      </c>
      <c r="C70" s="48">
        <f>C69+C60</f>
        <v>-167796.2255575459</v>
      </c>
      <c r="D70" s="48">
        <f>D69+D60</f>
        <v>-4287098.751616876</v>
      </c>
      <c r="E70" s="48">
        <f>E69+E60</f>
        <v>4703296.872006796</v>
      </c>
      <c r="F70" s="66"/>
      <c r="G70" s="45"/>
      <c r="H70" s="52"/>
      <c r="I70" s="45"/>
      <c r="J70" s="45"/>
      <c r="K70" s="45"/>
    </row>
    <row r="71" spans="1:11" ht="12.75">
      <c r="A71" s="47" t="s">
        <v>172</v>
      </c>
      <c r="B71" s="47"/>
      <c r="C71" s="44">
        <f>C30</f>
        <v>-167796.22555671848</v>
      </c>
      <c r="D71" s="44">
        <f>D30</f>
        <v>-4287098.751616305</v>
      </c>
      <c r="E71" s="44">
        <f>E30</f>
        <v>4703296.872007008</v>
      </c>
      <c r="F71" s="70"/>
      <c r="G71" s="50"/>
      <c r="H71" s="45"/>
      <c r="I71" s="45"/>
      <c r="J71" s="45"/>
      <c r="K71" s="45"/>
    </row>
    <row r="72" spans="1:11" ht="12.75">
      <c r="A72" s="76" t="s">
        <v>174</v>
      </c>
      <c r="B72" s="45"/>
      <c r="C72" s="44">
        <f>C71-C70</f>
        <v>8.274218998849392E-07</v>
      </c>
      <c r="D72" s="44">
        <f>D71-D70</f>
        <v>5.709007382392883E-07</v>
      </c>
      <c r="E72" s="44">
        <f>E71-E70</f>
        <v>2.1141022443771362E-07</v>
      </c>
      <c r="F72" s="70">
        <f>SQRT(SUMSQ(C72,D72,E72))</f>
        <v>1.027253102369699E-06</v>
      </c>
      <c r="G72" s="45"/>
      <c r="H72" s="47"/>
      <c r="I72" s="47"/>
      <c r="J72" s="45"/>
      <c r="K72" s="45"/>
    </row>
    <row r="73" spans="1:11" ht="12.75">
      <c r="A73" s="76"/>
      <c r="B73" s="45"/>
      <c r="C73" s="44"/>
      <c r="D73" s="44"/>
      <c r="E73" s="44"/>
      <c r="F73" s="70"/>
      <c r="G73" s="45"/>
      <c r="H73" s="47"/>
      <c r="I73" s="47"/>
      <c r="J73" s="45"/>
      <c r="K73" s="45"/>
    </row>
    <row r="74" spans="2:11" ht="15">
      <c r="B74" s="126" t="s">
        <v>287</v>
      </c>
      <c r="C74" s="44"/>
      <c r="D74" s="44"/>
      <c r="E74" s="44"/>
      <c r="F74" s="70"/>
      <c r="G74" s="45"/>
      <c r="H74" s="47"/>
      <c r="I74" s="47"/>
      <c r="J74" s="45"/>
      <c r="K74" s="45"/>
    </row>
    <row r="75" spans="2:11" ht="15.75">
      <c r="B75" s="116"/>
      <c r="C75" s="44"/>
      <c r="D75" s="44"/>
      <c r="E75" s="44"/>
      <c r="F75" s="70"/>
      <c r="G75" s="45"/>
      <c r="H75" s="47"/>
      <c r="I75" s="47"/>
      <c r="J75" s="45"/>
      <c r="K75" s="45"/>
    </row>
    <row r="76" spans="1:11" ht="15.75">
      <c r="A76" s="58"/>
      <c r="B76" s="58"/>
      <c r="C76" s="115" t="s">
        <v>288</v>
      </c>
      <c r="D76" s="115" t="s">
        <v>289</v>
      </c>
      <c r="E76" s="58"/>
      <c r="F76" s="45"/>
      <c r="G76" s="47"/>
      <c r="H76" s="49"/>
      <c r="I76" s="49"/>
      <c r="J76" s="45"/>
      <c r="K76" s="45"/>
    </row>
    <row r="77" spans="1:11" ht="12.75">
      <c r="A77" s="47"/>
      <c r="B77" s="47"/>
      <c r="C77" s="47">
        <f>ATAN2(D62,C62)</f>
        <v>-0.5855306143342827</v>
      </c>
      <c r="D77" s="47">
        <f>ASIN(E62/F62)</f>
        <v>0.6960169165455603</v>
      </c>
      <c r="E77" s="47"/>
      <c r="F77" s="45"/>
      <c r="G77" s="47"/>
      <c r="H77" s="45"/>
      <c r="I77" s="57"/>
      <c r="J77" s="45"/>
      <c r="K77" s="45"/>
    </row>
    <row r="78" spans="1:11" ht="12.75">
      <c r="A78" s="47"/>
      <c r="B78" s="47"/>
      <c r="C78" s="47"/>
      <c r="D78" s="47"/>
      <c r="E78" s="47"/>
      <c r="F78" s="45"/>
      <c r="G78" s="47"/>
      <c r="H78" s="45"/>
      <c r="I78" s="57"/>
      <c r="J78" s="45"/>
      <c r="K78" s="45"/>
    </row>
    <row r="79" spans="1:11" ht="12.75">
      <c r="A79" s="47"/>
      <c r="B79" s="47"/>
      <c r="C79" s="51" t="s">
        <v>284</v>
      </c>
      <c r="D79" s="51" t="s">
        <v>285</v>
      </c>
      <c r="E79" s="51" t="s">
        <v>286</v>
      </c>
      <c r="F79" s="45"/>
      <c r="G79" s="47"/>
      <c r="H79" s="45"/>
      <c r="I79" s="57"/>
      <c r="J79" s="45"/>
      <c r="K79" s="45"/>
    </row>
    <row r="80" spans="1:11" ht="12.75">
      <c r="A80" s="47"/>
      <c r="B80" s="47"/>
      <c r="C80" s="51" t="s">
        <v>281</v>
      </c>
      <c r="D80" s="51" t="s">
        <v>282</v>
      </c>
      <c r="E80" s="51" t="s">
        <v>283</v>
      </c>
      <c r="F80" s="51" t="s">
        <v>280</v>
      </c>
      <c r="G80" s="47"/>
      <c r="H80" s="45"/>
      <c r="I80" s="57"/>
      <c r="J80" s="45"/>
      <c r="K80" s="45"/>
    </row>
    <row r="81" spans="1:11" ht="12.75">
      <c r="A81" s="1" t="s">
        <v>171</v>
      </c>
      <c r="B81" s="48"/>
      <c r="C81" s="48">
        <f>C62*COS($C$77)-D62*SIN($C$77)</f>
        <v>0</v>
      </c>
      <c r="D81" s="48">
        <f>G81*COS($D$77)+E62*SIN($D$77)</f>
        <v>735337.5925750148</v>
      </c>
      <c r="E81" s="48">
        <f>-G81*SIN($D$77)+E62*COS($D$77)</f>
        <v>0</v>
      </c>
      <c r="F81" s="66">
        <f aca="true" t="shared" si="2" ref="F81:F88">SQRT(SUMSQ(C81,D81,E81))</f>
        <v>735337.5925750148</v>
      </c>
      <c r="G81" s="48">
        <f>C62*SIN($C$77)+D62*COS($C$77)</f>
        <v>564299.602622312</v>
      </c>
      <c r="H81" s="48"/>
      <c r="I81" s="57"/>
      <c r="J81" s="45"/>
      <c r="K81" s="45"/>
    </row>
    <row r="82" spans="1:12" ht="12.75">
      <c r="A82" s="68" t="s">
        <v>254</v>
      </c>
      <c r="B82" s="47"/>
      <c r="C82" s="48">
        <f>C63*COS($C$77)-D63*SIN($C$77)</f>
        <v>294.9309096309663</v>
      </c>
      <c r="D82" s="48">
        <f>G82*COS($D$77)+E63*SIN($D$77)</f>
        <v>-140.40744412081963</v>
      </c>
      <c r="E82" s="48">
        <f>-G82*SIN($D$77)+E63*COS($D$77)</f>
        <v>117.31073275352018</v>
      </c>
      <c r="F82" s="70">
        <f t="shared" si="2"/>
        <v>347.07391120546373</v>
      </c>
      <c r="G82" s="48">
        <f>C63*SIN($C$77)+D63*COS($C$77)</f>
        <v>-182.96463697586188</v>
      </c>
      <c r="H82" s="48"/>
      <c r="I82" s="52"/>
      <c r="J82" s="47"/>
      <c r="K82" s="47"/>
      <c r="L82" s="1"/>
    </row>
    <row r="83" spans="1:12" ht="12.75">
      <c r="A83" s="82" t="s">
        <v>256</v>
      </c>
      <c r="B83" s="60"/>
      <c r="C83" s="48">
        <f>C32*COS($C$77)-D32*SIN($C$77)</f>
        <v>0.7234130788708446</v>
      </c>
      <c r="D83" s="48">
        <f>G83*COS($D$77)+E46*SIN($D$77)</f>
        <v>-0.344394494205173</v>
      </c>
      <c r="E83" s="48">
        <f>-G83*SIN($D$77)+E46*COS($D$77)</f>
        <v>0.28774236810921416</v>
      </c>
      <c r="F83" s="70">
        <f>SQRT(SUMSQ(C83,D83,E83))</f>
        <v>0.851310590046506</v>
      </c>
      <c r="G83" s="48">
        <f>C32*SIN($C$77)+D32*COS($C$77)</f>
        <v>-0.44877972107029906</v>
      </c>
      <c r="H83" s="48"/>
      <c r="I83" s="52"/>
      <c r="J83" s="47"/>
      <c r="K83" s="47"/>
      <c r="L83" s="1"/>
    </row>
    <row r="84" spans="1:12" ht="12.75">
      <c r="A84" s="82" t="s">
        <v>180</v>
      </c>
      <c r="B84" s="47"/>
      <c r="C84" s="48">
        <f>C29*COS($C$77)-D29*SIN($C$77)</f>
        <v>0.6224809179366855</v>
      </c>
      <c r="D84" s="48">
        <f>G84*COS($D$77)+E29*SIN($D$77)</f>
        <v>-0.3443944803511079</v>
      </c>
      <c r="E84" s="48">
        <f>-G84*SIN($D$77)+E29*COS($D$77)</f>
        <v>0.2877423565341119</v>
      </c>
      <c r="F84" s="70">
        <f>SQRT(SUMSQ(C84,D84,E84))</f>
        <v>0.7673888942611903</v>
      </c>
      <c r="G84" s="48">
        <f>C29*SIN($C$77)+D29*COS($C$77)</f>
        <v>-0.4487797030170968</v>
      </c>
      <c r="H84" s="48"/>
      <c r="I84" s="52"/>
      <c r="J84" s="47"/>
      <c r="K84" s="47"/>
      <c r="L84" s="1"/>
    </row>
    <row r="85" spans="1:12" ht="12.75">
      <c r="A85" s="82" t="s">
        <v>179</v>
      </c>
      <c r="B85" s="61"/>
      <c r="C85" s="48">
        <f>C41*COS($C$77)-D41*SIN($C$77)</f>
        <v>0.7234135871059292</v>
      </c>
      <c r="D85" s="48">
        <f>G85*COS($D$77)+E41*SIN($D$77)</f>
        <v>-1.2362298038304242E-06</v>
      </c>
      <c r="E85" s="48">
        <f>-G85*SIN($D$77)+E41*COS($D$77)</f>
        <v>0.28774257029007394</v>
      </c>
      <c r="F85" s="70">
        <f>SQRT(SUMSQ(C85,D85,E85))</f>
        <v>0.7785390194255739</v>
      </c>
      <c r="G85" s="48">
        <f>C41*SIN($C$77)+D41*COS($C$77)</f>
        <v>-0.18449174604943055</v>
      </c>
      <c r="H85" s="48"/>
      <c r="I85" s="52"/>
      <c r="J85" s="47"/>
      <c r="K85" s="47"/>
      <c r="L85" s="1"/>
    </row>
    <row r="86" spans="1:11" ht="12.75">
      <c r="A86" s="82" t="s">
        <v>181</v>
      </c>
      <c r="B86" s="48"/>
      <c r="C86" s="48">
        <f>C43*COS($C$77)-D43*SIN($C$77)</f>
        <v>0.1009326691692437</v>
      </c>
      <c r="D86" s="48">
        <f>G86*COS($D$77)+E43*SIN($D$77)</f>
        <v>0.344393244121304</v>
      </c>
      <c r="E86" s="48">
        <f>-G86*SIN($D$77)+E43*COS($D$77)</f>
        <v>2.137559620973839E-07</v>
      </c>
      <c r="F86" s="70">
        <f t="shared" si="2"/>
        <v>0.35887896330388297</v>
      </c>
      <c r="G86" s="48">
        <f>C43*SIN($C$77)+D43*COS($C$77)</f>
        <v>0.26428795696766616</v>
      </c>
      <c r="H86" s="48"/>
      <c r="I86" s="52"/>
      <c r="J86" s="49"/>
      <c r="K86" s="45"/>
    </row>
    <row r="87" spans="1:11" ht="12.75">
      <c r="A87" s="82" t="s">
        <v>257</v>
      </c>
      <c r="B87" s="59"/>
      <c r="C87" s="48">
        <f>C44*COS($C$77)-D44*SIN($C$77)</f>
        <v>0.10093216093415912</v>
      </c>
      <c r="D87" s="48">
        <f>G87*COS($D$77)+E44*SIN($D$77)</f>
        <v>-1.3854065092974785E-08</v>
      </c>
      <c r="E87" s="48">
        <f>-G87*SIN($D$77)+E44*COS($D$77)</f>
        <v>1.15751022878341E-08</v>
      </c>
      <c r="F87" s="70">
        <f t="shared" si="2"/>
        <v>0.10093216093416073</v>
      </c>
      <c r="G87" s="48">
        <f>C44*SIN($C$77)+D44*COS($C$77)</f>
        <v>-1.805320228032148E-08</v>
      </c>
      <c r="H87" s="48"/>
      <c r="I87" s="52"/>
      <c r="J87" s="49"/>
      <c r="K87" s="45"/>
    </row>
    <row r="88" spans="1:11" ht="12.75">
      <c r="A88" s="82" t="s">
        <v>258</v>
      </c>
      <c r="B88" s="60"/>
      <c r="C88" s="48">
        <f>C45*COS($C$77)-D45*SIN($C$77)</f>
        <v>5.082350845869721E-07</v>
      </c>
      <c r="D88" s="48">
        <f>G88*COS($D$77)+E45*SIN($D$77)</f>
        <v>0.3443932579753691</v>
      </c>
      <c r="E88" s="48">
        <f>-G88*SIN($D$77)+E45*COS($D$77)</f>
        <v>2.0218085977630196E-07</v>
      </c>
      <c r="F88" s="70">
        <f t="shared" si="2"/>
        <v>0.3443932579758035</v>
      </c>
      <c r="G88" s="48">
        <f>C45*SIN($C$77)+D45*COS($C$77)</f>
        <v>0.2642879750208685</v>
      </c>
      <c r="H88" s="48"/>
      <c r="I88" s="103"/>
      <c r="J88" s="45"/>
      <c r="K88" s="45"/>
    </row>
    <row r="89" spans="1:11" ht="12.75">
      <c r="A89" s="1" t="s">
        <v>199</v>
      </c>
      <c r="B89" s="47" t="s">
        <v>197</v>
      </c>
      <c r="C89" s="48">
        <f>C52*COS($C$77)-D52*SIN($C$77)</f>
        <v>-0.7234135540566871</v>
      </c>
      <c r="D89" s="48">
        <f>G89*COS($D$77)+E52*SIN($D$77)</f>
        <v>1.3357385131862465E-06</v>
      </c>
      <c r="E89" s="48">
        <f>-G89*SIN($D$77)+E52*COS($D$77)</f>
        <v>-0.287742653278122</v>
      </c>
      <c r="F89" s="70">
        <f>SQRT(SUMSQ(C89,D89,E89))</f>
        <v>0.7785390193883959</v>
      </c>
      <c r="G89" s="48">
        <f>C52*SIN($C$77)+D52*COS($C$77)</f>
        <v>0.1844918756217494</v>
      </c>
      <c r="H89" s="48"/>
      <c r="I89" s="45"/>
      <c r="J89" s="45"/>
      <c r="K89" s="45"/>
    </row>
    <row r="90" spans="8:11" ht="12.75">
      <c r="H90" s="48"/>
      <c r="I90" s="45"/>
      <c r="J90" s="45"/>
      <c r="K90" s="45"/>
    </row>
    <row r="91" spans="4:11" ht="15">
      <c r="D91" s="87" t="s">
        <v>299</v>
      </c>
      <c r="H91" s="48"/>
      <c r="I91" s="45"/>
      <c r="J91" s="45"/>
      <c r="K91" s="45"/>
    </row>
    <row r="92" spans="3:11" ht="12.75">
      <c r="C92" s="1" t="s">
        <v>157</v>
      </c>
      <c r="D92" s="1" t="s">
        <v>158</v>
      </c>
      <c r="E92" s="1" t="s">
        <v>159</v>
      </c>
      <c r="F92" s="51" t="s">
        <v>280</v>
      </c>
      <c r="H92" s="48"/>
      <c r="I92" s="45"/>
      <c r="J92" s="45"/>
      <c r="K92" s="45"/>
    </row>
    <row r="93" spans="1:11" ht="12.75">
      <c r="A93" s="24" t="s">
        <v>297</v>
      </c>
      <c r="B93" s="47"/>
      <c r="C93" s="48">
        <v>-0.061937341105814836</v>
      </c>
      <c r="D93" s="48">
        <v>0.27604219547111436</v>
      </c>
      <c r="E93" s="48">
        <v>0.2208134561078623</v>
      </c>
      <c r="F93" s="70">
        <v>0.358878963303883</v>
      </c>
      <c r="H93" s="48"/>
      <c r="I93" s="45"/>
      <c r="J93" s="45"/>
      <c r="K93" s="45"/>
    </row>
    <row r="94" spans="1:11" ht="12.75">
      <c r="A94" s="47" t="s">
        <v>290</v>
      </c>
      <c r="B94" s="47"/>
      <c r="C94" s="51">
        <v>-0.2719</v>
      </c>
      <c r="D94" s="51">
        <v>-0.1878</v>
      </c>
      <c r="E94" s="51">
        <v>0.2265</v>
      </c>
      <c r="F94" s="70">
        <f>SQRT(SUMSQ(C94,D94,E94))</f>
        <v>0.40062538611525855</v>
      </c>
      <c r="G94" s="45"/>
      <c r="H94" s="45"/>
      <c r="I94" s="45"/>
      <c r="J94" s="45"/>
      <c r="K94" s="45"/>
    </row>
    <row r="95" spans="1:11" ht="12.75">
      <c r="A95" s="119" t="s">
        <v>291</v>
      </c>
      <c r="B95" s="48"/>
      <c r="C95" s="48">
        <v>0.197</v>
      </c>
      <c r="D95" s="48">
        <v>0.1249</v>
      </c>
      <c r="E95" s="48">
        <v>0.1479</v>
      </c>
      <c r="F95" s="70">
        <f>SQRT(SUMSQ(C95,D95,E95))</f>
        <v>0.27619453289303175</v>
      </c>
      <c r="G95" s="45"/>
      <c r="H95" s="45"/>
      <c r="I95" s="45"/>
      <c r="J95" s="45"/>
      <c r="K95" s="45"/>
    </row>
    <row r="96" spans="1:11" ht="12.75">
      <c r="A96" t="s">
        <v>90</v>
      </c>
      <c r="C96" s="2">
        <f>SUM(C93:C95)</f>
        <v>-0.1368373411058148</v>
      </c>
      <c r="D96" s="2">
        <f>SUM(D93:D95)</f>
        <v>0.21314219547111435</v>
      </c>
      <c r="E96" s="2">
        <f>SUM(E93:E95)</f>
        <v>0.5952134561078624</v>
      </c>
      <c r="F96" s="70">
        <f>SQRT(SUMSQ(C96,D96,E96))</f>
        <v>0.6468640597088556</v>
      </c>
      <c r="G96" s="45"/>
      <c r="H96" s="45"/>
      <c r="I96" s="47"/>
      <c r="J96" s="45"/>
      <c r="K96" s="45"/>
    </row>
    <row r="97" spans="3:11" ht="12.75">
      <c r="C97" s="2"/>
      <c r="D97" s="2"/>
      <c r="E97" s="2"/>
      <c r="F97" s="70"/>
      <c r="G97" s="45"/>
      <c r="H97" s="45"/>
      <c r="I97" s="47"/>
      <c r="J97" s="45"/>
      <c r="K97" s="45"/>
    </row>
    <row r="98" spans="1:11" ht="12.75">
      <c r="A98" s="48"/>
      <c r="B98" s="48"/>
      <c r="C98" s="51" t="s">
        <v>284</v>
      </c>
      <c r="D98" s="51" t="s">
        <v>285</v>
      </c>
      <c r="E98" s="51" t="s">
        <v>286</v>
      </c>
      <c r="F98" s="45"/>
      <c r="G98" s="45"/>
      <c r="H98" s="51"/>
      <c r="I98" s="62"/>
      <c r="J98" s="45"/>
      <c r="K98" s="45"/>
    </row>
    <row r="99" spans="1:11" ht="12.75">
      <c r="A99" s="45"/>
      <c r="B99" s="45"/>
      <c r="C99" s="51" t="s">
        <v>281</v>
      </c>
      <c r="D99" s="51" t="s">
        <v>282</v>
      </c>
      <c r="E99" s="51" t="s">
        <v>283</v>
      </c>
      <c r="F99" s="51" t="s">
        <v>280</v>
      </c>
      <c r="G99" s="45"/>
      <c r="H99" s="51"/>
      <c r="I99" s="62"/>
      <c r="J99" s="45"/>
      <c r="K99" s="45"/>
    </row>
    <row r="100" spans="1:7" ht="12.75">
      <c r="A100" s="24" t="s">
        <v>298</v>
      </c>
      <c r="C100" s="2">
        <v>0.1009326691692437</v>
      </c>
      <c r="D100" s="2">
        <v>0.344393244121304</v>
      </c>
      <c r="E100" s="2">
        <v>2.137559620973839E-07</v>
      </c>
      <c r="F100" s="2">
        <v>0.35887896330388297</v>
      </c>
      <c r="G100" s="2">
        <v>0.26428795696766616</v>
      </c>
    </row>
    <row r="101" spans="1:7" ht="12.75">
      <c r="A101" s="47" t="s">
        <v>290</v>
      </c>
      <c r="C101" s="48">
        <f>C94*COS($C$77)-D94*SIN($C$77)</f>
        <v>-0.3303927244947017</v>
      </c>
      <c r="D101" s="48">
        <f>G101*COS($D$77)+E94*SIN($D$77)</f>
        <v>0.14042571658184427</v>
      </c>
      <c r="E101" s="48">
        <f>-G101*SIN($D$77)+E94*COS($D$77)</f>
        <v>0.1778256610375557</v>
      </c>
      <c r="F101" s="70">
        <f>SQRT(SUMSQ(C101,D101,E101))</f>
        <v>0.40062538611525855</v>
      </c>
      <c r="G101" s="48">
        <f>C94*SIN($C$77)+D94*COS($C$77)</f>
        <v>-0.006252807446907566</v>
      </c>
    </row>
    <row r="102" spans="1:7" ht="12.75">
      <c r="A102" s="119" t="s">
        <v>291</v>
      </c>
      <c r="C102" s="48">
        <f>C95*COS($C$77)-D95*SIN($C$77)</f>
        <v>0.2332084821856138</v>
      </c>
      <c r="D102" s="48">
        <f>G102*COS($D$77)+E95*SIN($D$77)</f>
        <v>0.09116306784529284</v>
      </c>
      <c r="E102" s="48">
        <f>-G102*SIN($D$77)+E95*COS($D$77)</f>
        <v>0.11656122381700013</v>
      </c>
      <c r="F102" s="70">
        <f>SQRT(SUMSQ(C102,D102,E102))</f>
        <v>0.27619453289303175</v>
      </c>
      <c r="G102" s="48">
        <f>C95*SIN($C$77)+D95*COS($C$77)</f>
        <v>-0.004776383221880204</v>
      </c>
    </row>
    <row r="103" spans="1:6" ht="12.75">
      <c r="A103" t="s">
        <v>90</v>
      </c>
      <c r="C103" s="2">
        <f>SUM(C100:C102)</f>
        <v>0.003748426860155807</v>
      </c>
      <c r="D103" s="2">
        <f>SUM(D100:D102)</f>
        <v>0.5759820285484412</v>
      </c>
      <c r="E103" s="2">
        <f>SUM(E100:E102)</f>
        <v>0.2943870986105179</v>
      </c>
      <c r="F103" s="70">
        <f>SQRT(SUMSQ(C103,D103,E103))</f>
        <v>0.6468640597088557</v>
      </c>
    </row>
  </sheetData>
  <printOptions/>
  <pageMargins left="0.75" right="0.75" top="0.75" bottom="1" header="0.5" footer="0.5"/>
  <pageSetup horizontalDpi="600" verticalDpi="600" orientation="portrait" r:id="rId1"/>
  <headerFooter alignWithMargins="0">
    <oddHeader>&amp;L&amp;F &amp;A&amp;C&amp;F&amp;R&amp;D</oddHeader>
  </headerFooter>
  <rowBreaks count="1" manualBreakCount="1">
    <brk id="52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2"/>
  <dimension ref="A1:L103"/>
  <sheetViews>
    <sheetView workbookViewId="0" topLeftCell="A22">
      <selection activeCell="C36" sqref="C36"/>
    </sheetView>
  </sheetViews>
  <sheetFormatPr defaultColWidth="9.140625" defaultRowHeight="12.75"/>
  <cols>
    <col min="1" max="1" width="13.140625" style="0" customWidth="1"/>
    <col min="2" max="2" width="6.7109375" style="0" customWidth="1"/>
    <col min="3" max="3" width="15.00390625" style="0" customWidth="1"/>
    <col min="4" max="4" width="14.28125" style="0" customWidth="1"/>
    <col min="5" max="5" width="15.7109375" style="0" customWidth="1"/>
    <col min="6" max="6" width="13.421875" style="0" customWidth="1"/>
    <col min="7" max="7" width="12.7109375" style="0" customWidth="1"/>
    <col min="8" max="9" width="11.57421875" style="0" customWidth="1"/>
    <col min="10" max="10" width="13.8515625" style="0" customWidth="1"/>
    <col min="11" max="11" width="15.421875" style="0" customWidth="1"/>
    <col min="12" max="12" width="15.00390625" style="0" customWidth="1"/>
  </cols>
  <sheetData>
    <row r="1" ht="15">
      <c r="B1" s="87" t="s">
        <v>208</v>
      </c>
    </row>
    <row r="2" ht="12.75">
      <c r="D2" t="s">
        <v>324</v>
      </c>
    </row>
    <row r="3" ht="12.75">
      <c r="A3" t="s">
        <v>213</v>
      </c>
    </row>
    <row r="4" ht="12.75">
      <c r="A4" t="s">
        <v>200</v>
      </c>
    </row>
    <row r="5" ht="12.75">
      <c r="A5" t="s">
        <v>209</v>
      </c>
    </row>
    <row r="6" ht="12.75">
      <c r="A6" t="s">
        <v>251</v>
      </c>
    </row>
    <row r="7" ht="12.75">
      <c r="A7" t="s">
        <v>261</v>
      </c>
    </row>
    <row r="8" ht="12.75">
      <c r="A8" t="s">
        <v>201</v>
      </c>
    </row>
    <row r="9" ht="12.75">
      <c r="A9" t="s">
        <v>202</v>
      </c>
    </row>
    <row r="10" ht="12.75">
      <c r="A10" t="s">
        <v>212</v>
      </c>
    </row>
    <row r="11" ht="12.75">
      <c r="A11" t="s">
        <v>217</v>
      </c>
    </row>
    <row r="12" ht="12.75">
      <c r="A12" t="s">
        <v>252</v>
      </c>
    </row>
    <row r="13" ht="12.75">
      <c r="A13" s="86" t="s">
        <v>244</v>
      </c>
    </row>
    <row r="14" ht="12.75">
      <c r="A14" s="86" t="s">
        <v>250</v>
      </c>
    </row>
    <row r="15" ht="12.75">
      <c r="A15" s="88" t="s">
        <v>249</v>
      </c>
    </row>
    <row r="16" ht="12.75">
      <c r="A16" s="88"/>
    </row>
    <row r="17" ht="12.75">
      <c r="A17" s="78" t="s">
        <v>215</v>
      </c>
    </row>
    <row r="18" ht="12.75">
      <c r="A18" t="s">
        <v>214</v>
      </c>
    </row>
    <row r="19" ht="12.75">
      <c r="A19" t="s">
        <v>253</v>
      </c>
    </row>
    <row r="21" spans="1:7" s="63" customFormat="1" ht="15.75">
      <c r="A21" s="65" t="s">
        <v>160</v>
      </c>
      <c r="B21" s="65"/>
      <c r="C21" s="64" t="s">
        <v>161</v>
      </c>
      <c r="D21" s="64" t="s">
        <v>188</v>
      </c>
      <c r="E21" s="1" t="s">
        <v>175</v>
      </c>
      <c r="F21" s="1" t="s">
        <v>176</v>
      </c>
      <c r="G21" s="65" t="s">
        <v>247</v>
      </c>
    </row>
    <row r="22" spans="1:7" s="63" customFormat="1" ht="12.75">
      <c r="A22" s="65" t="s">
        <v>163</v>
      </c>
      <c r="B22" s="65"/>
      <c r="C22" s="65" t="s">
        <v>162</v>
      </c>
      <c r="D22" s="65" t="s">
        <v>19</v>
      </c>
      <c r="G22" s="65" t="s">
        <v>168</v>
      </c>
    </row>
    <row r="23" spans="1:7" s="63" customFormat="1" ht="12.75">
      <c r="A23" s="83">
        <v>299792458</v>
      </c>
      <c r="B23" s="66"/>
      <c r="C23" s="67">
        <v>7.292115816E-05</v>
      </c>
      <c r="D23" s="66">
        <f>-ATAN2(C33,D33)</f>
        <v>-0.030271710784362416</v>
      </c>
      <c r="E23" s="75">
        <f>SQRT(1-POWER(F35/A23,2))</f>
        <v>0.9999999999993299</v>
      </c>
      <c r="F23" s="74">
        <f>1+(F35*C36)/($A$23*$A$23)</f>
        <v>0.9999995316523004</v>
      </c>
      <c r="G23" s="91">
        <f>F31/A23</f>
        <v>0.0024528221873252234</v>
      </c>
    </row>
    <row r="24" s="63" customFormat="1" ht="12.75">
      <c r="G24" s="92">
        <v>0.0024528221873252234</v>
      </c>
    </row>
    <row r="25" spans="3:6" ht="12.75">
      <c r="C25" s="1" t="s">
        <v>157</v>
      </c>
      <c r="D25" s="1" t="s">
        <v>158</v>
      </c>
      <c r="E25" s="1" t="s">
        <v>159</v>
      </c>
      <c r="F25" s="1" t="s">
        <v>14</v>
      </c>
    </row>
    <row r="26" spans="1:5" ht="12.75">
      <c r="A26" s="1" t="s">
        <v>108</v>
      </c>
      <c r="B26" s="1" t="s">
        <v>187</v>
      </c>
      <c r="C26" s="2">
        <v>144058.5523408</v>
      </c>
      <c r="D26" s="2">
        <v>-4757396.9876393</v>
      </c>
      <c r="E26" s="2">
        <v>4231823.0744844</v>
      </c>
    </row>
    <row r="27" spans="1:5" ht="12.75">
      <c r="A27" s="1" t="s">
        <v>136</v>
      </c>
      <c r="B27" s="1" t="s">
        <v>187</v>
      </c>
      <c r="C27" s="2">
        <v>-167796.99235849088</v>
      </c>
      <c r="D27" s="2">
        <v>-4287098.7216036925</v>
      </c>
      <c r="E27" s="2">
        <v>4703296.872007008</v>
      </c>
    </row>
    <row r="28" spans="1:6" ht="12.75">
      <c r="A28" s="1" t="s">
        <v>248</v>
      </c>
      <c r="B28" s="1" t="s">
        <v>187</v>
      </c>
      <c r="C28" s="2">
        <f>C27-C26</f>
        <v>-311855.5446992909</v>
      </c>
      <c r="D28" s="2">
        <f>D27-D26</f>
        <v>470298.2660356071</v>
      </c>
      <c r="E28" s="2">
        <f>E27-E26</f>
        <v>471473.79752260726</v>
      </c>
      <c r="F28" s="70">
        <f>SQRT(SUMSQ(C28,D28,E28))</f>
        <v>735337.9369692404</v>
      </c>
    </row>
    <row r="29" spans="1:6" ht="12.75">
      <c r="A29" s="82" t="s">
        <v>180</v>
      </c>
      <c r="B29" s="47"/>
      <c r="C29" s="44">
        <f>-D27*$C$23*$G$24</f>
        <v>0.7668017723948395</v>
      </c>
      <c r="D29" s="44">
        <f>C27*$C$23*$G$24</f>
        <v>-0.030012612141313868</v>
      </c>
      <c r="E29" s="48">
        <v>0</v>
      </c>
      <c r="F29" s="70">
        <f>SQRT(SUMSQ(C29,D29,E29))</f>
        <v>0.7673888942611903</v>
      </c>
    </row>
    <row r="30" spans="1:6" s="81" customFormat="1" ht="12.75">
      <c r="A30" s="47" t="s">
        <v>177</v>
      </c>
      <c r="B30" s="47"/>
      <c r="C30" s="80">
        <f>C27+C29</f>
        <v>-167796.22555671848</v>
      </c>
      <c r="D30" s="80">
        <f>D27+D29</f>
        <v>-4287098.751616305</v>
      </c>
      <c r="E30" s="80">
        <f>E27+E29</f>
        <v>4703296.872007008</v>
      </c>
      <c r="F30" s="66"/>
    </row>
    <row r="31" spans="1:6" ht="12.75">
      <c r="A31" s="1" t="s">
        <v>173</v>
      </c>
      <c r="B31" s="47"/>
      <c r="C31" s="2">
        <f>C30-C26</f>
        <v>-311854.7778975185</v>
      </c>
      <c r="D31" s="2">
        <f>D30-D26</f>
        <v>470298.23602299485</v>
      </c>
      <c r="E31" s="2">
        <f>E30-E26</f>
        <v>471473.79752260726</v>
      </c>
      <c r="F31" s="70">
        <f>SQRT(SUMSQ(C31,D31,E31))</f>
        <v>735337.5925751652</v>
      </c>
    </row>
    <row r="32" spans="1:6" ht="12.75">
      <c r="A32" s="82" t="s">
        <v>256</v>
      </c>
      <c r="B32" s="45"/>
      <c r="C32" s="61">
        <f>C33*$G$24</f>
        <v>0.8509205593341387</v>
      </c>
      <c r="D32" s="61">
        <f>D33*$G$24</f>
        <v>0.025766692217024184</v>
      </c>
      <c r="E32" s="61">
        <v>0</v>
      </c>
      <c r="F32" s="70">
        <f>SQRT(SUMSQ(C32,D32,E32))</f>
        <v>0.851310590046506</v>
      </c>
    </row>
    <row r="33" spans="1:11" ht="12.75">
      <c r="A33" s="68" t="s">
        <v>254</v>
      </c>
      <c r="B33" s="72" t="s">
        <v>9</v>
      </c>
      <c r="C33" s="69">
        <f>-D26*$C$23</f>
        <v>346.9148981655529</v>
      </c>
      <c r="D33" s="69">
        <f>C26*$C$23</f>
        <v>10.504916479544116</v>
      </c>
      <c r="E33" s="57">
        <v>0</v>
      </c>
      <c r="F33" s="66">
        <f>SQRT(SUMSQ(C33,D33))</f>
        <v>347.0739112054638</v>
      </c>
      <c r="G33" s="45"/>
      <c r="H33" s="45"/>
      <c r="I33" s="45"/>
      <c r="J33" s="45"/>
      <c r="K33" s="45"/>
    </row>
    <row r="34" spans="1:11" ht="12.75">
      <c r="A34" s="1" t="s">
        <v>173</v>
      </c>
      <c r="B34" s="45" t="s">
        <v>165</v>
      </c>
      <c r="C34" s="48">
        <f>C31*COS($D$23)-D31*SIN($D$23)</f>
        <v>-297477.34270277503</v>
      </c>
      <c r="D34" s="48">
        <f>C31*SIN($D$23)+D31*COS($D$23)</f>
        <v>479521.7032443338</v>
      </c>
      <c r="E34" s="48">
        <f>E31</f>
        <v>471473.79752260726</v>
      </c>
      <c r="F34" s="66">
        <f aca="true" t="shared" si="0" ref="F34:F41">SQRT(SUMSQ(C34,D34,E34))</f>
        <v>735337.5925751652</v>
      </c>
      <c r="G34" s="45"/>
      <c r="H34" s="45"/>
      <c r="I34" s="44"/>
      <c r="J34" s="44"/>
      <c r="K34" s="44"/>
    </row>
    <row r="35" spans="1:11" ht="12.75">
      <c r="A35" s="68" t="s">
        <v>254</v>
      </c>
      <c r="B35" s="45" t="s">
        <v>165</v>
      </c>
      <c r="C35" s="57">
        <f>C33*COS($D$23)-D33*SIN($D$23)</f>
        <v>347.07391120546384</v>
      </c>
      <c r="D35" s="57">
        <f>C33*SIN($D$23)+D33*COS($D$23)</f>
        <v>0</v>
      </c>
      <c r="E35" s="57">
        <f>E33</f>
        <v>0</v>
      </c>
      <c r="F35" s="71">
        <f t="shared" si="0"/>
        <v>347.07391120546384</v>
      </c>
      <c r="G35" s="45"/>
      <c r="H35" s="45"/>
      <c r="I35" s="45"/>
      <c r="J35" s="45"/>
      <c r="K35" s="45"/>
    </row>
    <row r="36" spans="1:11" ht="12.75">
      <c r="A36" s="1" t="s">
        <v>173</v>
      </c>
      <c r="B36" s="47" t="s">
        <v>185</v>
      </c>
      <c r="C36" s="48">
        <f>(C34*$A$23)/F34</f>
        <v>-121279619.95776421</v>
      </c>
      <c r="D36" s="48">
        <f>(D34*$A$23)/F34</f>
        <v>195497947.51622298</v>
      </c>
      <c r="E36" s="48">
        <f>(E34*$A$23)/F34</f>
        <v>192216867.55726245</v>
      </c>
      <c r="F36" s="73">
        <f t="shared" si="0"/>
        <v>299792458</v>
      </c>
      <c r="G36" s="45"/>
      <c r="H36" s="52"/>
      <c r="I36" s="45"/>
      <c r="J36" s="53"/>
      <c r="K36" s="45"/>
    </row>
    <row r="37" spans="1:11" ht="12.75">
      <c r="A37" s="1" t="s">
        <v>173</v>
      </c>
      <c r="B37" s="47" t="s">
        <v>196</v>
      </c>
      <c r="C37" s="61">
        <f>(C36+$F$35)/$F$23</f>
        <v>-121279329.68474807</v>
      </c>
      <c r="D37" s="61">
        <f>(D36*$E$23)/$F$23</f>
        <v>195498039.07714885</v>
      </c>
      <c r="E37" s="61">
        <f>(E36*$E$23)/$F$23</f>
        <v>192216957.58150357</v>
      </c>
      <c r="F37" s="73">
        <f t="shared" si="0"/>
        <v>299792458.00000006</v>
      </c>
      <c r="G37" s="45"/>
      <c r="H37" s="52"/>
      <c r="I37" s="45"/>
      <c r="J37" s="50"/>
      <c r="K37" s="52"/>
    </row>
    <row r="38" spans="1:11" ht="12.75">
      <c r="A38" s="1" t="s">
        <v>173</v>
      </c>
      <c r="B38" s="47" t="s">
        <v>166</v>
      </c>
      <c r="C38" s="48">
        <f>(C37*$F$34)/$A$23</f>
        <v>-297476.6307146807</v>
      </c>
      <c r="D38" s="48">
        <f>(D37*$F$34)/$A$23</f>
        <v>479521.9278270043</v>
      </c>
      <c r="E38" s="48">
        <f>(E37*$F$34)/$A$23</f>
        <v>471474.01833606337</v>
      </c>
      <c r="F38" s="66">
        <f t="shared" si="0"/>
        <v>735337.5925751653</v>
      </c>
      <c r="G38" s="45"/>
      <c r="H38" s="45"/>
      <c r="I38" s="45"/>
      <c r="J38" s="53"/>
      <c r="K38" s="45"/>
    </row>
    <row r="39" spans="1:11" ht="12.75">
      <c r="A39" s="1" t="s">
        <v>173</v>
      </c>
      <c r="B39" s="47" t="s">
        <v>8</v>
      </c>
      <c r="C39" s="48">
        <f>C37*COS(-$D$23)-D37*SIN(-$D$23)</f>
        <v>-127140921.44329496</v>
      </c>
      <c r="D39" s="48">
        <f>C37*SIN(-$D$23)+D37*COS(-$D$23)</f>
        <v>191737698.91792834</v>
      </c>
      <c r="E39" s="48">
        <f>E37</f>
        <v>192216957.58150357</v>
      </c>
      <c r="F39" s="73">
        <f t="shared" si="0"/>
        <v>299792458.00000006</v>
      </c>
      <c r="G39" s="45"/>
      <c r="H39" s="45"/>
      <c r="I39" s="45"/>
      <c r="J39" s="53"/>
      <c r="K39" s="45"/>
    </row>
    <row r="40" spans="1:11" ht="12.75">
      <c r="A40" s="1" t="s">
        <v>173</v>
      </c>
      <c r="B40" s="48" t="s">
        <v>167</v>
      </c>
      <c r="C40" s="48">
        <f>C38*COS(-$D$23)-D38*SIN(-$D$23)</f>
        <v>-311854.0730330872</v>
      </c>
      <c r="D40" s="48">
        <f>C38*SIN(-$D$23)+D38*COS(-$D$23)</f>
        <v>470298.4820525782</v>
      </c>
      <c r="E40" s="48">
        <f>E38</f>
        <v>471474.01833606337</v>
      </c>
      <c r="F40" s="66">
        <f t="shared" si="0"/>
        <v>735337.5925751653</v>
      </c>
      <c r="G40" s="45"/>
      <c r="H40" s="45"/>
      <c r="I40" s="45"/>
      <c r="J40" s="53"/>
      <c r="K40" s="49"/>
    </row>
    <row r="41" spans="1:12" ht="12.75">
      <c r="A41" s="82" t="s">
        <v>179</v>
      </c>
      <c r="B41" s="54"/>
      <c r="C41" s="48">
        <f>C40-C31</f>
        <v>0.7048644312890247</v>
      </c>
      <c r="D41" s="48">
        <f>D40-D31</f>
        <v>0.24602958332980052</v>
      </c>
      <c r="E41" s="48">
        <f>E40-E31</f>
        <v>0.2208134561078623</v>
      </c>
      <c r="F41" s="70">
        <f t="shared" si="0"/>
        <v>0.7785390194255739</v>
      </c>
      <c r="G41" s="45"/>
      <c r="H41" s="45"/>
      <c r="I41" s="45"/>
      <c r="J41" s="53"/>
      <c r="K41" s="49"/>
      <c r="L41" s="13"/>
    </row>
    <row r="42" spans="1:12" ht="12.75">
      <c r="A42" s="101" t="s">
        <v>169</v>
      </c>
      <c r="B42" s="99"/>
      <c r="C42" s="102">
        <f>C30-C41</f>
        <v>-167796.93042114977</v>
      </c>
      <c r="D42" s="102">
        <f>D30-D41</f>
        <v>-4287098.9976458885</v>
      </c>
      <c r="E42" s="102">
        <f>E30-E41</f>
        <v>4703296.651193552</v>
      </c>
      <c r="F42" s="66"/>
      <c r="G42" s="45"/>
      <c r="H42" s="45"/>
      <c r="I42" s="45"/>
      <c r="J42" s="53"/>
      <c r="K42" s="49"/>
      <c r="L42" s="13"/>
    </row>
    <row r="43" spans="1:11" ht="12.75">
      <c r="A43" s="82" t="s">
        <v>181</v>
      </c>
      <c r="B43" s="47"/>
      <c r="C43" s="48">
        <f>C41-C29</f>
        <v>-0.061937341105814836</v>
      </c>
      <c r="D43" s="48">
        <f>D41-D29</f>
        <v>0.27604219547111436</v>
      </c>
      <c r="E43" s="48">
        <f>E41-E29</f>
        <v>0.2208134561078623</v>
      </c>
      <c r="F43" s="70">
        <f>SQRT(SUMSQ(C43,D43,E43))</f>
        <v>0.358878963303883</v>
      </c>
      <c r="G43" s="45"/>
      <c r="H43" s="52"/>
      <c r="I43" s="45"/>
      <c r="J43" s="50"/>
      <c r="K43" s="52"/>
    </row>
    <row r="44" spans="1:11" ht="12.75">
      <c r="A44" s="82" t="s">
        <v>257</v>
      </c>
      <c r="B44" s="45"/>
      <c r="C44" s="61">
        <f>C32-C29</f>
        <v>0.0841187869392992</v>
      </c>
      <c r="D44" s="61">
        <f>D32-D29</f>
        <v>0.055779304358338055</v>
      </c>
      <c r="E44" s="61">
        <f>E32-E29</f>
        <v>0</v>
      </c>
      <c r="F44" s="70">
        <f>SQRT(SUMSQ(C44,D44,E44))</f>
        <v>0.10093216093416074</v>
      </c>
      <c r="G44" s="45"/>
      <c r="H44" s="52"/>
      <c r="I44" s="45"/>
      <c r="J44" s="51"/>
      <c r="K44" s="52"/>
    </row>
    <row r="45" spans="1:11" ht="12.75">
      <c r="A45" s="82" t="s">
        <v>258</v>
      </c>
      <c r="B45" s="45"/>
      <c r="C45" s="61">
        <f>C41-C32</f>
        <v>-0.14605612804511403</v>
      </c>
      <c r="D45" s="61">
        <f>D41-D32</f>
        <v>0.22026289111277633</v>
      </c>
      <c r="E45" s="61">
        <f>E41-E32</f>
        <v>0.2208134561078623</v>
      </c>
      <c r="F45" s="70">
        <f>SQRT(SUMSQ(C45,D45,E45))</f>
        <v>0.3443932579758035</v>
      </c>
      <c r="G45" s="103" t="s">
        <v>255</v>
      </c>
      <c r="H45" s="52"/>
      <c r="I45" s="45"/>
      <c r="J45" s="51"/>
      <c r="K45" s="52"/>
    </row>
    <row r="46" spans="1:11" ht="12.75">
      <c r="A46" s="23" t="s">
        <v>190</v>
      </c>
      <c r="B46" s="82" t="s">
        <v>189</v>
      </c>
      <c r="C46" s="84">
        <f>-$C$23*$G$24</f>
        <v>-1.7886263466029977E-07</v>
      </c>
      <c r="D46" s="85" t="s">
        <v>19</v>
      </c>
      <c r="E46" s="61"/>
      <c r="F46" s="70"/>
      <c r="G46" s="45"/>
      <c r="H46" s="52"/>
      <c r="I46" s="45"/>
      <c r="J46" s="51"/>
      <c r="K46" s="52"/>
    </row>
    <row r="47" spans="1:11" ht="12.75">
      <c r="A47" s="72" t="s">
        <v>194</v>
      </c>
      <c r="B47" s="45" t="s">
        <v>191</v>
      </c>
      <c r="C47" s="48">
        <f>C30*COS($C$46)-D30*SIN($C$46)</f>
        <v>-167796.99235849356</v>
      </c>
      <c r="D47" s="48">
        <f>C30*SIN($C$46)+D30*COS($C$46)</f>
        <v>-4287098.7216037605</v>
      </c>
      <c r="E47" s="48">
        <f>E30</f>
        <v>4703296.872007008</v>
      </c>
      <c r="F47" s="66"/>
      <c r="G47" s="45"/>
      <c r="H47" s="52"/>
      <c r="I47" s="45"/>
      <c r="J47" s="51"/>
      <c r="K47" s="52"/>
    </row>
    <row r="48" spans="1:11" ht="12.75">
      <c r="A48" s="1" t="s">
        <v>193</v>
      </c>
      <c r="B48" s="47" t="s">
        <v>192</v>
      </c>
      <c r="C48" s="48">
        <f>C39*COS($C$46)-D39*SIN($C$46)</f>
        <v>-127140887.14858294</v>
      </c>
      <c r="D48" s="48">
        <f>C39*SIN($C$46)+D39*COS($C$46)</f>
        <v>191737721.65868545</v>
      </c>
      <c r="E48" s="48">
        <f>E39</f>
        <v>192216957.58150357</v>
      </c>
      <c r="F48" s="73">
        <f>SQRT(SUMSQ(C48,D48,E48))</f>
        <v>299792458.00000006</v>
      </c>
      <c r="G48" s="45"/>
      <c r="H48" s="52"/>
      <c r="I48" s="45"/>
      <c r="J48" s="51"/>
      <c r="K48" s="52"/>
    </row>
    <row r="49" spans="1:11" ht="12.75">
      <c r="A49" s="1" t="s">
        <v>193</v>
      </c>
      <c r="B49" s="47" t="s">
        <v>197</v>
      </c>
      <c r="C49" s="61">
        <f>C48*$G$24</f>
        <v>-311853.98891425657</v>
      </c>
      <c r="D49" s="61">
        <f>D48*$G$24</f>
        <v>470298.5378316117</v>
      </c>
      <c r="E49" s="61">
        <f>E48*$G$24</f>
        <v>471474.01833606325</v>
      </c>
      <c r="F49" s="70">
        <f>SQRT(SUMSQ(C49,D49,E49))</f>
        <v>735337.5925751652</v>
      </c>
      <c r="G49" s="45"/>
      <c r="H49" s="52"/>
      <c r="I49" s="45"/>
      <c r="J49" s="51"/>
      <c r="K49" s="52"/>
    </row>
    <row r="50" spans="1:11" ht="12.75">
      <c r="A50" s="12" t="s">
        <v>195</v>
      </c>
      <c r="B50" s="99" t="s">
        <v>197</v>
      </c>
      <c r="C50" s="100">
        <f>C47-C49</f>
        <v>144056.996555763</v>
      </c>
      <c r="D50" s="100">
        <f>D47-D49</f>
        <v>-4757397.259435372</v>
      </c>
      <c r="E50" s="100">
        <f>E47-E49</f>
        <v>4231822.853670944</v>
      </c>
      <c r="F50" s="70"/>
      <c r="G50" s="45"/>
      <c r="H50" s="52"/>
      <c r="I50" s="45"/>
      <c r="J50" s="51"/>
      <c r="K50" s="52"/>
    </row>
    <row r="51" spans="1:11" ht="12.75">
      <c r="A51" s="1" t="s">
        <v>198</v>
      </c>
      <c r="B51" s="47" t="s">
        <v>197</v>
      </c>
      <c r="C51" s="48">
        <f>C26*COS($C$46)-D26*SIN($C$46)</f>
        <v>144057.70142023836</v>
      </c>
      <c r="D51" s="48">
        <f>C26*SIN($C$46)+D26*COS($C$46)</f>
        <v>-4757397.013405915</v>
      </c>
      <c r="E51" s="48">
        <f>E26</f>
        <v>4231823.0744844</v>
      </c>
      <c r="F51" s="70"/>
      <c r="G51" s="45"/>
      <c r="H51" s="52"/>
      <c r="I51" s="45"/>
      <c r="J51" s="51"/>
      <c r="K51" s="52"/>
    </row>
    <row r="52" spans="1:11" ht="12.75">
      <c r="A52" s="1" t="s">
        <v>199</v>
      </c>
      <c r="B52" s="47" t="s">
        <v>197</v>
      </c>
      <c r="C52" s="61">
        <f>C50-C51</f>
        <v>-0.704864475352224</v>
      </c>
      <c r="D52" s="61">
        <f>D50-D51</f>
        <v>-0.246029457077384</v>
      </c>
      <c r="E52" s="61">
        <f>E50-E51</f>
        <v>-0.22081345599144697</v>
      </c>
      <c r="F52" s="70">
        <f>SQRT(SUMSQ(C52,D52,E52))</f>
        <v>0.7785390193883958</v>
      </c>
      <c r="G52" s="45"/>
      <c r="H52" s="52"/>
      <c r="I52" s="45"/>
      <c r="J52" s="51"/>
      <c r="K52" s="52"/>
    </row>
    <row r="53" spans="1:11" ht="15">
      <c r="A53" s="89"/>
      <c r="B53" s="45"/>
      <c r="C53" s="90" t="s">
        <v>207</v>
      </c>
      <c r="D53" s="48"/>
      <c r="E53" s="45"/>
      <c r="F53" s="45"/>
      <c r="G53" s="45"/>
      <c r="H53" s="45"/>
      <c r="I53" s="45"/>
      <c r="J53" s="51"/>
      <c r="K53" s="48"/>
    </row>
    <row r="54" spans="1:11" ht="12.75">
      <c r="A54" s="45"/>
      <c r="B54" s="45"/>
      <c r="C54" s="48"/>
      <c r="D54" s="48"/>
      <c r="E54" s="45"/>
      <c r="F54" s="45"/>
      <c r="G54" s="45"/>
      <c r="H54" s="45"/>
      <c r="I54" s="45"/>
      <c r="J54" s="51"/>
      <c r="K54" s="48"/>
    </row>
    <row r="55" spans="1:11" ht="15.75">
      <c r="A55" s="65" t="s">
        <v>160</v>
      </c>
      <c r="B55" s="65"/>
      <c r="C55" s="64" t="s">
        <v>161</v>
      </c>
      <c r="D55" s="64" t="s">
        <v>188</v>
      </c>
      <c r="E55" s="1" t="s">
        <v>175</v>
      </c>
      <c r="F55" s="1" t="s">
        <v>176</v>
      </c>
      <c r="G55" s="65" t="s">
        <v>170</v>
      </c>
      <c r="H55" s="45"/>
      <c r="I55" s="45"/>
      <c r="J55" s="55"/>
      <c r="K55" s="45"/>
    </row>
    <row r="56" spans="1:11" ht="12.75">
      <c r="A56" s="65" t="s">
        <v>163</v>
      </c>
      <c r="B56" s="65"/>
      <c r="C56" s="65" t="s">
        <v>162</v>
      </c>
      <c r="D56" s="65" t="s">
        <v>19</v>
      </c>
      <c r="E56" s="63"/>
      <c r="F56" s="63"/>
      <c r="G56" s="65" t="s">
        <v>168</v>
      </c>
      <c r="H56" s="47"/>
      <c r="I56" s="47"/>
      <c r="J56" s="45"/>
      <c r="K56" s="45"/>
    </row>
    <row r="57" spans="1:12" ht="12.75">
      <c r="A57" s="83">
        <v>299792458</v>
      </c>
      <c r="B57" s="66"/>
      <c r="C57" s="67">
        <v>7.292115816E-05</v>
      </c>
      <c r="D57" s="66">
        <f>-ATAN2(C63,D63)</f>
        <v>-0.030271710784362416</v>
      </c>
      <c r="E57" s="75">
        <f>SQRT(1-POWER(F65/A57,2))</f>
        <v>0.9999999999993299</v>
      </c>
      <c r="F57" s="74">
        <f>1+(F65*C66)/($A$57*$A$57)</f>
        <v>0.9999995316511794</v>
      </c>
      <c r="G57" s="77">
        <f>F62/A57</f>
        <v>0.002452822187324722</v>
      </c>
      <c r="H57" s="49"/>
      <c r="I57" s="49"/>
      <c r="J57" s="45"/>
      <c r="K57" s="56"/>
      <c r="L57" s="13"/>
    </row>
    <row r="58" spans="1:11" ht="12.75">
      <c r="A58" s="63"/>
      <c r="B58" s="63"/>
      <c r="C58" s="63"/>
      <c r="D58" s="63"/>
      <c r="E58" s="63"/>
      <c r="F58" s="63"/>
      <c r="G58" s="63"/>
      <c r="H58" s="57"/>
      <c r="I58" s="57"/>
      <c r="J58" s="45"/>
      <c r="K58" s="45"/>
    </row>
    <row r="59" spans="3:11" ht="12.75">
      <c r="C59" s="1" t="s">
        <v>157</v>
      </c>
      <c r="D59" s="1" t="s">
        <v>158</v>
      </c>
      <c r="E59" s="1" t="s">
        <v>159</v>
      </c>
      <c r="F59" s="1" t="s">
        <v>14</v>
      </c>
      <c r="H59" s="57"/>
      <c r="I59" s="57"/>
      <c r="J59" s="45"/>
      <c r="K59" s="45"/>
    </row>
    <row r="60" spans="1:11" ht="12.75">
      <c r="A60" s="1" t="s">
        <v>108</v>
      </c>
      <c r="B60" s="1" t="s">
        <v>187</v>
      </c>
      <c r="C60" s="2">
        <v>144058.5523408</v>
      </c>
      <c r="D60" s="2">
        <v>-4757396.9876393</v>
      </c>
      <c r="E60" s="2">
        <v>4231823.0744844</v>
      </c>
      <c r="H60" s="52"/>
      <c r="I60" s="52"/>
      <c r="J60" s="45"/>
      <c r="K60" s="45"/>
    </row>
    <row r="61" spans="1:12" ht="12.75">
      <c r="A61" s="76" t="s">
        <v>169</v>
      </c>
      <c r="B61" s="45"/>
      <c r="C61" s="61">
        <v>-167796.9304212975</v>
      </c>
      <c r="D61" s="61">
        <v>-4287098.997646871</v>
      </c>
      <c r="E61" s="61">
        <v>4703296.651192915</v>
      </c>
      <c r="H61" s="52"/>
      <c r="I61" s="52"/>
      <c r="J61" s="45"/>
      <c r="K61" s="45"/>
      <c r="L61" s="2"/>
    </row>
    <row r="62" spans="1:11" ht="12.75">
      <c r="A62" s="1" t="s">
        <v>171</v>
      </c>
      <c r="B62" s="1"/>
      <c r="C62" s="2">
        <f>C61-C60</f>
        <v>-311855.4827620975</v>
      </c>
      <c r="D62" s="2">
        <f>D61-D60</f>
        <v>470297.9899924286</v>
      </c>
      <c r="E62" s="2">
        <f>E61-E60</f>
        <v>471473.57670851424</v>
      </c>
      <c r="F62" s="66">
        <f>SQRT(SUMSQ(C62,D62,E62))</f>
        <v>735337.5925750149</v>
      </c>
      <c r="H62" s="48"/>
      <c r="I62" s="48"/>
      <c r="J62" s="45"/>
      <c r="K62" s="45"/>
    </row>
    <row r="63" spans="1:11" ht="12.75">
      <c r="A63" s="68" t="s">
        <v>254</v>
      </c>
      <c r="B63" s="72" t="s">
        <v>9</v>
      </c>
      <c r="C63" s="69">
        <f>-D60*$C$57</f>
        <v>346.9148981655529</v>
      </c>
      <c r="D63" s="69">
        <f>C60*$C$57</f>
        <v>10.504916479544116</v>
      </c>
      <c r="E63" s="57">
        <v>0</v>
      </c>
      <c r="F63" s="66">
        <f>SQRT(SUMSQ(C63,D63))</f>
        <v>347.0739112054638</v>
      </c>
      <c r="G63" s="45"/>
      <c r="H63" s="45"/>
      <c r="I63" s="45"/>
      <c r="J63" s="45"/>
      <c r="K63" s="45"/>
    </row>
    <row r="64" spans="1:11" ht="12.75">
      <c r="A64" s="1" t="s">
        <v>171</v>
      </c>
      <c r="B64" s="45" t="s">
        <v>165</v>
      </c>
      <c r="C64" s="48">
        <f>C62*COS($D$57)-D62*SIN($D$57)</f>
        <v>-297478.05469104677</v>
      </c>
      <c r="D64" s="48">
        <f>C62*SIN($D$57)+D62*COS($D$57)</f>
        <v>479521.4786606852</v>
      </c>
      <c r="E64" s="48">
        <f>E62</f>
        <v>471473.57670851424</v>
      </c>
      <c r="F64" s="66">
        <f aca="true" t="shared" si="1" ref="F64:F69">SQRT(SUMSQ(C64,D64,E64))</f>
        <v>735337.5925750149</v>
      </c>
      <c r="G64" s="45"/>
      <c r="H64" s="52"/>
      <c r="I64" s="45"/>
      <c r="J64" s="45"/>
      <c r="K64" s="45"/>
    </row>
    <row r="65" spans="1:11" ht="12.75">
      <c r="A65" s="68" t="s">
        <v>254</v>
      </c>
      <c r="B65" s="45" t="s">
        <v>165</v>
      </c>
      <c r="C65" s="57">
        <f>C63*COS($D$57)-D63*SIN($D$57)</f>
        <v>347.07391120546384</v>
      </c>
      <c r="D65" s="57">
        <f>C63*SIN($D$57)+D63*COS($D$57)</f>
        <v>0</v>
      </c>
      <c r="E65" s="57">
        <f>E63</f>
        <v>0</v>
      </c>
      <c r="F65" s="71">
        <f t="shared" si="1"/>
        <v>347.07391120546384</v>
      </c>
      <c r="G65" s="45"/>
      <c r="H65" s="52"/>
      <c r="I65" s="45"/>
      <c r="J65" s="45"/>
      <c r="K65" s="45"/>
    </row>
    <row r="66" spans="1:11" ht="12.75">
      <c r="A66" s="1" t="s">
        <v>171</v>
      </c>
      <c r="B66" s="47" t="s">
        <v>185</v>
      </c>
      <c r="C66" s="48">
        <f>(C64*$A$57)/F64</f>
        <v>-121279910.23087744</v>
      </c>
      <c r="D66" s="48">
        <f>(D64*$A$57)/F64</f>
        <v>195497855.9549383</v>
      </c>
      <c r="E66" s="48">
        <f>(E64*$A$57)/F64</f>
        <v>192216777.5328009</v>
      </c>
      <c r="F66" s="73">
        <f t="shared" si="1"/>
        <v>299792458</v>
      </c>
      <c r="G66" s="45"/>
      <c r="H66" s="45"/>
      <c r="I66" s="45"/>
      <c r="J66" s="45"/>
      <c r="K66" s="45"/>
    </row>
    <row r="67" spans="1:12" ht="12.75">
      <c r="A67" s="1" t="s">
        <v>171</v>
      </c>
      <c r="B67" s="47" t="s">
        <v>186</v>
      </c>
      <c r="C67" s="61">
        <f>(C66+$F$65)/$F$57</f>
        <v>-121279619.9581332</v>
      </c>
      <c r="D67" s="61">
        <f>(D66*$E$57)/$F$57</f>
        <v>195497947.51604044</v>
      </c>
      <c r="E67" s="61">
        <f>(E66*$E$57)/$F$57</f>
        <v>192216867.55721533</v>
      </c>
      <c r="F67" s="73">
        <f t="shared" si="1"/>
        <v>299792458.00000006</v>
      </c>
      <c r="G67" s="45"/>
      <c r="H67" s="45"/>
      <c r="I67" s="45"/>
      <c r="J67" s="52"/>
      <c r="K67" s="52"/>
      <c r="L67" s="6"/>
    </row>
    <row r="68" spans="1:11" ht="12.75">
      <c r="A68" s="1" t="s">
        <v>171</v>
      </c>
      <c r="B68" s="47" t="s">
        <v>166</v>
      </c>
      <c r="C68" s="48">
        <f>(C67*$F$64)/$A$57</f>
        <v>-297477.34270361933</v>
      </c>
      <c r="D68" s="48">
        <f>(D67*$F$64)/$A$57</f>
        <v>479521.7032437881</v>
      </c>
      <c r="E68" s="48">
        <f>(E67*$F$64)/$A$57</f>
        <v>471473.7975223954</v>
      </c>
      <c r="F68" s="66">
        <f t="shared" si="1"/>
        <v>735337.592575015</v>
      </c>
      <c r="G68" s="45"/>
      <c r="H68" s="51"/>
      <c r="I68" s="47"/>
      <c r="J68" s="45"/>
      <c r="K68" s="45"/>
    </row>
    <row r="69" spans="1:11" ht="12.75">
      <c r="A69" s="1" t="s">
        <v>171</v>
      </c>
      <c r="B69" s="48" t="s">
        <v>167</v>
      </c>
      <c r="C69" s="48">
        <f>C68*COS($D$57)-D68*SIN(-$D$57)</f>
        <v>-311854.7778983459</v>
      </c>
      <c r="D69" s="48">
        <f>C68*SIN(-$D$57)+D68*COS($D$57)</f>
        <v>470298.2360224239</v>
      </c>
      <c r="E69" s="48">
        <f>E68</f>
        <v>471473.7975223954</v>
      </c>
      <c r="F69" s="66">
        <f t="shared" si="1"/>
        <v>735337.5925750152</v>
      </c>
      <c r="G69" s="45"/>
      <c r="H69" s="52"/>
      <c r="I69" s="45"/>
      <c r="J69" s="45"/>
      <c r="K69" s="45"/>
    </row>
    <row r="70" spans="1:11" ht="12.75">
      <c r="A70" s="1" t="s">
        <v>243</v>
      </c>
      <c r="B70" s="48" t="s">
        <v>167</v>
      </c>
      <c r="C70" s="48">
        <f>C69+C60</f>
        <v>-167796.2255575459</v>
      </c>
      <c r="D70" s="48">
        <f>D69+D60</f>
        <v>-4287098.751616876</v>
      </c>
      <c r="E70" s="48">
        <f>E69+E60</f>
        <v>4703296.872006796</v>
      </c>
      <c r="F70" s="66"/>
      <c r="G70" s="45"/>
      <c r="H70" s="52"/>
      <c r="I70" s="45"/>
      <c r="J70" s="45"/>
      <c r="K70" s="45"/>
    </row>
    <row r="71" spans="1:11" ht="12.75">
      <c r="A71" s="47" t="s">
        <v>172</v>
      </c>
      <c r="B71" s="47"/>
      <c r="C71" s="44">
        <f>C30</f>
        <v>-167796.22555671848</v>
      </c>
      <c r="D71" s="44">
        <f>D30</f>
        <v>-4287098.751616305</v>
      </c>
      <c r="E71" s="44">
        <f>E30</f>
        <v>4703296.872007008</v>
      </c>
      <c r="F71" s="70"/>
      <c r="G71" s="50"/>
      <c r="H71" s="45"/>
      <c r="I71" s="45"/>
      <c r="J71" s="45"/>
      <c r="K71" s="45"/>
    </row>
    <row r="72" spans="1:11" ht="12.75">
      <c r="A72" s="76" t="s">
        <v>174</v>
      </c>
      <c r="B72" s="45"/>
      <c r="C72" s="44">
        <f>C71-C70</f>
        <v>8.274218998849392E-07</v>
      </c>
      <c r="D72" s="44">
        <f>D71-D70</f>
        <v>5.709007382392883E-07</v>
      </c>
      <c r="E72" s="44">
        <f>E71-E70</f>
        <v>2.1141022443771362E-07</v>
      </c>
      <c r="F72" s="70">
        <f>SQRT(SUMSQ(C72,D72,E72))</f>
        <v>1.027253102369699E-06</v>
      </c>
      <c r="G72" s="45"/>
      <c r="H72" s="47"/>
      <c r="I72" s="47"/>
      <c r="J72" s="45"/>
      <c r="K72" s="45"/>
    </row>
    <row r="73" spans="1:11" ht="12.75">
      <c r="A73" s="76"/>
      <c r="B73" s="45"/>
      <c r="C73" s="44"/>
      <c r="D73" s="44"/>
      <c r="E73" s="44"/>
      <c r="F73" s="70"/>
      <c r="G73" s="45"/>
      <c r="H73" s="47"/>
      <c r="I73" s="47"/>
      <c r="J73" s="45"/>
      <c r="K73" s="45"/>
    </row>
    <row r="74" spans="2:11" ht="15">
      <c r="B74" s="126" t="s">
        <v>287</v>
      </c>
      <c r="C74" s="44"/>
      <c r="D74" s="44"/>
      <c r="E74" s="44"/>
      <c r="F74" s="70"/>
      <c r="G74" s="45"/>
      <c r="H74" s="47"/>
      <c r="I74" s="47"/>
      <c r="J74" s="45"/>
      <c r="K74" s="45"/>
    </row>
    <row r="75" spans="2:11" ht="15.75">
      <c r="B75" s="116"/>
      <c r="C75" s="44"/>
      <c r="D75" s="44"/>
      <c r="E75" s="44"/>
      <c r="F75" s="70"/>
      <c r="G75" s="45"/>
      <c r="H75" s="47"/>
      <c r="I75" s="47"/>
      <c r="J75" s="45"/>
      <c r="K75" s="45"/>
    </row>
    <row r="76" spans="1:11" ht="15.75">
      <c r="A76" s="58"/>
      <c r="B76" s="58"/>
      <c r="C76" s="115" t="s">
        <v>288</v>
      </c>
      <c r="D76" s="115" t="s">
        <v>289</v>
      </c>
      <c r="E76" s="58"/>
      <c r="F76" s="45"/>
      <c r="G76" s="47"/>
      <c r="H76" s="49"/>
      <c r="I76" s="49"/>
      <c r="J76" s="45"/>
      <c r="K76" s="45"/>
    </row>
    <row r="77" spans="1:11" ht="12.75">
      <c r="A77" s="47"/>
      <c r="B77" s="47"/>
      <c r="C77" s="47">
        <f>ATAN2(D62,C62)</f>
        <v>-0.5855306143342827</v>
      </c>
      <c r="D77" s="47">
        <f>ASIN(E62/F62)</f>
        <v>0.6960169165455603</v>
      </c>
      <c r="E77" s="47"/>
      <c r="F77" s="45"/>
      <c r="G77" s="47"/>
      <c r="H77" s="45"/>
      <c r="I77" s="57"/>
      <c r="J77" s="45"/>
      <c r="K77" s="45"/>
    </row>
    <row r="78" spans="1:11" ht="12.75">
      <c r="A78" s="47"/>
      <c r="B78" s="47"/>
      <c r="C78" s="47"/>
      <c r="D78" s="47"/>
      <c r="E78" s="47"/>
      <c r="F78" s="45"/>
      <c r="G78" s="47"/>
      <c r="H78" s="45"/>
      <c r="I78" s="57"/>
      <c r="J78" s="45"/>
      <c r="K78" s="45"/>
    </row>
    <row r="79" spans="1:11" ht="12.75">
      <c r="A79" s="47"/>
      <c r="B79" s="47"/>
      <c r="C79" s="51" t="s">
        <v>284</v>
      </c>
      <c r="D79" s="51" t="s">
        <v>285</v>
      </c>
      <c r="E79" s="51" t="s">
        <v>286</v>
      </c>
      <c r="F79" s="45"/>
      <c r="G79" s="47"/>
      <c r="H79" s="45"/>
      <c r="I79" s="57"/>
      <c r="J79" s="45"/>
      <c r="K79" s="45"/>
    </row>
    <row r="80" spans="1:11" ht="12.75">
      <c r="A80" s="47"/>
      <c r="B80" s="47"/>
      <c r="C80" s="51" t="s">
        <v>281</v>
      </c>
      <c r="D80" s="51" t="s">
        <v>282</v>
      </c>
      <c r="E80" s="51" t="s">
        <v>283</v>
      </c>
      <c r="F80" s="51" t="s">
        <v>280</v>
      </c>
      <c r="G80" s="47"/>
      <c r="H80" s="45"/>
      <c r="I80" s="57"/>
      <c r="J80" s="45"/>
      <c r="K80" s="45"/>
    </row>
    <row r="81" spans="1:11" ht="12.75">
      <c r="A81" s="1" t="s">
        <v>171</v>
      </c>
      <c r="B81" s="48"/>
      <c r="C81" s="48">
        <f>C62*COS($C$77)-D62*SIN($C$77)</f>
        <v>0</v>
      </c>
      <c r="D81" s="48">
        <f>G81*COS($D$77)+E62*SIN($D$77)</f>
        <v>735337.5925750148</v>
      </c>
      <c r="E81" s="48">
        <f>-G81*SIN($D$77)+E62*COS($D$77)</f>
        <v>0</v>
      </c>
      <c r="F81" s="66">
        <f aca="true" t="shared" si="2" ref="F81:F89">SQRT(SUMSQ(C81,D81,E81))</f>
        <v>735337.5925750148</v>
      </c>
      <c r="G81" s="48">
        <f>C62*SIN($C$77)+D62*COS($C$77)</f>
        <v>564299.602622312</v>
      </c>
      <c r="H81" s="48"/>
      <c r="I81" s="57"/>
      <c r="J81" s="45"/>
      <c r="K81" s="45"/>
    </row>
    <row r="82" spans="1:12" ht="12.75">
      <c r="A82" s="68" t="s">
        <v>254</v>
      </c>
      <c r="B82" s="47"/>
      <c r="C82" s="48">
        <f>C63*COS($C$77)-D63*SIN($C$77)</f>
        <v>294.9309096309663</v>
      </c>
      <c r="D82" s="48">
        <f>G82*COS($D$77)+E63*SIN($D$77)</f>
        <v>-140.40744412081963</v>
      </c>
      <c r="E82" s="48">
        <f>-G82*SIN($D$77)+E63*COS($D$77)</f>
        <v>117.31073275352018</v>
      </c>
      <c r="F82" s="70">
        <f t="shared" si="2"/>
        <v>347.07391120546373</v>
      </c>
      <c r="G82" s="48">
        <f>C63*SIN($C$77)+D63*COS($C$77)</f>
        <v>-182.96463697586188</v>
      </c>
      <c r="H82" s="48"/>
      <c r="I82" s="52"/>
      <c r="J82" s="47"/>
      <c r="K82" s="47"/>
      <c r="L82" s="1"/>
    </row>
    <row r="83" spans="1:12" ht="12.75">
      <c r="A83" s="82" t="s">
        <v>256</v>
      </c>
      <c r="B83" s="60"/>
      <c r="C83" s="48">
        <f>C32*COS($C$77)-D32*SIN($C$77)</f>
        <v>0.7234130788708446</v>
      </c>
      <c r="D83" s="48">
        <f>G83*COS($D$77)+E46*SIN($D$77)</f>
        <v>-0.344394494205173</v>
      </c>
      <c r="E83" s="48">
        <f>-G83*SIN($D$77)+E46*COS($D$77)</f>
        <v>0.28774236810921416</v>
      </c>
      <c r="F83" s="70">
        <f t="shared" si="2"/>
        <v>0.851310590046506</v>
      </c>
      <c r="G83" s="48">
        <f>C32*SIN($C$77)+D32*COS($C$77)</f>
        <v>-0.44877972107029906</v>
      </c>
      <c r="H83" s="48"/>
      <c r="I83" s="52"/>
      <c r="J83" s="47"/>
      <c r="K83" s="47"/>
      <c r="L83" s="1"/>
    </row>
    <row r="84" spans="1:12" ht="12.75">
      <c r="A84" s="82" t="s">
        <v>180</v>
      </c>
      <c r="B84" s="47"/>
      <c r="C84" s="48">
        <f>C29*COS($C$77)-D29*SIN($C$77)</f>
        <v>0.6224809179366855</v>
      </c>
      <c r="D84" s="48">
        <f>G84*COS($D$77)+E29*SIN($D$77)</f>
        <v>-0.3443944803511079</v>
      </c>
      <c r="E84" s="48">
        <f>-G84*SIN($D$77)+E29*COS($D$77)</f>
        <v>0.2877423565341119</v>
      </c>
      <c r="F84" s="70">
        <f t="shared" si="2"/>
        <v>0.7673888942611903</v>
      </c>
      <c r="G84" s="48">
        <f>C29*SIN($C$77)+D29*COS($C$77)</f>
        <v>-0.4487797030170968</v>
      </c>
      <c r="H84" s="48"/>
      <c r="I84" s="52"/>
      <c r="J84" s="47"/>
      <c r="K84" s="47"/>
      <c r="L84" s="1"/>
    </row>
    <row r="85" spans="1:12" ht="12.75">
      <c r="A85" s="82" t="s">
        <v>179</v>
      </c>
      <c r="B85" s="61"/>
      <c r="C85" s="48">
        <f>C41*COS($C$77)-D41*SIN($C$77)</f>
        <v>0.7234135871059292</v>
      </c>
      <c r="D85" s="48">
        <f>G85*COS($D$77)+E41*SIN($D$77)</f>
        <v>-1.2362298038304242E-06</v>
      </c>
      <c r="E85" s="48">
        <f>-G85*SIN($D$77)+E41*COS($D$77)</f>
        <v>0.28774257029007394</v>
      </c>
      <c r="F85" s="70">
        <f t="shared" si="2"/>
        <v>0.7785390194255739</v>
      </c>
      <c r="G85" s="48">
        <f>C41*SIN($C$77)+D41*COS($C$77)</f>
        <v>-0.18449174604943055</v>
      </c>
      <c r="H85" s="48"/>
      <c r="I85" s="52"/>
      <c r="J85" s="47"/>
      <c r="K85" s="47"/>
      <c r="L85" s="1"/>
    </row>
    <row r="86" spans="1:11" ht="12.75">
      <c r="A86" s="82" t="s">
        <v>181</v>
      </c>
      <c r="B86" s="48"/>
      <c r="C86" s="48">
        <f>C43*COS($C$77)-D43*SIN($C$77)</f>
        <v>0.1009326691692437</v>
      </c>
      <c r="D86" s="48">
        <f>G86*COS($D$77)+E43*SIN($D$77)</f>
        <v>0.344393244121304</v>
      </c>
      <c r="E86" s="48">
        <f>-G86*SIN($D$77)+E43*COS($D$77)</f>
        <v>2.137559620973839E-07</v>
      </c>
      <c r="F86" s="70">
        <f t="shared" si="2"/>
        <v>0.35887896330388297</v>
      </c>
      <c r="G86" s="48">
        <f>C43*SIN($C$77)+D43*COS($C$77)</f>
        <v>0.26428795696766616</v>
      </c>
      <c r="H86" s="48"/>
      <c r="I86" s="52"/>
      <c r="J86" s="49"/>
      <c r="K86" s="45"/>
    </row>
    <row r="87" spans="1:11" ht="12.75">
      <c r="A87" s="82" t="s">
        <v>257</v>
      </c>
      <c r="B87" s="59"/>
      <c r="C87" s="48">
        <f>C44*COS($C$77)-D44*SIN($C$77)</f>
        <v>0.10093216093415912</v>
      </c>
      <c r="D87" s="48">
        <f>G87*COS($D$77)+E44*SIN($D$77)</f>
        <v>-1.3854065092974785E-08</v>
      </c>
      <c r="E87" s="48">
        <f>-G87*SIN($D$77)+E44*COS($D$77)</f>
        <v>1.15751022878341E-08</v>
      </c>
      <c r="F87" s="70">
        <f t="shared" si="2"/>
        <v>0.10093216093416073</v>
      </c>
      <c r="G87" s="48">
        <f>C44*SIN($C$77)+D44*COS($C$77)</f>
        <v>-1.805320228032148E-08</v>
      </c>
      <c r="H87" s="48"/>
      <c r="I87" s="52"/>
      <c r="J87" s="49"/>
      <c r="K87" s="45"/>
    </row>
    <row r="88" spans="1:11" ht="12.75">
      <c r="A88" s="82" t="s">
        <v>258</v>
      </c>
      <c r="B88" s="60"/>
      <c r="C88" s="48">
        <f>C45*COS($C$77)-D45*SIN($C$77)</f>
        <v>5.082350845869721E-07</v>
      </c>
      <c r="D88" s="48">
        <f>G88*COS($D$77)+E45*SIN($D$77)</f>
        <v>0.3443932579753691</v>
      </c>
      <c r="E88" s="48">
        <f>-G88*SIN($D$77)+E45*COS($D$77)</f>
        <v>2.0218085977630196E-07</v>
      </c>
      <c r="F88" s="70">
        <f t="shared" si="2"/>
        <v>0.3443932579758035</v>
      </c>
      <c r="G88" s="48">
        <f>C45*SIN($C$77)+D45*COS($C$77)</f>
        <v>0.2642879750208685</v>
      </c>
      <c r="H88" s="48"/>
      <c r="I88" s="103"/>
      <c r="J88" s="45"/>
      <c r="K88" s="45"/>
    </row>
    <row r="89" spans="1:11" ht="12.75">
      <c r="A89" s="1" t="s">
        <v>199</v>
      </c>
      <c r="B89" s="47" t="s">
        <v>197</v>
      </c>
      <c r="C89" s="48">
        <f>C52*COS($C$77)-D52*SIN($C$77)</f>
        <v>-0.7234135540566871</v>
      </c>
      <c r="D89" s="48">
        <f>G89*COS($D$77)+E52*SIN($D$77)</f>
        <v>1.3357385131862465E-06</v>
      </c>
      <c r="E89" s="48">
        <f>-G89*SIN($D$77)+E52*COS($D$77)</f>
        <v>-0.287742653278122</v>
      </c>
      <c r="F89" s="70">
        <f t="shared" si="2"/>
        <v>0.7785390193883959</v>
      </c>
      <c r="G89" s="48">
        <f>C52*SIN($C$77)+D52*COS($C$77)</f>
        <v>0.1844918756217494</v>
      </c>
      <c r="H89" s="48"/>
      <c r="I89" s="45"/>
      <c r="J89" s="45"/>
      <c r="K89" s="45"/>
    </row>
    <row r="90" spans="8:11" ht="12.75">
      <c r="H90" s="48"/>
      <c r="I90" s="45"/>
      <c r="J90" s="45"/>
      <c r="K90" s="45"/>
    </row>
    <row r="91" spans="4:11" ht="15">
      <c r="D91" s="87" t="s">
        <v>299</v>
      </c>
      <c r="H91" s="48"/>
      <c r="I91" s="45"/>
      <c r="J91" s="45"/>
      <c r="K91" s="45"/>
    </row>
    <row r="92" spans="3:11" ht="12.75">
      <c r="C92" s="1" t="s">
        <v>157</v>
      </c>
      <c r="D92" s="1" t="s">
        <v>158</v>
      </c>
      <c r="E92" s="1" t="s">
        <v>159</v>
      </c>
      <c r="F92" s="51" t="s">
        <v>280</v>
      </c>
      <c r="H92" s="48"/>
      <c r="I92" s="45"/>
      <c r="J92" s="45"/>
      <c r="K92" s="45"/>
    </row>
    <row r="93" spans="1:11" ht="12.75">
      <c r="A93" s="24" t="s">
        <v>297</v>
      </c>
      <c r="B93" s="47"/>
      <c r="C93" s="48">
        <v>-0.061937341105814836</v>
      </c>
      <c r="D93" s="48">
        <v>0.27604219547111436</v>
      </c>
      <c r="E93" s="48">
        <v>0.2208134561078623</v>
      </c>
      <c r="F93" s="70">
        <v>0.358878963303883</v>
      </c>
      <c r="H93" s="48"/>
      <c r="I93" s="45"/>
      <c r="J93" s="45"/>
      <c r="K93" s="45"/>
    </row>
    <row r="94" spans="1:11" ht="12.75">
      <c r="A94" s="47" t="s">
        <v>290</v>
      </c>
      <c r="B94" s="47"/>
      <c r="C94" s="51">
        <v>-0.2719</v>
      </c>
      <c r="D94" s="51">
        <v>-0.1878</v>
      </c>
      <c r="E94" s="51">
        <v>0.2265</v>
      </c>
      <c r="F94" s="70">
        <f>SQRT(SUMSQ(C94,D94,E94))</f>
        <v>0.40062538611525855</v>
      </c>
      <c r="G94" s="45"/>
      <c r="H94" s="45"/>
      <c r="I94" s="45"/>
      <c r="J94" s="45"/>
      <c r="K94" s="45"/>
    </row>
    <row r="95" spans="1:11" ht="12.75">
      <c r="A95" s="119" t="s">
        <v>291</v>
      </c>
      <c r="B95" s="48"/>
      <c r="C95" s="48">
        <v>0.197</v>
      </c>
      <c r="D95" s="48">
        <v>0.1249</v>
      </c>
      <c r="E95" s="48">
        <v>0.1479</v>
      </c>
      <c r="F95" s="70">
        <f>SQRT(SUMSQ(C95,D95,E95))</f>
        <v>0.27619453289303175</v>
      </c>
      <c r="G95" s="45"/>
      <c r="H95" s="45"/>
      <c r="I95" s="45"/>
      <c r="J95" s="45"/>
      <c r="K95" s="45"/>
    </row>
    <row r="96" spans="1:11" ht="12.75">
      <c r="A96" t="s">
        <v>90</v>
      </c>
      <c r="C96" s="2">
        <f>SUM(C93:C95)</f>
        <v>-0.1368373411058148</v>
      </c>
      <c r="D96" s="2">
        <f>SUM(D93:D95)</f>
        <v>0.21314219547111435</v>
      </c>
      <c r="E96" s="2">
        <f>SUM(E93:E95)</f>
        <v>0.5952134561078624</v>
      </c>
      <c r="F96" s="70">
        <f>SQRT(SUMSQ(C96,D96,E96))</f>
        <v>0.6468640597088556</v>
      </c>
      <c r="G96" s="45"/>
      <c r="H96" s="45"/>
      <c r="I96" s="47"/>
      <c r="J96" s="45"/>
      <c r="K96" s="45"/>
    </row>
    <row r="97" spans="3:11" ht="12.75">
      <c r="C97" s="2"/>
      <c r="D97" s="2"/>
      <c r="E97" s="2"/>
      <c r="F97" s="70"/>
      <c r="G97" s="45"/>
      <c r="H97" s="45"/>
      <c r="I97" s="47"/>
      <c r="J97" s="45"/>
      <c r="K97" s="45"/>
    </row>
    <row r="98" spans="1:11" ht="12.75">
      <c r="A98" s="48"/>
      <c r="B98" s="48"/>
      <c r="C98" s="51" t="s">
        <v>284</v>
      </c>
      <c r="D98" s="51" t="s">
        <v>285</v>
      </c>
      <c r="E98" s="51" t="s">
        <v>286</v>
      </c>
      <c r="F98" s="45"/>
      <c r="G98" s="45"/>
      <c r="H98" s="51"/>
      <c r="I98" s="62"/>
      <c r="J98" s="45"/>
      <c r="K98" s="45"/>
    </row>
    <row r="99" spans="1:11" ht="12.75">
      <c r="A99" s="45"/>
      <c r="B99" s="45"/>
      <c r="C99" s="51" t="s">
        <v>281</v>
      </c>
      <c r="D99" s="51" t="s">
        <v>282</v>
      </c>
      <c r="E99" s="51" t="s">
        <v>283</v>
      </c>
      <c r="F99" s="51" t="s">
        <v>280</v>
      </c>
      <c r="G99" s="45"/>
      <c r="H99" s="51"/>
      <c r="I99" s="62"/>
      <c r="J99" s="45"/>
      <c r="K99" s="45"/>
    </row>
    <row r="100" spans="1:7" ht="12.75">
      <c r="A100" s="24" t="s">
        <v>298</v>
      </c>
      <c r="C100" s="2">
        <v>0.1009326691692437</v>
      </c>
      <c r="D100" s="2">
        <v>0.344393244121304</v>
      </c>
      <c r="E100" s="2">
        <v>2.137559620973839E-07</v>
      </c>
      <c r="F100" s="2">
        <v>0.35887896330388297</v>
      </c>
      <c r="G100" s="2">
        <v>0.26428795696766616</v>
      </c>
    </row>
    <row r="101" spans="1:7" ht="12.75">
      <c r="A101" s="47" t="s">
        <v>290</v>
      </c>
      <c r="C101" s="48">
        <f>C94*COS($C$77)-D94*SIN($C$77)</f>
        <v>-0.3303927244947017</v>
      </c>
      <c r="D101" s="48">
        <f>G101*COS($D$77)+E94*SIN($D$77)</f>
        <v>0.14042571658184427</v>
      </c>
      <c r="E101" s="48">
        <f>-G101*SIN($D$77)+E94*COS($D$77)</f>
        <v>0.1778256610375557</v>
      </c>
      <c r="F101" s="70">
        <f>SQRT(SUMSQ(C101,D101,E101))</f>
        <v>0.40062538611525855</v>
      </c>
      <c r="G101" s="48">
        <f>C94*SIN($C$77)+D94*COS($C$77)</f>
        <v>-0.006252807446907566</v>
      </c>
    </row>
    <row r="102" spans="1:7" ht="12.75">
      <c r="A102" s="119" t="s">
        <v>291</v>
      </c>
      <c r="C102" s="48">
        <f>C95*COS($C$77)-D95*SIN($C$77)</f>
        <v>0.2332084821856138</v>
      </c>
      <c r="D102" s="48">
        <f>G102*COS($D$77)+E95*SIN($D$77)</f>
        <v>0.09116306784529284</v>
      </c>
      <c r="E102" s="48">
        <f>-G102*SIN($D$77)+E95*COS($D$77)</f>
        <v>0.11656122381700013</v>
      </c>
      <c r="F102" s="70">
        <f>SQRT(SUMSQ(C102,D102,E102))</f>
        <v>0.27619453289303175</v>
      </c>
      <c r="G102" s="48">
        <f>C95*SIN($C$77)+D95*COS($C$77)</f>
        <v>-0.004776383221880204</v>
      </c>
    </row>
    <row r="103" spans="1:6" ht="12.75">
      <c r="A103" t="s">
        <v>90</v>
      </c>
      <c r="C103" s="2">
        <f>SUM(C100:C102)</f>
        <v>0.003748426860155807</v>
      </c>
      <c r="D103" s="2">
        <f>SUM(D100:D102)</f>
        <v>0.5759820285484412</v>
      </c>
      <c r="E103" s="2">
        <f>SUM(E100:E102)</f>
        <v>0.2943870986105179</v>
      </c>
      <c r="F103" s="70">
        <f>SQRT(SUMSQ(C103,D103,E103))</f>
        <v>0.6468640597088557</v>
      </c>
    </row>
  </sheetData>
  <printOptions/>
  <pageMargins left="0.75" right="0.75" top="0.75" bottom="1" header="0.5" footer="0.5"/>
  <pageSetup horizontalDpi="600" verticalDpi="600" orientation="portrait" r:id="rId1"/>
  <headerFooter alignWithMargins="0">
    <oddHeader>&amp;L&amp;F &amp;A&amp;C&amp;F&amp;R&amp;D</oddHeader>
  </headerFooter>
  <rowBreaks count="1" manualBreakCount="1">
    <brk id="52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A17" sqref="A17:H17"/>
    </sheetView>
  </sheetViews>
  <sheetFormatPr defaultColWidth="9.140625" defaultRowHeight="12.75"/>
  <cols>
    <col min="1" max="1" width="9.421875" style="0" bestFit="1" customWidth="1"/>
    <col min="2" max="2" width="4.7109375" style="0" customWidth="1"/>
    <col min="3" max="3" width="3.57421875" style="0" customWidth="1"/>
    <col min="4" max="4" width="9.421875" style="0" customWidth="1"/>
    <col min="5" max="5" width="5.57421875" style="0" customWidth="1"/>
    <col min="6" max="6" width="4.00390625" style="0" customWidth="1"/>
    <col min="7" max="7" width="9.7109375" style="0" customWidth="1"/>
    <col min="8" max="8" width="9.8515625" style="0" customWidth="1"/>
    <col min="9" max="9" width="9.7109375" style="0" customWidth="1"/>
    <col min="10" max="10" width="9.57421875" style="0" customWidth="1"/>
  </cols>
  <sheetData>
    <row r="1" ht="12.75">
      <c r="A1" t="s">
        <v>325</v>
      </c>
    </row>
    <row r="2" ht="12.75">
      <c r="A2" s="136">
        <v>36620</v>
      </c>
    </row>
    <row r="3" spans="1:10" ht="12.75">
      <c r="A3" t="s">
        <v>326</v>
      </c>
      <c r="C3" t="s">
        <v>2</v>
      </c>
      <c r="E3" t="s">
        <v>3</v>
      </c>
      <c r="G3" t="s">
        <v>327</v>
      </c>
      <c r="H3" s="1" t="s">
        <v>328</v>
      </c>
      <c r="I3" s="1" t="s">
        <v>5</v>
      </c>
      <c r="J3" s="1" t="s">
        <v>329</v>
      </c>
    </row>
    <row r="4" spans="2:10" ht="12.75">
      <c r="B4" t="s">
        <v>330</v>
      </c>
      <c r="C4" t="s">
        <v>331</v>
      </c>
      <c r="D4" t="s">
        <v>332</v>
      </c>
      <c r="E4" s="4" t="s">
        <v>330</v>
      </c>
      <c r="F4" t="s">
        <v>331</v>
      </c>
      <c r="G4" t="s">
        <v>332</v>
      </c>
      <c r="H4" s="1" t="s">
        <v>316</v>
      </c>
      <c r="I4" s="1" t="s">
        <v>316</v>
      </c>
      <c r="J4" s="1" t="s">
        <v>316</v>
      </c>
    </row>
    <row r="6" spans="1:11" ht="12.75">
      <c r="A6">
        <v>66563</v>
      </c>
      <c r="B6">
        <v>41</v>
      </c>
      <c r="C6">
        <v>49</v>
      </c>
      <c r="D6" s="6">
        <v>58.18766</v>
      </c>
      <c r="E6">
        <v>88</v>
      </c>
      <c r="F6">
        <v>16</v>
      </c>
      <c r="G6">
        <v>18.904874</v>
      </c>
      <c r="H6" s="13">
        <v>197.7909025</v>
      </c>
      <c r="I6" s="13">
        <v>-32.7749557</v>
      </c>
      <c r="J6" s="13">
        <v>230.5658583</v>
      </c>
      <c r="K6" s="13"/>
    </row>
    <row r="7" spans="1:11" ht="12.75">
      <c r="A7">
        <v>66589</v>
      </c>
      <c r="B7">
        <v>41</v>
      </c>
      <c r="C7">
        <v>49</v>
      </c>
      <c r="D7" s="6">
        <v>56.568149</v>
      </c>
      <c r="E7">
        <v>88</v>
      </c>
      <c r="F7">
        <v>16</v>
      </c>
      <c r="G7">
        <v>1.471495</v>
      </c>
      <c r="H7" s="13">
        <v>197.650787</v>
      </c>
      <c r="I7" s="13">
        <v>-32.7769966</v>
      </c>
      <c r="J7" s="13">
        <v>230.4277836</v>
      </c>
      <c r="K7" s="13"/>
    </row>
    <row r="8" spans="1:11" ht="12.75">
      <c r="A8">
        <v>66591</v>
      </c>
      <c r="B8">
        <v>41</v>
      </c>
      <c r="C8">
        <v>49</v>
      </c>
      <c r="D8" s="6">
        <v>39.341322</v>
      </c>
      <c r="E8">
        <v>88</v>
      </c>
      <c r="F8">
        <v>16</v>
      </c>
      <c r="G8">
        <v>10.427825</v>
      </c>
      <c r="H8" s="13">
        <v>196.0454471</v>
      </c>
      <c r="I8" s="13">
        <v>-32.7714653</v>
      </c>
      <c r="J8" s="13">
        <v>228.8169124</v>
      </c>
      <c r="K8" s="13"/>
    </row>
    <row r="9" spans="1:11" ht="12.75">
      <c r="A9">
        <v>66592</v>
      </c>
      <c r="B9">
        <v>41</v>
      </c>
      <c r="C9">
        <v>49</v>
      </c>
      <c r="D9" s="6">
        <v>52.061015</v>
      </c>
      <c r="E9">
        <v>88</v>
      </c>
      <c r="F9">
        <v>15</v>
      </c>
      <c r="G9">
        <v>54.414219</v>
      </c>
      <c r="H9" s="13">
        <v>195.9903592</v>
      </c>
      <c r="I9" s="13">
        <v>-32.7768707</v>
      </c>
      <c r="J9" s="13">
        <v>228.7672299</v>
      </c>
      <c r="K9" s="13"/>
    </row>
    <row r="10" spans="1:11" ht="12.75">
      <c r="A10">
        <v>66593</v>
      </c>
      <c r="B10">
        <v>41</v>
      </c>
      <c r="C10">
        <v>49</v>
      </c>
      <c r="D10" s="6">
        <v>55.929516</v>
      </c>
      <c r="E10">
        <v>88</v>
      </c>
      <c r="F10">
        <v>15</v>
      </c>
      <c r="G10">
        <v>52.867472</v>
      </c>
      <c r="H10" s="13">
        <v>195.9266734</v>
      </c>
      <c r="I10" s="13">
        <v>-32.7780724</v>
      </c>
      <c r="J10" s="13">
        <v>228.7047458</v>
      </c>
      <c r="K10" s="13"/>
    </row>
    <row r="11" spans="1:11" ht="12.75">
      <c r="A11">
        <v>66594</v>
      </c>
      <c r="B11">
        <v>41</v>
      </c>
      <c r="C11">
        <v>49</v>
      </c>
      <c r="D11" s="6">
        <v>53.91611</v>
      </c>
      <c r="E11">
        <v>88</v>
      </c>
      <c r="F11">
        <v>15</v>
      </c>
      <c r="G11">
        <v>58.936007</v>
      </c>
      <c r="H11" s="13">
        <v>194.8902082</v>
      </c>
      <c r="I11" s="13">
        <v>-32.7766914</v>
      </c>
      <c r="J11" s="13">
        <v>227.6668997</v>
      </c>
      <c r="K11" s="13"/>
    </row>
    <row r="12" spans="1:11" ht="12.75">
      <c r="A12">
        <v>66595</v>
      </c>
      <c r="B12">
        <v>41</v>
      </c>
      <c r="C12">
        <v>50</v>
      </c>
      <c r="D12" s="6">
        <v>18.195001</v>
      </c>
      <c r="E12">
        <v>88</v>
      </c>
      <c r="F12">
        <v>16</v>
      </c>
      <c r="G12">
        <v>10.025739</v>
      </c>
      <c r="H12" s="13">
        <v>195.3744583</v>
      </c>
      <c r="I12" s="13">
        <v>-32.7813416</v>
      </c>
      <c r="J12" s="13">
        <v>228.1557999</v>
      </c>
      <c r="K12" s="13"/>
    </row>
    <row r="13" spans="1:11" ht="12.75">
      <c r="A13">
        <v>66596</v>
      </c>
      <c r="B13">
        <v>41</v>
      </c>
      <c r="C13">
        <v>50</v>
      </c>
      <c r="D13" s="6">
        <v>19.957187</v>
      </c>
      <c r="E13">
        <v>88</v>
      </c>
      <c r="F13">
        <v>16</v>
      </c>
      <c r="G13">
        <v>11.072988</v>
      </c>
      <c r="H13" s="13">
        <v>195.7085156</v>
      </c>
      <c r="I13" s="13">
        <v>-32.7816505</v>
      </c>
      <c r="J13" s="13">
        <v>228.4901661</v>
      </c>
      <c r="K13" s="13"/>
    </row>
    <row r="14" spans="1:11" ht="12.75">
      <c r="A14">
        <v>66597</v>
      </c>
      <c r="B14">
        <v>41</v>
      </c>
      <c r="C14">
        <v>50</v>
      </c>
      <c r="D14" s="6">
        <v>22.167346</v>
      </c>
      <c r="E14">
        <v>88</v>
      </c>
      <c r="F14">
        <v>16</v>
      </c>
      <c r="G14">
        <v>14.832482</v>
      </c>
      <c r="H14" s="13">
        <v>196.1461673</v>
      </c>
      <c r="I14" s="13">
        <v>-32.7816925</v>
      </c>
      <c r="J14" s="13">
        <v>228.9278598</v>
      </c>
      <c r="K14" s="13"/>
    </row>
    <row r="15" spans="1:11" ht="12.75">
      <c r="A15" t="s">
        <v>333</v>
      </c>
      <c r="B15">
        <v>41</v>
      </c>
      <c r="C15">
        <v>49</v>
      </c>
      <c r="D15" s="6">
        <v>54.654173</v>
      </c>
      <c r="E15">
        <v>88</v>
      </c>
      <c r="F15">
        <v>15</v>
      </c>
      <c r="G15">
        <v>56.595049</v>
      </c>
      <c r="H15" s="13">
        <v>196.1911842</v>
      </c>
      <c r="I15" s="13">
        <v>-32.7772141</v>
      </c>
      <c r="J15" s="13">
        <v>228.9683983</v>
      </c>
      <c r="K15" s="13"/>
    </row>
    <row r="16" spans="1:11" ht="12.75">
      <c r="A16" t="s">
        <v>334</v>
      </c>
      <c r="B16">
        <v>41</v>
      </c>
      <c r="C16">
        <v>49</v>
      </c>
      <c r="D16" s="6">
        <v>54.31636</v>
      </c>
      <c r="E16">
        <v>88</v>
      </c>
      <c r="F16">
        <v>15</v>
      </c>
      <c r="G16">
        <v>55.347222</v>
      </c>
      <c r="H16" s="13">
        <v>196.0810597</v>
      </c>
      <c r="I16" s="13">
        <v>-32.7773056</v>
      </c>
      <c r="J16" s="13">
        <v>228.8583653</v>
      </c>
      <c r="K16" s="13"/>
    </row>
    <row r="17" spans="1:11" ht="12.75">
      <c r="A17" t="s">
        <v>335</v>
      </c>
      <c r="B17">
        <v>41</v>
      </c>
      <c r="C17">
        <v>50</v>
      </c>
      <c r="D17" s="6">
        <v>22.806633</v>
      </c>
      <c r="E17">
        <v>88</v>
      </c>
      <c r="F17">
        <v>16</v>
      </c>
      <c r="G17">
        <v>12.910936</v>
      </c>
      <c r="H17" s="13">
        <v>196.1024393</v>
      </c>
      <c r="I17" s="13">
        <v>-32.7821388</v>
      </c>
      <c r="J17" s="13">
        <v>228.8845781</v>
      </c>
      <c r="K17" s="13"/>
    </row>
    <row r="18" spans="4:10" ht="12.75">
      <c r="D18" s="6"/>
      <c r="H18" s="13"/>
      <c r="I18" s="13"/>
      <c r="J18" s="13"/>
    </row>
    <row r="19" ht="12.75">
      <c r="A19" t="s">
        <v>336</v>
      </c>
    </row>
    <row r="20" spans="1:10" ht="12.75">
      <c r="A20" s="136">
        <v>37305</v>
      </c>
      <c r="J20" s="1" t="s">
        <v>337</v>
      </c>
    </row>
    <row r="21" spans="1:11" ht="12" customHeight="1">
      <c r="A21">
        <v>907</v>
      </c>
      <c r="B21">
        <v>41</v>
      </c>
      <c r="C21">
        <v>49</v>
      </c>
      <c r="D21" s="6">
        <v>57.451036</v>
      </c>
      <c r="E21">
        <v>88</v>
      </c>
      <c r="F21">
        <v>16</v>
      </c>
      <c r="G21" s="6">
        <v>11.01563</v>
      </c>
      <c r="H21" s="13">
        <v>193.6461</v>
      </c>
      <c r="I21" s="13">
        <v>-32.7758675</v>
      </c>
      <c r="J21" s="13">
        <v>226.5950475</v>
      </c>
      <c r="K21" s="13"/>
    </row>
    <row r="22" spans="1:11" ht="12.75">
      <c r="A22">
        <v>908</v>
      </c>
      <c r="B22">
        <v>41</v>
      </c>
      <c r="C22">
        <v>50</v>
      </c>
      <c r="D22" s="6">
        <v>6.731627</v>
      </c>
      <c r="E22">
        <v>88</v>
      </c>
      <c r="F22">
        <v>16</v>
      </c>
      <c r="G22" s="6">
        <v>9.868657</v>
      </c>
      <c r="H22" s="13">
        <v>194.4497</v>
      </c>
      <c r="I22" s="13">
        <v>-32.778389</v>
      </c>
      <c r="J22" s="13">
        <v>227.401169</v>
      </c>
      <c r="K22" s="13"/>
    </row>
    <row r="23" spans="1:11" ht="12.75">
      <c r="A23">
        <v>909</v>
      </c>
      <c r="B23">
        <v>41</v>
      </c>
      <c r="C23">
        <v>50</v>
      </c>
      <c r="D23" s="6">
        <v>17.125847</v>
      </c>
      <c r="E23">
        <v>88</v>
      </c>
      <c r="F23">
        <v>16</v>
      </c>
      <c r="G23" s="6">
        <v>10.246232</v>
      </c>
      <c r="H23" s="13">
        <v>203.1353</v>
      </c>
      <c r="I23" s="13">
        <v>-32.7810326</v>
      </c>
      <c r="J23" s="13">
        <v>236.0894126</v>
      </c>
      <c r="K23" s="13"/>
    </row>
    <row r="24" spans="1:11" ht="12.75">
      <c r="A24">
        <v>910</v>
      </c>
      <c r="B24">
        <v>41</v>
      </c>
      <c r="C24">
        <v>50</v>
      </c>
      <c r="D24" s="6">
        <v>8.683459</v>
      </c>
      <c r="E24">
        <v>88</v>
      </c>
      <c r="F24">
        <v>15</v>
      </c>
      <c r="G24" s="6">
        <v>51.004709</v>
      </c>
      <c r="H24" s="13">
        <v>194.3587</v>
      </c>
      <c r="I24" s="13">
        <v>-32.7816238</v>
      </c>
      <c r="J24" s="13">
        <v>227.3134038</v>
      </c>
      <c r="K24" s="13"/>
    </row>
    <row r="25" spans="1:11" ht="12.75">
      <c r="A25">
        <v>911</v>
      </c>
      <c r="B25">
        <v>41</v>
      </c>
      <c r="C25">
        <v>50</v>
      </c>
      <c r="D25" s="6">
        <v>6.709571</v>
      </c>
      <c r="E25">
        <v>88</v>
      </c>
      <c r="F25">
        <v>15</v>
      </c>
      <c r="G25" s="6">
        <v>59.219161</v>
      </c>
      <c r="H25" s="13">
        <v>193.3766</v>
      </c>
      <c r="I25" s="13">
        <v>-32.7799149</v>
      </c>
      <c r="J25" s="13">
        <v>226.3295949</v>
      </c>
      <c r="K25" s="13"/>
    </row>
    <row r="26" spans="1:11" ht="12.75">
      <c r="A26">
        <v>912</v>
      </c>
      <c r="B26">
        <v>41</v>
      </c>
      <c r="C26">
        <v>50</v>
      </c>
      <c r="D26" s="6">
        <v>6.265709</v>
      </c>
      <c r="E26">
        <v>88</v>
      </c>
      <c r="F26">
        <v>16</v>
      </c>
      <c r="G26" s="6">
        <v>22.466806</v>
      </c>
      <c r="H26" s="13">
        <v>195.6139</v>
      </c>
      <c r="I26" s="13">
        <v>-32.7765007</v>
      </c>
      <c r="J26" s="13">
        <v>228.5634807</v>
      </c>
      <c r="K26" s="13"/>
    </row>
    <row r="27" spans="1:11" ht="12.75">
      <c r="A27">
        <v>913</v>
      </c>
      <c r="B27">
        <v>41</v>
      </c>
      <c r="C27">
        <v>50</v>
      </c>
      <c r="D27" s="6">
        <v>22.423157</v>
      </c>
      <c r="E27">
        <v>88</v>
      </c>
      <c r="F27">
        <v>16</v>
      </c>
      <c r="G27" s="6">
        <v>26.086692</v>
      </c>
      <c r="H27" s="13">
        <v>201.3297</v>
      </c>
      <c r="I27" s="13">
        <v>-32.7801628</v>
      </c>
      <c r="J27" s="13">
        <v>234.2829428</v>
      </c>
      <c r="K27" s="13"/>
    </row>
    <row r="28" spans="1:11" ht="12.75">
      <c r="A28">
        <v>914</v>
      </c>
      <c r="B28">
        <v>41</v>
      </c>
      <c r="C28">
        <v>50</v>
      </c>
      <c r="D28" s="6">
        <v>30.32732</v>
      </c>
      <c r="E28">
        <v>88</v>
      </c>
      <c r="F28">
        <v>16</v>
      </c>
      <c r="G28" s="6">
        <v>13.718509</v>
      </c>
      <c r="H28" s="13">
        <v>197.5387</v>
      </c>
      <c r="I28" s="13">
        <v>-32.7840157</v>
      </c>
      <c r="J28" s="13">
        <v>230.4957957</v>
      </c>
      <c r="K28" s="13"/>
    </row>
    <row r="29" spans="1:11" ht="12.75">
      <c r="A29">
        <v>915</v>
      </c>
      <c r="B29">
        <v>41</v>
      </c>
      <c r="C29">
        <v>50</v>
      </c>
      <c r="D29" s="6">
        <v>32.572838</v>
      </c>
      <c r="E29">
        <v>88</v>
      </c>
      <c r="F29">
        <v>15</v>
      </c>
      <c r="G29" s="6">
        <v>59.795653</v>
      </c>
      <c r="H29" s="13">
        <v>197.1681</v>
      </c>
      <c r="I29" s="13">
        <v>-32.7866631</v>
      </c>
      <c r="J29" s="13">
        <v>230.1278431</v>
      </c>
      <c r="K29" s="13"/>
    </row>
    <row r="30" spans="1:11" ht="12.75">
      <c r="A30">
        <v>916</v>
      </c>
      <c r="B30">
        <v>41</v>
      </c>
      <c r="C30">
        <v>50</v>
      </c>
      <c r="D30" s="6">
        <v>24.587007</v>
      </c>
      <c r="E30">
        <v>88</v>
      </c>
      <c r="F30">
        <v>16</v>
      </c>
      <c r="G30" s="6">
        <v>5.066486</v>
      </c>
      <c r="H30" s="13">
        <v>194.5276</v>
      </c>
      <c r="I30" s="13">
        <v>-32.7837448</v>
      </c>
      <c r="J30" s="13">
        <v>227.4844248</v>
      </c>
      <c r="K30" s="13"/>
    </row>
    <row r="31" spans="1:11" ht="12.75">
      <c r="A31">
        <v>917</v>
      </c>
      <c r="B31">
        <v>41</v>
      </c>
      <c r="C31">
        <v>50</v>
      </c>
      <c r="D31" s="6">
        <v>15.44063</v>
      </c>
      <c r="E31">
        <v>88</v>
      </c>
      <c r="F31">
        <v>15</v>
      </c>
      <c r="G31" s="6">
        <v>59.11821</v>
      </c>
      <c r="H31" s="13">
        <v>193.9583</v>
      </c>
      <c r="I31" s="13">
        <v>-32.7821999</v>
      </c>
      <c r="J31" s="13">
        <v>226.9135799</v>
      </c>
      <c r="K31" s="13"/>
    </row>
    <row r="32" spans="1:11" ht="12.75">
      <c r="A32">
        <v>6563</v>
      </c>
      <c r="B32">
        <v>41</v>
      </c>
      <c r="C32">
        <v>49</v>
      </c>
      <c r="D32" s="6">
        <v>58.18766</v>
      </c>
      <c r="E32">
        <v>88</v>
      </c>
      <c r="F32">
        <v>16</v>
      </c>
      <c r="G32" s="6">
        <v>18.904874</v>
      </c>
      <c r="H32" s="13">
        <v>197.7909</v>
      </c>
      <c r="I32" s="13">
        <v>-32.7749557</v>
      </c>
      <c r="J32" s="13">
        <v>230.7389357</v>
      </c>
      <c r="K32" s="13"/>
    </row>
    <row r="33" spans="1:11" ht="12.75">
      <c r="A33">
        <v>6587</v>
      </c>
      <c r="B33">
        <v>41</v>
      </c>
      <c r="C33">
        <v>49</v>
      </c>
      <c r="D33" s="6">
        <v>26.682627</v>
      </c>
      <c r="E33">
        <v>88</v>
      </c>
      <c r="F33">
        <v>15</v>
      </c>
      <c r="G33" s="6">
        <v>46.641764</v>
      </c>
      <c r="H33" s="13">
        <v>197.185</v>
      </c>
      <c r="I33" s="13">
        <v>-32.7719154</v>
      </c>
      <c r="J33" s="13">
        <v>230.1299954</v>
      </c>
      <c r="K33" s="13"/>
    </row>
    <row r="34" spans="1:11" ht="12.75">
      <c r="A34">
        <v>6589</v>
      </c>
      <c r="B34">
        <v>41</v>
      </c>
      <c r="C34">
        <v>49</v>
      </c>
      <c r="D34" s="6">
        <v>56.568149</v>
      </c>
      <c r="E34">
        <v>88</v>
      </c>
      <c r="F34">
        <v>16</v>
      </c>
      <c r="G34" s="6">
        <v>1.471495</v>
      </c>
      <c r="H34" s="13">
        <v>197.6508</v>
      </c>
      <c r="I34" s="13">
        <v>-32.7769966</v>
      </c>
      <c r="J34" s="13">
        <v>230.6008766</v>
      </c>
      <c r="K34" s="13"/>
    </row>
    <row r="35" spans="1:11" ht="12.75">
      <c r="A35">
        <v>6591</v>
      </c>
      <c r="B35">
        <v>41</v>
      </c>
      <c r="C35">
        <v>49</v>
      </c>
      <c r="D35" s="6">
        <v>39.341322</v>
      </c>
      <c r="E35">
        <v>88</v>
      </c>
      <c r="F35">
        <v>16</v>
      </c>
      <c r="G35" s="6">
        <v>10.427825</v>
      </c>
      <c r="H35" s="13">
        <v>196.0454</v>
      </c>
      <c r="I35" s="13">
        <v>-32.7714653</v>
      </c>
      <c r="J35" s="13">
        <v>228.9899453</v>
      </c>
      <c r="K35" s="13"/>
    </row>
    <row r="36" spans="1:11" ht="12.75">
      <c r="A36">
        <v>6592</v>
      </c>
      <c r="B36">
        <v>41</v>
      </c>
      <c r="C36">
        <v>49</v>
      </c>
      <c r="D36" s="6">
        <v>52.061072</v>
      </c>
      <c r="E36">
        <v>88</v>
      </c>
      <c r="F36">
        <v>15</v>
      </c>
      <c r="G36" s="6">
        <v>54.414237</v>
      </c>
      <c r="H36" s="13">
        <v>195.9907</v>
      </c>
      <c r="I36" s="13">
        <v>-32.7768707</v>
      </c>
      <c r="J36" s="13">
        <v>228.9406507</v>
      </c>
      <c r="K36" s="13"/>
    </row>
    <row r="37" spans="1:11" ht="12.75">
      <c r="A37">
        <v>6593</v>
      </c>
      <c r="B37">
        <v>41</v>
      </c>
      <c r="C37">
        <v>49</v>
      </c>
      <c r="D37" s="6">
        <v>55.929522</v>
      </c>
      <c r="E37">
        <v>88</v>
      </c>
      <c r="F37">
        <v>15</v>
      </c>
      <c r="G37" s="6">
        <v>52.86759</v>
      </c>
      <c r="H37" s="13">
        <v>195.927</v>
      </c>
      <c r="I37" s="13">
        <v>-32.7780724</v>
      </c>
      <c r="J37" s="13">
        <v>228.8781524</v>
      </c>
      <c r="K37" s="13"/>
    </row>
    <row r="38" spans="1:11" ht="12.75">
      <c r="A38">
        <v>6594</v>
      </c>
      <c r="B38">
        <v>41</v>
      </c>
      <c r="C38">
        <v>49</v>
      </c>
      <c r="D38" s="6">
        <v>53.916333</v>
      </c>
      <c r="E38">
        <v>88</v>
      </c>
      <c r="F38">
        <v>15</v>
      </c>
      <c r="G38" s="6">
        <v>58.936165</v>
      </c>
      <c r="H38" s="13">
        <v>194.8902</v>
      </c>
      <c r="I38" s="13">
        <v>-32.7766914</v>
      </c>
      <c r="J38" s="13">
        <v>227.8399714</v>
      </c>
      <c r="K38" s="13"/>
    </row>
    <row r="39" spans="1:11" ht="12.75">
      <c r="A39">
        <v>6595</v>
      </c>
      <c r="B39">
        <v>41</v>
      </c>
      <c r="C39">
        <v>50</v>
      </c>
      <c r="D39" s="6">
        <v>18.194939</v>
      </c>
      <c r="E39">
        <v>88</v>
      </c>
      <c r="F39">
        <v>16</v>
      </c>
      <c r="G39" s="6">
        <v>10.025668</v>
      </c>
      <c r="H39" s="13">
        <v>195.3751</v>
      </c>
      <c r="I39" s="13">
        <v>-32.7813416</v>
      </c>
      <c r="J39" s="13">
        <v>228.3295216</v>
      </c>
      <c r="K39" s="13"/>
    </row>
    <row r="40" spans="1:11" ht="12.75">
      <c r="A40">
        <v>6596</v>
      </c>
      <c r="B40">
        <v>41</v>
      </c>
      <c r="C40">
        <v>50</v>
      </c>
      <c r="D40" s="6">
        <v>19.957058</v>
      </c>
      <c r="E40">
        <v>88</v>
      </c>
      <c r="F40">
        <v>16</v>
      </c>
      <c r="G40" s="6">
        <v>11.073045</v>
      </c>
      <c r="H40" s="13">
        <v>195.7103</v>
      </c>
      <c r="I40" s="13">
        <v>-32.7816505</v>
      </c>
      <c r="J40" s="13">
        <v>228.6650305</v>
      </c>
      <c r="K40" s="13"/>
    </row>
    <row r="41" spans="1:11" ht="12.75">
      <c r="A41">
        <v>6597</v>
      </c>
      <c r="B41">
        <v>41</v>
      </c>
      <c r="C41">
        <v>50</v>
      </c>
      <c r="D41" s="6">
        <v>22.167101</v>
      </c>
      <c r="E41">
        <v>88</v>
      </c>
      <c r="F41">
        <v>16</v>
      </c>
      <c r="G41" s="6">
        <v>14.832535</v>
      </c>
      <c r="H41" s="13">
        <v>196.1474</v>
      </c>
      <c r="I41" s="13">
        <v>-32.7816925</v>
      </c>
      <c r="J41" s="13">
        <v>229.1021725</v>
      </c>
      <c r="K41" s="13"/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8"/>
  <dimension ref="A1:P130"/>
  <sheetViews>
    <sheetView workbookViewId="0" topLeftCell="A5">
      <pane xSplit="4755" ySplit="1815" topLeftCell="E100" activePane="topRight" state="split"/>
      <selection pane="topLeft" activeCell="O104" sqref="O104"/>
      <selection pane="topRight" activeCell="F7" sqref="F7"/>
      <selection pane="bottomLeft" activeCell="A125" sqref="A125"/>
      <selection pane="bottomRight" activeCell="A129" sqref="A129:N130"/>
    </sheetView>
  </sheetViews>
  <sheetFormatPr defaultColWidth="9.140625" defaultRowHeight="12.75"/>
  <cols>
    <col min="1" max="1" width="11.7109375" style="0" customWidth="1"/>
    <col min="2" max="2" width="12.140625" style="0" customWidth="1"/>
    <col min="3" max="3" width="8.28125" style="0" customWidth="1"/>
    <col min="4" max="4" width="9.421875" style="0" customWidth="1"/>
    <col min="5" max="5" width="12.00390625" style="0" customWidth="1"/>
    <col min="6" max="6" width="13.140625" style="0" customWidth="1"/>
    <col min="7" max="7" width="12.7109375" style="0" customWidth="1"/>
    <col min="8" max="8" width="12.421875" style="0" customWidth="1"/>
    <col min="9" max="9" width="12.57421875" style="0" customWidth="1"/>
    <col min="10" max="10" width="11.00390625" style="0" customWidth="1"/>
    <col min="11" max="11" width="12.28125" style="0" bestFit="1" customWidth="1"/>
    <col min="12" max="13" width="12.28125" style="0" customWidth="1"/>
  </cols>
  <sheetData>
    <row r="1" spans="1:7" ht="15.75">
      <c r="A1" s="10" t="s">
        <v>338</v>
      </c>
      <c r="F1" s="115" t="s">
        <v>288</v>
      </c>
      <c r="G1" s="115" t="s">
        <v>539</v>
      </c>
    </row>
    <row r="2" spans="6:7" ht="12.75">
      <c r="F2" s="47">
        <f>ATAN2(F10-F9,E10-E9)</f>
        <v>-0.5855304354159501</v>
      </c>
      <c r="G2" s="66">
        <f>ASIN((G10-G9)/SQRT(SUMSQ(E10-E9,F10-F9,G10-G9)))</f>
        <v>0.6960169166663005</v>
      </c>
    </row>
    <row r="3" spans="6:7" ht="12.75">
      <c r="F3">
        <f>DEGREES(F2)</f>
        <v>-33.54842272579136</v>
      </c>
      <c r="G3">
        <f>DEGREES(G2)</f>
        <v>39.87883179468775</v>
      </c>
    </row>
    <row r="5" spans="5:11" ht="12.75">
      <c r="E5" t="s">
        <v>340</v>
      </c>
      <c r="H5" t="s">
        <v>345</v>
      </c>
      <c r="K5" t="s">
        <v>345</v>
      </c>
    </row>
    <row r="6" spans="1:14" ht="12.75">
      <c r="A6" s="10"/>
      <c r="E6" t="s">
        <v>339</v>
      </c>
      <c r="H6" s="1" t="s">
        <v>343</v>
      </c>
      <c r="I6" s="1" t="s">
        <v>346</v>
      </c>
      <c r="J6" s="1" t="s">
        <v>373</v>
      </c>
      <c r="L6" t="s">
        <v>344</v>
      </c>
      <c r="M6" t="s">
        <v>344</v>
      </c>
      <c r="N6" s="1" t="s">
        <v>373</v>
      </c>
    </row>
    <row r="7" spans="1:14" ht="12.75">
      <c r="A7" s="10"/>
      <c r="B7" t="s">
        <v>128</v>
      </c>
      <c r="C7" t="s">
        <v>2</v>
      </c>
      <c r="D7" t="s">
        <v>3</v>
      </c>
      <c r="E7" s="1" t="s">
        <v>157</v>
      </c>
      <c r="F7" s="1" t="s">
        <v>158</v>
      </c>
      <c r="G7" s="1" t="s">
        <v>159</v>
      </c>
      <c r="H7" s="1" t="s">
        <v>341</v>
      </c>
      <c r="I7" t="s">
        <v>344</v>
      </c>
      <c r="J7" s="1" t="s">
        <v>374</v>
      </c>
      <c r="L7" s="1" t="s">
        <v>229</v>
      </c>
      <c r="M7" s="1" t="s">
        <v>342</v>
      </c>
      <c r="N7" s="1" t="s">
        <v>374</v>
      </c>
    </row>
    <row r="8" spans="2:14" ht="14.25">
      <c r="B8" t="s">
        <v>129</v>
      </c>
      <c r="C8" s="3">
        <v>0</v>
      </c>
      <c r="D8" s="3">
        <v>0</v>
      </c>
      <c r="E8" s="1" t="s">
        <v>130</v>
      </c>
      <c r="F8" s="1" t="s">
        <v>130</v>
      </c>
      <c r="G8" s="1" t="s">
        <v>130</v>
      </c>
      <c r="H8" s="1" t="s">
        <v>130</v>
      </c>
      <c r="I8" s="1" t="s">
        <v>130</v>
      </c>
      <c r="J8" s="1" t="s">
        <v>372</v>
      </c>
      <c r="L8" s="1" t="s">
        <v>130</v>
      </c>
      <c r="M8" s="1" t="s">
        <v>130</v>
      </c>
      <c r="N8" s="1" t="s">
        <v>392</v>
      </c>
    </row>
    <row r="9" spans="1:7" ht="12.75">
      <c r="A9" s="1" t="s">
        <v>108</v>
      </c>
      <c r="B9" s="2">
        <v>153.96829709410667</v>
      </c>
      <c r="C9" s="137">
        <v>41.83202350680571</v>
      </c>
      <c r="D9" s="13">
        <v>-88.26555873341539</v>
      </c>
      <c r="E9">
        <v>144058.55234079924</v>
      </c>
      <c r="F9" s="2">
        <v>-4757396.9876393</v>
      </c>
      <c r="G9" s="2">
        <v>4231823.074484399</v>
      </c>
    </row>
    <row r="10" spans="1:13" ht="12.75">
      <c r="A10" s="1" t="s">
        <v>136</v>
      </c>
      <c r="B10" s="2">
        <v>-248.3991527</v>
      </c>
      <c r="C10" s="13">
        <v>47.820266534666665</v>
      </c>
      <c r="D10" s="13">
        <v>-92.24141201908333</v>
      </c>
      <c r="E10" s="2">
        <v>-167796.99235646756</v>
      </c>
      <c r="F10" s="2">
        <v>-4287098.721551998</v>
      </c>
      <c r="G10" s="2">
        <v>4703296.872157471</v>
      </c>
      <c r="H10" s="48">
        <f aca="true" t="shared" si="0" ref="H10:H16">K10*COS($G$2)+($G10-$G$9)*SIN($G$2)</f>
        <v>735337.9370979177</v>
      </c>
      <c r="I10" s="70">
        <f aca="true" t="shared" si="1" ref="I10:I16">SQRT(SUMSQ(L10,M10))</f>
        <v>0</v>
      </c>
      <c r="J10" s="6">
        <f aca="true" t="shared" si="2" ref="J10:J16">ATAN(I10/H10)</f>
        <v>0</v>
      </c>
      <c r="K10" s="48">
        <f aca="true" t="shared" si="3" ref="K10:K16">($E10-$E$9)*SIN($F$2)+($F10-$F$9)*COS($F$2)</f>
        <v>564299.8669529806</v>
      </c>
      <c r="L10" s="48">
        <f aca="true" t="shared" si="4" ref="L10:L16">($E10-$E$9)*COS($F$2)-($F10-$F$9)*SIN($F$2)</f>
        <v>0</v>
      </c>
      <c r="M10" s="48">
        <f aca="true" t="shared" si="5" ref="M10:M16">-K10*SIN($G$2)+($G10-$G$9)*COS($G$2)</f>
        <v>0</v>
      </c>
    </row>
    <row r="11" spans="1:13" ht="12.75">
      <c r="A11" s="1" t="s">
        <v>347</v>
      </c>
      <c r="B11" s="2">
        <v>305</v>
      </c>
      <c r="C11" s="13">
        <v>48.77</v>
      </c>
      <c r="D11" s="13">
        <v>-92.61</v>
      </c>
      <c r="E11">
        <v>-191798.99768894527</v>
      </c>
      <c r="F11" s="2">
        <v>-4207536.708003664</v>
      </c>
      <c r="G11" s="2">
        <v>4773968.930133931</v>
      </c>
      <c r="H11" s="48">
        <f t="shared" si="0"/>
        <v>841714.9578963143</v>
      </c>
      <c r="I11" s="70">
        <f t="shared" si="1"/>
        <v>24180.146495235844</v>
      </c>
      <c r="J11" s="6">
        <f t="shared" si="2"/>
        <v>0.028719340164482108</v>
      </c>
      <c r="K11" s="48">
        <f t="shared" si="3"/>
        <v>643872.8707664364</v>
      </c>
      <c r="L11" s="48">
        <f t="shared" si="4"/>
        <v>23965.54451601737</v>
      </c>
      <c r="M11" s="48">
        <f t="shared" si="5"/>
        <v>3214.367835493642</v>
      </c>
    </row>
    <row r="12" spans="1:13" ht="12.75">
      <c r="A12" s="1" t="s">
        <v>353</v>
      </c>
      <c r="B12" s="2">
        <v>305</v>
      </c>
      <c r="C12" s="13">
        <v>49.84</v>
      </c>
      <c r="D12" s="13">
        <v>-93.42</v>
      </c>
      <c r="E12" s="2">
        <v>-245877.94339534672</v>
      </c>
      <c r="F12" s="2">
        <v>-4114337.2003972363</v>
      </c>
      <c r="G12" s="2">
        <v>4851563.8050575275</v>
      </c>
      <c r="H12" s="48">
        <f t="shared" si="0"/>
        <v>974008.3312554238</v>
      </c>
      <c r="I12" s="70">
        <f t="shared" si="1"/>
        <v>31027.478968381423</v>
      </c>
      <c r="J12" s="6">
        <f t="shared" si="2"/>
        <v>0.03184468664853696</v>
      </c>
      <c r="K12" s="48">
        <f t="shared" si="3"/>
        <v>751433.3885903306</v>
      </c>
      <c r="L12" s="48">
        <f t="shared" si="4"/>
        <v>30401.03923299967</v>
      </c>
      <c r="M12" s="48">
        <f t="shared" si="5"/>
        <v>-6203.32690473157</v>
      </c>
    </row>
    <row r="13" spans="1:13" ht="12.75">
      <c r="A13" s="1" t="s">
        <v>354</v>
      </c>
      <c r="B13" s="2">
        <v>305</v>
      </c>
      <c r="C13" s="13">
        <v>51</v>
      </c>
      <c r="D13" s="13">
        <v>-93.86</v>
      </c>
      <c r="E13" s="2">
        <v>-270771.0346813774</v>
      </c>
      <c r="F13" s="2">
        <v>-4013098.2706384193</v>
      </c>
      <c r="G13" s="2">
        <v>4933781.6496295715</v>
      </c>
      <c r="H13" s="48">
        <f t="shared" si="0"/>
        <v>1102029.8793571233</v>
      </c>
      <c r="I13" s="70">
        <f t="shared" si="1"/>
        <v>65879.83471527098</v>
      </c>
      <c r="J13" s="6">
        <f t="shared" si="2"/>
        <v>0.05970938311963684</v>
      </c>
      <c r="K13" s="48">
        <f t="shared" si="3"/>
        <v>849564.7986991402</v>
      </c>
      <c r="L13" s="48">
        <f t="shared" si="4"/>
        <v>65603.49997854902</v>
      </c>
      <c r="M13" s="48">
        <f t="shared" si="5"/>
        <v>-6027.720354822464</v>
      </c>
    </row>
    <row r="14" spans="1:13" ht="12.75">
      <c r="A14" s="1" t="s">
        <v>370</v>
      </c>
      <c r="B14" s="2">
        <v>305</v>
      </c>
      <c r="C14" s="13">
        <v>48.67077056188</v>
      </c>
      <c r="D14" s="13">
        <v>-92.88893013008425</v>
      </c>
      <c r="E14" s="2">
        <v>-212697.94764969606</v>
      </c>
      <c r="F14" s="2">
        <v>-4214835.580463849</v>
      </c>
      <c r="G14" s="2">
        <v>4766688.584483936</v>
      </c>
      <c r="H14" s="48">
        <f t="shared" si="0"/>
        <v>841242.133316973</v>
      </c>
      <c r="I14" s="70">
        <f t="shared" si="1"/>
        <v>6392.7897703056515</v>
      </c>
      <c r="J14" s="6">
        <f t="shared" si="2"/>
        <v>0.007599080530944796</v>
      </c>
      <c r="K14" s="48">
        <f t="shared" si="3"/>
        <v>649339.4791104194</v>
      </c>
      <c r="L14" s="48">
        <f t="shared" si="4"/>
        <v>2514.3011519253487</v>
      </c>
      <c r="M14" s="48">
        <f t="shared" si="5"/>
        <v>-5877.58885638928</v>
      </c>
    </row>
    <row r="15" spans="1:13" ht="12.75">
      <c r="A15" s="1" t="s">
        <v>371</v>
      </c>
      <c r="B15" s="2">
        <v>305</v>
      </c>
      <c r="C15" s="13">
        <v>49.72008376103057</v>
      </c>
      <c r="D15">
        <v>-93.72282002919415</v>
      </c>
      <c r="E15" s="2">
        <v>-268280.8226633044</v>
      </c>
      <c r="F15" s="2">
        <v>-4123143.4753738665</v>
      </c>
      <c r="G15" s="2">
        <v>4842950.949742962</v>
      </c>
      <c r="H15" s="48">
        <f t="shared" si="0"/>
        <v>972354.8746908589</v>
      </c>
      <c r="I15" s="70">
        <f t="shared" si="1"/>
        <v>17451.5209303596</v>
      </c>
      <c r="J15" s="6">
        <f t="shared" si="2"/>
        <v>0.0179457602586722</v>
      </c>
      <c r="K15" s="48">
        <f t="shared" si="3"/>
        <v>756474.8327431713</v>
      </c>
      <c r="L15" s="48">
        <f t="shared" si="4"/>
        <v>6863.339275006729</v>
      </c>
      <c r="M15" s="48">
        <f t="shared" si="5"/>
        <v>-16045.253403387847</v>
      </c>
    </row>
    <row r="16" spans="1:13" ht="12.75">
      <c r="A16" s="1" t="s">
        <v>369</v>
      </c>
      <c r="B16" s="2">
        <v>305</v>
      </c>
      <c r="C16" s="13">
        <v>50.7255239811956</v>
      </c>
      <c r="D16">
        <v>-94.56134019981471</v>
      </c>
      <c r="E16" s="2">
        <v>-321756.18649209815</v>
      </c>
      <c r="F16" s="2">
        <v>-4033092.8609565366</v>
      </c>
      <c r="G16" s="2">
        <v>4914508.129122836</v>
      </c>
      <c r="H16" s="48">
        <f t="shared" si="0"/>
        <v>1098507.1741552197</v>
      </c>
      <c r="I16" s="70">
        <f t="shared" si="1"/>
        <v>30671.012370638957</v>
      </c>
      <c r="J16" s="6">
        <f t="shared" si="2"/>
        <v>0.027913378116118954</v>
      </c>
      <c r="K16" s="48">
        <f t="shared" si="3"/>
        <v>861077.4385421157</v>
      </c>
      <c r="L16" s="48">
        <f t="shared" si="4"/>
        <v>12061.661468860926</v>
      </c>
      <c r="M16" s="48">
        <f t="shared" si="5"/>
        <v>-28199.7752198574</v>
      </c>
    </row>
    <row r="17" spans="1:13" ht="12.75">
      <c r="A17" s="1"/>
      <c r="B17" s="2"/>
      <c r="C17" s="13"/>
      <c r="E17" s="2"/>
      <c r="F17" s="2"/>
      <c r="G17" s="2"/>
      <c r="H17" s="48"/>
      <c r="I17" s="70"/>
      <c r="J17" s="6"/>
      <c r="K17" s="48"/>
      <c r="L17" s="48"/>
      <c r="M17" s="48"/>
    </row>
    <row r="18" spans="1:13" ht="12.75">
      <c r="A18" s="138">
        <v>37440</v>
      </c>
      <c r="B18" s="2" t="s">
        <v>376</v>
      </c>
      <c r="C18" s="13"/>
      <c r="E18" s="2"/>
      <c r="F18" s="2"/>
      <c r="G18" s="2"/>
      <c r="H18" s="48"/>
      <c r="I18" s="70"/>
      <c r="J18" s="6"/>
      <c r="K18" s="48"/>
      <c r="L18" s="48"/>
      <c r="M18" s="48"/>
    </row>
    <row r="19" spans="1:13" ht="12.75">
      <c r="A19" s="1" t="s">
        <v>375</v>
      </c>
      <c r="B19" s="2">
        <v>480</v>
      </c>
      <c r="C19" s="13">
        <v>47.586</v>
      </c>
      <c r="D19" s="13">
        <v>-92.219</v>
      </c>
      <c r="E19" s="2">
        <v>-166884.97920527676</v>
      </c>
      <c r="F19" s="2">
        <v>-4306905.738299522</v>
      </c>
      <c r="G19" s="2">
        <v>4686306.5574076185</v>
      </c>
      <c r="H19" s="48">
        <f aca="true" t="shared" si="6" ref="H19:H25">K19*COS($G$2)+($G19-$G$9)*SIN($G$2)</f>
        <v>711389.6144001493</v>
      </c>
      <c r="I19" s="70">
        <f aca="true" t="shared" si="7" ref="I19:I25">SQRT(SUMSQ(L19,M19))</f>
        <v>10406.647668065652</v>
      </c>
      <c r="J19" s="6">
        <f aca="true" t="shared" si="8" ref="J19:J25">ATAN(I19/H19)</f>
        <v>0.014627575696939083</v>
      </c>
      <c r="K19" s="48">
        <f aca="true" t="shared" si="9" ref="K19:K25">($E19-$E$9)*SIN($F$2)+($F19-$F$9)*COS($F$2)</f>
        <v>547288.3052763974</v>
      </c>
      <c r="L19" s="48">
        <f aca="true" t="shared" si="10" ref="L19:L25">($E19-$E$9)*COS($F$2)-($F19-$F$9)*SIN($F$2)</f>
        <v>-10186.090994510363</v>
      </c>
      <c r="M19" s="48">
        <f aca="true" t="shared" si="11" ref="M19:M25">-K19*SIN($G$2)+($G19-$G$9)*COS($G$2)</f>
        <v>-2131.1653945227154</v>
      </c>
    </row>
    <row r="20" spans="1:13" ht="12.75">
      <c r="A20" s="1" t="s">
        <v>377</v>
      </c>
      <c r="B20" s="2">
        <v>369</v>
      </c>
      <c r="C20" s="13">
        <v>48.748</v>
      </c>
      <c r="D20" s="13">
        <v>-92.758</v>
      </c>
      <c r="E20" s="2">
        <v>-202757.3340808801</v>
      </c>
      <c r="F20" s="2">
        <v>-4208906.984000119</v>
      </c>
      <c r="G20" s="2">
        <v>4772404.16107539</v>
      </c>
      <c r="H20" s="48">
        <f t="shared" si="6"/>
        <v>844482.7083768747</v>
      </c>
      <c r="I20" s="70">
        <f t="shared" si="7"/>
        <v>14121.246365613093</v>
      </c>
      <c r="J20" s="6">
        <f t="shared" si="8"/>
        <v>0.016720212578914217</v>
      </c>
      <c r="K20" s="48">
        <f t="shared" si="9"/>
        <v>648786.8884752514</v>
      </c>
      <c r="L20" s="48">
        <f t="shared" si="10"/>
        <v>14075.386643530335</v>
      </c>
      <c r="M20" s="48">
        <f t="shared" si="11"/>
        <v>-1137.1410437886952</v>
      </c>
    </row>
    <row r="21" spans="1:13" ht="12.75">
      <c r="A21" s="1" t="s">
        <v>378</v>
      </c>
      <c r="B21" s="2">
        <v>369</v>
      </c>
      <c r="C21" s="13">
        <v>48.713</v>
      </c>
      <c r="D21" s="13">
        <v>-92.941</v>
      </c>
      <c r="E21" s="2">
        <v>-216349.4303672137</v>
      </c>
      <c r="F21" s="2">
        <v>-4211159.641406552</v>
      </c>
      <c r="G21" s="2">
        <v>4769836.738589348</v>
      </c>
      <c r="H21" s="48">
        <f t="shared" si="6"/>
        <v>847160.2219248135</v>
      </c>
      <c r="I21" s="70">
        <f t="shared" si="7"/>
        <v>6885.751301665691</v>
      </c>
      <c r="J21" s="6">
        <f t="shared" si="8"/>
        <v>0.008127859988835678</v>
      </c>
      <c r="K21" s="48">
        <f t="shared" si="9"/>
        <v>654421.0378075659</v>
      </c>
      <c r="L21" s="48">
        <f t="shared" si="10"/>
        <v>1502.5624520887504</v>
      </c>
      <c r="M21" s="48">
        <f t="shared" si="11"/>
        <v>-6719.812279071775</v>
      </c>
    </row>
    <row r="22" spans="1:13" ht="12.75">
      <c r="A22" s="1" t="s">
        <v>379</v>
      </c>
      <c r="B22" s="2">
        <v>404</v>
      </c>
      <c r="C22" s="13">
        <v>50.95</v>
      </c>
      <c r="D22" s="13">
        <v>-93.932</v>
      </c>
      <c r="E22" s="2">
        <v>-276114.43824370584</v>
      </c>
      <c r="F22" s="2">
        <v>-4017128.359763628</v>
      </c>
      <c r="G22" s="2">
        <v>4930355.9539720025</v>
      </c>
      <c r="H22" s="48">
        <f t="shared" si="6"/>
        <v>1099522.0532983732</v>
      </c>
      <c r="I22" s="70">
        <f t="shared" si="7"/>
        <v>59518.24484499838</v>
      </c>
      <c r="J22" s="6">
        <f t="shared" si="8"/>
        <v>0.05407823686809768</v>
      </c>
      <c r="K22" s="48">
        <f t="shared" si="9"/>
        <v>849159.0323456374</v>
      </c>
      <c r="L22" s="48">
        <f t="shared" si="10"/>
        <v>58923.0109505367</v>
      </c>
      <c r="M22" s="48">
        <f t="shared" si="11"/>
        <v>-8396.442696291604</v>
      </c>
    </row>
    <row r="23" spans="1:13" ht="12.75">
      <c r="A23" s="1" t="s">
        <v>380</v>
      </c>
      <c r="B23" s="2">
        <v>372</v>
      </c>
      <c r="C23" s="13">
        <v>49.84</v>
      </c>
      <c r="D23" s="13">
        <v>-93.459</v>
      </c>
      <c r="E23" s="2">
        <v>-248681.03375493814</v>
      </c>
      <c r="F23" s="2">
        <v>-4114212.014678824</v>
      </c>
      <c r="G23" s="2">
        <v>4851615.009570142</v>
      </c>
      <c r="H23" s="48">
        <f t="shared" si="6"/>
        <v>975310.0123396775</v>
      </c>
      <c r="I23" s="70">
        <f t="shared" si="7"/>
        <v>29046.7649855736</v>
      </c>
      <c r="J23" s="6">
        <f t="shared" si="8"/>
        <v>0.029773283664966545</v>
      </c>
      <c r="K23" s="48">
        <f t="shared" si="9"/>
        <v>753086.8249135964</v>
      </c>
      <c r="L23" s="48">
        <f t="shared" si="10"/>
        <v>28134.07312098256</v>
      </c>
      <c r="M23" s="48">
        <f t="shared" si="11"/>
        <v>-7224.159864672925</v>
      </c>
    </row>
    <row r="24" spans="1:13" ht="12.75">
      <c r="A24" s="1" t="s">
        <v>381</v>
      </c>
      <c r="B24" s="2">
        <v>372</v>
      </c>
      <c r="C24" s="13">
        <v>49.825</v>
      </c>
      <c r="D24" s="13">
        <v>-93.496</v>
      </c>
      <c r="E24" s="2">
        <v>-251415.5715147911</v>
      </c>
      <c r="F24" s="2">
        <v>-4115323.185746436</v>
      </c>
      <c r="G24" s="2">
        <v>4850538.796210468</v>
      </c>
      <c r="H24" s="48">
        <f t="shared" si="6"/>
        <v>975069.0245506869</v>
      </c>
      <c r="I24" s="70">
        <f t="shared" si="7"/>
        <v>26609.986645725938</v>
      </c>
      <c r="J24" s="6">
        <f t="shared" si="8"/>
        <v>0.027283590057927683</v>
      </c>
      <c r="K24" s="48">
        <f t="shared" si="9"/>
        <v>753671.9729093827</v>
      </c>
      <c r="L24" s="48">
        <f t="shared" si="10"/>
        <v>25240.977940283075</v>
      </c>
      <c r="M24" s="48">
        <f t="shared" si="11"/>
        <v>-8425.225332527072</v>
      </c>
    </row>
    <row r="25" spans="1:13" ht="12.75">
      <c r="A25" s="1" t="s">
        <v>382</v>
      </c>
      <c r="B25" s="2">
        <v>371</v>
      </c>
      <c r="C25" s="13">
        <v>49.849</v>
      </c>
      <c r="D25" s="13">
        <v>-93.629</v>
      </c>
      <c r="E25" s="2">
        <v>-260838.56362450682</v>
      </c>
      <c r="F25" s="2">
        <v>-4112691.8128940887</v>
      </c>
      <c r="G25" s="2">
        <v>4852259.814348474</v>
      </c>
      <c r="H25" s="48">
        <f t="shared" si="6"/>
        <v>981851.6983836399</v>
      </c>
      <c r="I25" s="70">
        <f t="shared" si="7"/>
        <v>22258.198817511086</v>
      </c>
      <c r="J25" s="6">
        <f t="shared" si="8"/>
        <v>0.022665731612472883</v>
      </c>
      <c r="K25" s="48">
        <f t="shared" si="9"/>
        <v>761072.5460292937</v>
      </c>
      <c r="L25" s="48">
        <f t="shared" si="10"/>
        <v>18841.88262260845</v>
      </c>
      <c r="M25" s="48">
        <f t="shared" si="11"/>
        <v>-11849.509434389998</v>
      </c>
    </row>
    <row r="26" spans="1:13" ht="12.75">
      <c r="A26" s="1"/>
      <c r="B26" s="2"/>
      <c r="C26" s="13"/>
      <c r="D26" s="13"/>
      <c r="E26" s="2"/>
      <c r="F26" s="2"/>
      <c r="G26" s="2"/>
      <c r="H26" s="48"/>
      <c r="I26" s="70"/>
      <c r="J26" s="6"/>
      <c r="K26" s="48"/>
      <c r="L26" s="48"/>
      <c r="M26" s="48"/>
    </row>
    <row r="27" spans="1:13" ht="12.75">
      <c r="A27" s="138">
        <v>37818</v>
      </c>
      <c r="C27" s="13"/>
      <c r="D27" s="13"/>
      <c r="E27" s="2"/>
      <c r="F27" s="2"/>
      <c r="G27" s="2"/>
      <c r="H27" s="48"/>
      <c r="I27" s="70"/>
      <c r="J27" s="6"/>
      <c r="K27" s="48"/>
      <c r="L27" s="48"/>
      <c r="M27" s="48"/>
    </row>
    <row r="28" spans="1:13" ht="12.75">
      <c r="A28" s="1" t="s">
        <v>385</v>
      </c>
      <c r="B28" s="2">
        <v>400</v>
      </c>
      <c r="C28" s="13">
        <v>48.1217</v>
      </c>
      <c r="D28" s="13">
        <v>-92.5367</v>
      </c>
      <c r="E28" s="2">
        <v>-188806.60713634535</v>
      </c>
      <c r="F28" s="2">
        <v>-4261738.702053238</v>
      </c>
      <c r="G28" s="2">
        <v>4726218.1484478135</v>
      </c>
      <c r="H28" s="48">
        <f>K28*COS($G$2)+($G28-$G$9)*SIN($G$2)</f>
        <v>775163.869858799</v>
      </c>
      <c r="I28" s="70">
        <f>SQRT(SUMSQ(L28,M28))</f>
        <v>4880.009086088054</v>
      </c>
      <c r="J28" s="6">
        <f>ATAN(I28/H28)</f>
        <v>0.006295371608477145</v>
      </c>
      <c r="K28" s="48">
        <f>($E28-$E$9)*SIN($F$2)+($F28-$F$9)*COS($F$2)</f>
        <v>597046.1763913368</v>
      </c>
      <c r="L28" s="48">
        <f>($E28-$E$9)*COS($F$2)-($F28-$F$9)*SIN($F$2)</f>
        <v>-3494.813348917407</v>
      </c>
      <c r="M28" s="48">
        <f>-K28*SIN($G$2)+($G28-$G$9)*COS($G$2)</f>
        <v>-3405.9900670041097</v>
      </c>
    </row>
    <row r="29" spans="1:7" ht="12.75">
      <c r="A29" s="1"/>
      <c r="B29" s="2"/>
      <c r="C29" s="13"/>
      <c r="E29" s="2"/>
      <c r="F29" s="2"/>
      <c r="G29" s="2"/>
    </row>
    <row r="30" spans="1:7" ht="12.75">
      <c r="A30" t="s">
        <v>349</v>
      </c>
      <c r="D30" s="6"/>
      <c r="E30" s="2"/>
      <c r="F30" s="2"/>
      <c r="G30" s="2"/>
    </row>
    <row r="31" spans="1:13" ht="12.75">
      <c r="A31" t="str">
        <f>A11</f>
        <v>Mine Centre</v>
      </c>
      <c r="B31" s="2">
        <v>6715.2514872783795</v>
      </c>
      <c r="C31" s="13">
        <v>48.67077056188</v>
      </c>
      <c r="D31" s="13">
        <v>-92.88893013008425</v>
      </c>
      <c r="E31" s="2">
        <f aca="true" t="shared" si="12" ref="E31:G33">(E$10-E$9)*($H11/$H$10)+E$9</f>
        <v>-212911.30251334852</v>
      </c>
      <c r="F31" s="2">
        <f t="shared" si="12"/>
        <v>-4219063.433408885</v>
      </c>
      <c r="G31" s="2">
        <f t="shared" si="12"/>
        <v>4771502.217551325</v>
      </c>
      <c r="H31" s="48">
        <f>K31*COS($G$2)+($G31-$G$9)*SIN($G$2)</f>
        <v>841714.9578963144</v>
      </c>
      <c r="I31" s="70">
        <f>SQRT(SUMSQ(L31,M31))</f>
        <v>0</v>
      </c>
      <c r="K31" s="48">
        <f>($E31-$E$9)*SIN($F$2)+($F31-$F$9)*COS($F$2)</f>
        <v>645933.8146319187</v>
      </c>
      <c r="L31" s="48">
        <f>($E31-$E$9)*COS($F$2)-($F31-$F$9)*SIN($F$2)</f>
        <v>0</v>
      </c>
      <c r="M31" s="48">
        <f>-K31*SIN($G$2)+($G31-$G$9)*COS($G$2)</f>
        <v>0</v>
      </c>
    </row>
    <row r="32" spans="1:13" ht="12.75">
      <c r="A32" s="1" t="s">
        <v>353</v>
      </c>
      <c r="B32" s="2">
        <v>17834.674879862927</v>
      </c>
      <c r="C32" s="13">
        <v>49.72008376103057</v>
      </c>
      <c r="D32">
        <v>-93.72282002919415</v>
      </c>
      <c r="E32" s="2">
        <f t="shared" si="12"/>
        <v>-269016.69287518185</v>
      </c>
      <c r="F32" s="2">
        <f t="shared" si="12"/>
        <v>-4134452.8877444305</v>
      </c>
      <c r="G32" s="2">
        <f t="shared" si="12"/>
        <v>4856324.251065278</v>
      </c>
      <c r="H32" s="48">
        <f>K32*COS($G$2)+($G32-$G$9)*SIN($G$2)</f>
        <v>974008.3312554234</v>
      </c>
      <c r="I32" s="70">
        <f>SQRT(SUMSQ(L32,M32))</f>
        <v>0</v>
      </c>
      <c r="K32" s="48">
        <f>($E32-$E$9)*SIN($F$2)+($F32-$F$9)*COS($F$2)</f>
        <v>747456.0253313044</v>
      </c>
      <c r="L32" s="48">
        <f>($E32-$E$9)*COS($F$2)-($F32-$F$9)*SIN($F$2)</f>
        <v>0</v>
      </c>
      <c r="M32" s="48">
        <f>-K32*SIN($G$2)+($G32-$G$9)*COS($G$2)</f>
        <v>0</v>
      </c>
    </row>
    <row r="33" spans="1:13" ht="12.75">
      <c r="A33" s="1" t="s">
        <v>354</v>
      </c>
      <c r="B33" s="2">
        <v>31177.648927155882</v>
      </c>
      <c r="C33" s="13">
        <v>50.7255239811956</v>
      </c>
      <c r="D33">
        <v>-94.56134019981471</v>
      </c>
      <c r="E33" s="2">
        <f t="shared" si="12"/>
        <v>-323310.4095489165</v>
      </c>
      <c r="F33" s="2">
        <f t="shared" si="12"/>
        <v>-4052574.4627964953</v>
      </c>
      <c r="G33" s="2">
        <f t="shared" si="12"/>
        <v>4938407.3348045815</v>
      </c>
      <c r="H33" s="48">
        <f>K33*COS($G$2)+($G33-$G$9)*SIN($G$2)</f>
        <v>1102029.8793571235</v>
      </c>
      <c r="I33" s="70">
        <f>SQRT(SUMSQ(L33,M33))</f>
        <v>0</v>
      </c>
      <c r="K33" s="48">
        <f>($E33-$E$9)*SIN($F$2)+($F33-$F$9)*COS($F$2)</f>
        <v>845700.0284164925</v>
      </c>
      <c r="L33" s="48">
        <f>($E33-$E$9)*COS($F$2)-($F33-$F$9)*SIN($F$2)</f>
        <v>0</v>
      </c>
      <c r="M33" s="48">
        <f>-K33*SIN($G$2)+($G33-$G$9)*COS($G$2)</f>
        <v>0</v>
      </c>
    </row>
    <row r="34" spans="1:9" ht="12.75">
      <c r="A34" s="1" t="s">
        <v>492</v>
      </c>
      <c r="B34" s="2"/>
      <c r="E34" s="2">
        <f>$E$9+$H34*COS($G$2)*SIN($F$2)</f>
        <v>134728.39046935173</v>
      </c>
      <c r="F34" s="2">
        <f>$F$9+$H34*COS($G$2)*COS($F$2)</f>
        <v>-4743326.502040862</v>
      </c>
      <c r="G34" s="2">
        <f>$G$9+$H34*SIN($G$2)</f>
        <v>4245928.729891957</v>
      </c>
      <c r="H34" s="2">
        <v>22000</v>
      </c>
      <c r="I34" s="70">
        <v>0</v>
      </c>
    </row>
    <row r="35" spans="2:7" ht="12.75">
      <c r="B35" s="2"/>
      <c r="E35" s="2"/>
      <c r="F35" s="2"/>
      <c r="G35" s="2"/>
    </row>
    <row r="36" spans="5:10" ht="12.75">
      <c r="E36" s="2"/>
      <c r="F36" s="2"/>
      <c r="G36" s="2"/>
      <c r="H36" s="1" t="s">
        <v>350</v>
      </c>
      <c r="I36" s="1" t="s">
        <v>351</v>
      </c>
      <c r="J36" s="1" t="s">
        <v>352</v>
      </c>
    </row>
    <row r="37" spans="1:10" ht="12.75">
      <c r="A37" t="s">
        <v>348</v>
      </c>
      <c r="E37" s="2"/>
      <c r="F37" s="2"/>
      <c r="G37" s="2"/>
      <c r="H37" s="1" t="s">
        <v>130</v>
      </c>
      <c r="I37" s="1" t="s">
        <v>130</v>
      </c>
      <c r="J37" s="1" t="s">
        <v>130</v>
      </c>
    </row>
    <row r="38" spans="1:10" ht="12.75">
      <c r="A38" t="str">
        <f>A11</f>
        <v>Mine Centre</v>
      </c>
      <c r="E38" s="2"/>
      <c r="F38" s="2"/>
      <c r="G38" s="2"/>
      <c r="H38" s="2">
        <v>-11008.718447475967</v>
      </c>
      <c r="I38" s="2">
        <v>-20565.507283757972</v>
      </c>
      <c r="J38" s="2">
        <v>6367.692897508017</v>
      </c>
    </row>
    <row r="39" spans="1:10" ht="12.75">
      <c r="A39" s="1" t="s">
        <v>353</v>
      </c>
      <c r="E39" s="2"/>
      <c r="F39" s="2"/>
      <c r="G39" s="2"/>
      <c r="H39" s="2">
        <v>-13330.754954563392</v>
      </c>
      <c r="I39" s="2">
        <v>-21897.543141630224</v>
      </c>
      <c r="J39" s="2">
        <v>17478.358842728092</v>
      </c>
    </row>
    <row r="40" spans="1:10" ht="12.75">
      <c r="A40" s="1" t="s">
        <v>354</v>
      </c>
      <c r="E40" s="2"/>
      <c r="F40" s="2"/>
      <c r="G40" s="2"/>
      <c r="H40" s="2">
        <v>-30446.807423655173</v>
      </c>
      <c r="I40" s="2">
        <v>-49762.70204033794</v>
      </c>
      <c r="J40" s="2">
        <v>30607.483161193508</v>
      </c>
    </row>
    <row r="41" spans="5:7" ht="12.75">
      <c r="E41" s="2"/>
      <c r="F41" s="2"/>
      <c r="G41" s="2"/>
    </row>
    <row r="42" spans="5:7" ht="12.75">
      <c r="E42" s="2"/>
      <c r="F42" s="2"/>
      <c r="G42" s="2"/>
    </row>
    <row r="43" spans="1:7" ht="12.75">
      <c r="A43" s="1" t="s">
        <v>108</v>
      </c>
      <c r="B43" s="2">
        <v>153.96829709410667</v>
      </c>
      <c r="C43" s="137">
        <v>41.83202350680571</v>
      </c>
      <c r="D43" s="13">
        <v>-88.26555873341539</v>
      </c>
      <c r="E43">
        <v>144058.55234079924</v>
      </c>
      <c r="F43" s="2">
        <v>-4757396.9876393</v>
      </c>
      <c r="G43" s="2">
        <v>4231823.074484399</v>
      </c>
    </row>
    <row r="44" spans="1:11" ht="12.75">
      <c r="A44" s="1" t="s">
        <v>136</v>
      </c>
      <c r="B44" s="2">
        <v>-248.3991527</v>
      </c>
      <c r="C44" s="13">
        <v>47.820266534666665</v>
      </c>
      <c r="D44" s="13">
        <v>-92.24141201908333</v>
      </c>
      <c r="E44" s="2">
        <v>-167796.99235646756</v>
      </c>
      <c r="F44" s="2">
        <v>-4287098.721551998</v>
      </c>
      <c r="G44" s="2">
        <v>4703296.872157471</v>
      </c>
      <c r="H44" s="48">
        <f>K44*COS($G$2)+($G44-$G$9)*SIN($G$2)</f>
        <v>735337.9370979177</v>
      </c>
      <c r="I44" s="70">
        <f>SQRT(SUMSQ(L44,M44))</f>
        <v>0</v>
      </c>
      <c r="J44" s="6">
        <f>ATAN(I44/H44)</f>
        <v>0</v>
      </c>
      <c r="K44" s="48">
        <f>($E44-$E$9)*SIN($F$2)+($F44-$F$9)*COS($F$2)</f>
        <v>564299.8669529806</v>
      </c>
    </row>
    <row r="45" spans="1:8" ht="12.75">
      <c r="A45" s="1" t="s">
        <v>383</v>
      </c>
      <c r="E45" s="2">
        <f>E44-E43</f>
        <v>-311855.54469726677</v>
      </c>
      <c r="F45" s="2">
        <f>F44-F43</f>
        <v>470298.266087302</v>
      </c>
      <c r="G45" s="2">
        <f>G44-G43</f>
        <v>471473.79767307267</v>
      </c>
      <c r="H45">
        <f>SQRT(SUMSQ(E45,F45,G45))</f>
        <v>735337.9370979177</v>
      </c>
    </row>
    <row r="46" spans="1:11" ht="12.75">
      <c r="A46" s="1" t="s">
        <v>384</v>
      </c>
      <c r="B46" s="2">
        <v>1039.32</v>
      </c>
      <c r="E46" s="2">
        <f>E43+($B46/$H$45)*E45</f>
        <v>143617.7785300614</v>
      </c>
      <c r="F46" s="2">
        <f>F43+($B46/$H$45)*F45</f>
        <v>-4756732.272316928</v>
      </c>
      <c r="G46" s="2">
        <f>G43+($B46/$H$45)*G45</f>
        <v>4232489.451292498</v>
      </c>
      <c r="H46" s="48">
        <f>K46*COS($G$2)+($G46-$G$9)*SIN($G$2)</f>
        <v>1039.3200000003471</v>
      </c>
      <c r="I46" s="70">
        <f>SQRT(SUMSQ(L46,M46))</f>
        <v>0</v>
      </c>
      <c r="J46" s="6">
        <f>ATAN(I46/H46)</f>
        <v>0</v>
      </c>
      <c r="K46" s="48">
        <f>($E46-$E$9)*SIN($F$2)+($F46-$F$9)*COS($F$2)</f>
        <v>797.5763361759879</v>
      </c>
    </row>
    <row r="47" spans="5:7" ht="12.75">
      <c r="E47" s="2"/>
      <c r="F47" s="2"/>
      <c r="G47" s="2"/>
    </row>
    <row r="48" spans="1:7" ht="12.75">
      <c r="A48" s="138">
        <v>37928</v>
      </c>
      <c r="E48" s="2"/>
      <c r="F48" s="2"/>
      <c r="G48" s="2"/>
    </row>
    <row r="49" spans="1:14" ht="12.75">
      <c r="A49" s="1" t="s">
        <v>386</v>
      </c>
      <c r="B49" s="2">
        <v>305</v>
      </c>
      <c r="C49" s="13">
        <v>48.375</v>
      </c>
      <c r="D49" s="13">
        <v>-92.869</v>
      </c>
      <c r="E49" s="2">
        <v>-212465.25912171922</v>
      </c>
      <c r="F49" s="2">
        <v>-4239521.305582071</v>
      </c>
      <c r="G49" s="2">
        <v>4744903.946658249</v>
      </c>
      <c r="H49" s="48">
        <f>K49*COS($G$2)+($G49-$G$9)*SIN($G$2)</f>
        <v>811387.6898741475</v>
      </c>
      <c r="I49" s="70">
        <f>SQRT(SUMSQ(L49,M49))</f>
        <v>14368.309482146577</v>
      </c>
      <c r="J49" s="6">
        <f>ATAN(I49/H49)</f>
        <v>0.01770646517213655</v>
      </c>
      <c r="K49" s="48">
        <f>($E49-$E$9)*SIN($F$2)+($F49-$F$9)*COS($F$2)</f>
        <v>628637.3318798622</v>
      </c>
      <c r="L49" s="48">
        <f>($E49-$E$9)*COS($F$2)-($F49-$F$9)*SIN($F$2)</f>
        <v>-10934.128816208045</v>
      </c>
      <c r="M49" s="48">
        <f>-K49*SIN($G$2)+($G49-$G$9)*COS($G$2)</f>
        <v>-9321.649232046446</v>
      </c>
      <c r="N49" s="2">
        <f>DEGREES(J49)</f>
        <v>1.014505724458807</v>
      </c>
    </row>
    <row r="50" spans="1:7" ht="12.75">
      <c r="A50" s="1" t="s">
        <v>387</v>
      </c>
      <c r="B50" s="2">
        <v>305</v>
      </c>
      <c r="E50" s="2"/>
      <c r="F50" s="2"/>
      <c r="G50" s="2"/>
    </row>
    <row r="51" spans="1:7" ht="12.75">
      <c r="A51" s="1" t="s">
        <v>388</v>
      </c>
      <c r="B51" s="2">
        <v>305</v>
      </c>
      <c r="E51" s="2"/>
      <c r="F51" s="2"/>
      <c r="G51" s="2"/>
    </row>
    <row r="52" spans="1:7" ht="12.75">
      <c r="A52" s="1" t="s">
        <v>389</v>
      </c>
      <c r="B52" s="2">
        <v>305</v>
      </c>
      <c r="E52" s="2"/>
      <c r="F52" s="2"/>
      <c r="G52" s="2"/>
    </row>
    <row r="53" spans="1:7" ht="12.75">
      <c r="A53" s="1" t="s">
        <v>390</v>
      </c>
      <c r="B53" s="2">
        <v>305</v>
      </c>
      <c r="E53" s="2"/>
      <c r="F53" s="2"/>
      <c r="G53" s="2"/>
    </row>
    <row r="54" spans="1:7" ht="12.75">
      <c r="A54" s="1" t="s">
        <v>391</v>
      </c>
      <c r="B54" s="2">
        <v>305</v>
      </c>
      <c r="E54" s="2"/>
      <c r="F54" s="2"/>
      <c r="G54" s="2"/>
    </row>
    <row r="55" spans="5:15" ht="12.75">
      <c r="E55" s="2"/>
      <c r="F55" s="2"/>
      <c r="G55" s="2"/>
      <c r="O55" t="s">
        <v>472</v>
      </c>
    </row>
    <row r="56" spans="1:14" ht="12.75">
      <c r="A56" s="1" t="s">
        <v>493</v>
      </c>
      <c r="B56" s="13">
        <v>-10665.011744021438</v>
      </c>
      <c r="C56" s="13">
        <v>44.84409672035961</v>
      </c>
      <c r="D56">
        <v>-90.15037978299102</v>
      </c>
      <c r="E56" s="2">
        <f>AVERAGE(E9:E10)</f>
        <v>-11869.220007834156</v>
      </c>
      <c r="F56" s="2">
        <f>AVERAGE(F9:F10)</f>
        <v>-4522247.854595648</v>
      </c>
      <c r="G56" s="2">
        <f>AVERAGE(G9:G10)</f>
        <v>4467559.973320935</v>
      </c>
      <c r="H56" s="48">
        <f aca="true" t="shared" si="13" ref="H56:H65">K56*COS($G$2)+($G56-$G$9)*SIN($G$2)</f>
        <v>367668.9685489591</v>
      </c>
      <c r="I56" s="70">
        <f aca="true" t="shared" si="14" ref="I56:I65">SQRT(SUMSQ(L56,M56))</f>
        <v>4.1364314976241134E-10</v>
      </c>
      <c r="J56" s="6">
        <f aca="true" t="shared" si="15" ref="J56:J65">ATAN(I56/H56)</f>
        <v>1.1250423210718429E-15</v>
      </c>
      <c r="K56" s="48">
        <f aca="true" t="shared" si="16" ref="K56:K65">($E56-$E$9)*SIN($F$2)+($F56-$F$9)*COS($F$2)</f>
        <v>282149.9334764907</v>
      </c>
      <c r="L56" s="48">
        <f aca="true" t="shared" si="17" ref="L56:L65">($E56-$E$9)*COS($F$2)-($F56-$F$9)*SIN($F$2)</f>
        <v>2.6193447411060333E-10</v>
      </c>
      <c r="M56" s="48">
        <f aca="true" t="shared" si="18" ref="M56:M65">-K56*SIN($G$2)+($G56-$G$9)*COS($G$2)</f>
        <v>-3.2014213502407074E-10</v>
      </c>
      <c r="N56" s="2">
        <f aca="true" t="shared" si="19" ref="N56:N65">DEGREES(J56)</f>
        <v>6.446017677101868E-14</v>
      </c>
    </row>
    <row r="57" spans="1:15" ht="12.75">
      <c r="A57" s="1" t="s">
        <v>494</v>
      </c>
      <c r="B57" s="13">
        <v>-10661.952543240972</v>
      </c>
      <c r="C57" s="13">
        <v>44.814108483683064</v>
      </c>
      <c r="D57">
        <v>-90.13055634596189</v>
      </c>
      <c r="E57" s="2">
        <f aca="true" t="shared" si="20" ref="E57:G65">E$9*(1-$O57)+E$10*$O57</f>
        <v>-10309.942284347824</v>
      </c>
      <c r="F57" s="2">
        <f t="shared" si="20"/>
        <v>-4524599.3459260855</v>
      </c>
      <c r="G57" s="2">
        <f t="shared" si="20"/>
        <v>4465202.60433257</v>
      </c>
      <c r="H57" s="48">
        <f t="shared" si="13"/>
        <v>363992.27886346926</v>
      </c>
      <c r="I57" s="70">
        <f t="shared" si="14"/>
        <v>5.468113297845684E-10</v>
      </c>
      <c r="J57" s="6">
        <f t="shared" si="15"/>
        <v>1.5022607938056653E-15</v>
      </c>
      <c r="K57" s="48">
        <f t="shared" si="16"/>
        <v>279328.4341417251</v>
      </c>
      <c r="L57" s="48">
        <f t="shared" si="17"/>
        <v>-2.3283064365386963E-10</v>
      </c>
      <c r="M57" s="48">
        <f t="shared" si="18"/>
        <v>4.94765117764473E-10</v>
      </c>
      <c r="N57" s="2">
        <f t="shared" si="19"/>
        <v>8.607320321303743E-14</v>
      </c>
      <c r="O57">
        <v>0.495</v>
      </c>
    </row>
    <row r="58" spans="1:15" ht="12.75">
      <c r="A58" s="1" t="s">
        <v>495</v>
      </c>
      <c r="B58" s="13">
        <v>-10665.368544130586</v>
      </c>
      <c r="C58" s="13">
        <v>44.85009393848511</v>
      </c>
      <c r="D58">
        <v>-90.154346940366</v>
      </c>
      <c r="E58" s="2">
        <f t="shared" si="20"/>
        <v>-12181.075552531416</v>
      </c>
      <c r="F58" s="2">
        <f t="shared" si="20"/>
        <v>-4521777.556329561</v>
      </c>
      <c r="G58" s="2">
        <f t="shared" si="20"/>
        <v>4468031.447118608</v>
      </c>
      <c r="H58" s="48">
        <f t="shared" si="13"/>
        <v>368404.3064860569</v>
      </c>
      <c r="I58" s="70">
        <f t="shared" si="14"/>
        <v>2.3283064365386963E-10</v>
      </c>
      <c r="J58" s="6">
        <f t="shared" si="15"/>
        <v>6.319976166258025E-16</v>
      </c>
      <c r="K58" s="48">
        <f t="shared" si="16"/>
        <v>282714.23334344325</v>
      </c>
      <c r="L58" s="48">
        <f t="shared" si="17"/>
        <v>0</v>
      </c>
      <c r="M58" s="48">
        <f t="shared" si="18"/>
        <v>2.3283064365386963E-10</v>
      </c>
      <c r="N58" s="2">
        <f t="shared" si="19"/>
        <v>3.621079609498551E-14</v>
      </c>
      <c r="O58">
        <v>0.501</v>
      </c>
    </row>
    <row r="59" spans="1:15" ht="12.75">
      <c r="A59" s="1" t="s">
        <v>496</v>
      </c>
      <c r="B59" s="13">
        <v>-10665.640331085771</v>
      </c>
      <c r="C59" s="13">
        <v>44.85609101303314</v>
      </c>
      <c r="D59">
        <v>-90.15831492157378</v>
      </c>
      <c r="E59" s="2">
        <f t="shared" si="20"/>
        <v>-12492.931097228691</v>
      </c>
      <c r="F59" s="2">
        <f t="shared" si="20"/>
        <v>-4521307.258063474</v>
      </c>
      <c r="G59" s="2">
        <f t="shared" si="20"/>
        <v>4468502.920916281</v>
      </c>
      <c r="H59" s="48">
        <f t="shared" si="13"/>
        <v>369139.64442315465</v>
      </c>
      <c r="I59" s="70">
        <f t="shared" si="14"/>
        <v>4.799926683327254E-10</v>
      </c>
      <c r="J59" s="6">
        <f t="shared" si="15"/>
        <v>1.3003010529600472E-15</v>
      </c>
      <c r="K59" s="48">
        <f t="shared" si="16"/>
        <v>283278.53321039653</v>
      </c>
      <c r="L59" s="48">
        <f t="shared" si="17"/>
        <v>1.1641532182693481E-10</v>
      </c>
      <c r="M59" s="48">
        <f t="shared" si="18"/>
        <v>-4.656612873077393E-10</v>
      </c>
      <c r="N59" s="2">
        <f t="shared" si="19"/>
        <v>7.450176243102764E-14</v>
      </c>
      <c r="O59">
        <v>0.502</v>
      </c>
    </row>
    <row r="60" spans="1:15" ht="12.75">
      <c r="A60" s="1" t="s">
        <v>497</v>
      </c>
      <c r="B60" s="13">
        <v>-10665.928865861148</v>
      </c>
      <c r="C60" s="13">
        <v>44.86808473052695</v>
      </c>
      <c r="D60">
        <v>-90.16625335636202</v>
      </c>
      <c r="E60" s="2">
        <f t="shared" si="20"/>
        <v>-13116.642186623227</v>
      </c>
      <c r="F60" s="2">
        <f t="shared" si="20"/>
        <v>-4520366.661531299</v>
      </c>
      <c r="G60" s="2">
        <f t="shared" si="20"/>
        <v>4469445.868511627</v>
      </c>
      <c r="H60" s="48">
        <f t="shared" si="13"/>
        <v>370610.32029735064</v>
      </c>
      <c r="I60" s="70">
        <f t="shared" si="14"/>
        <v>0</v>
      </c>
      <c r="J60" s="6">
        <f t="shared" si="15"/>
        <v>0</v>
      </c>
      <c r="K60" s="48">
        <f t="shared" si="16"/>
        <v>284407.1329443023</v>
      </c>
      <c r="L60" s="48">
        <f t="shared" si="17"/>
        <v>0</v>
      </c>
      <c r="M60" s="48">
        <f t="shared" si="18"/>
        <v>0</v>
      </c>
      <c r="N60" s="2">
        <f t="shared" si="19"/>
        <v>0</v>
      </c>
      <c r="O60">
        <v>0.504</v>
      </c>
    </row>
    <row r="61" spans="1:15" ht="12.75">
      <c r="A61" s="249" t="s">
        <v>498</v>
      </c>
      <c r="B61" s="240">
        <v>-10665.949116196483</v>
      </c>
      <c r="C61" s="240">
        <v>44.87168273335498</v>
      </c>
      <c r="D61" s="241">
        <v>-90.16863552982004</v>
      </c>
      <c r="E61" s="242">
        <f t="shared" si="20"/>
        <v>-13303.755513441589</v>
      </c>
      <c r="F61" s="242">
        <f t="shared" si="20"/>
        <v>-4520084.482571647</v>
      </c>
      <c r="G61" s="242">
        <f t="shared" si="20"/>
        <v>4469728.752790231</v>
      </c>
      <c r="H61" s="243">
        <f t="shared" si="13"/>
        <v>371051.52305960964</v>
      </c>
      <c r="I61" s="250">
        <f t="shared" si="14"/>
        <v>2.3283064365386963E-10</v>
      </c>
      <c r="J61" s="251">
        <f t="shared" si="15"/>
        <v>6.274887156748452E-16</v>
      </c>
      <c r="K61" s="243">
        <f t="shared" si="16"/>
        <v>284745.7128644744</v>
      </c>
      <c r="L61" s="243">
        <f t="shared" si="17"/>
        <v>2.3283064365386963E-10</v>
      </c>
      <c r="M61" s="243">
        <f t="shared" si="18"/>
        <v>0</v>
      </c>
      <c r="N61" s="242">
        <f t="shared" si="19"/>
        <v>3.5952455100253133E-14</v>
      </c>
      <c r="O61" s="241">
        <v>0.5046</v>
      </c>
    </row>
    <row r="62" spans="1:15" ht="12.75">
      <c r="A62" s="1" t="s">
        <v>499</v>
      </c>
      <c r="B62" s="13">
        <v>-10665.949065279216</v>
      </c>
      <c r="C62" s="13">
        <v>44.872882056084485</v>
      </c>
      <c r="D62">
        <v>-90.16942965360664</v>
      </c>
      <c r="E62" s="2">
        <f t="shared" si="20"/>
        <v>-13366.126622381038</v>
      </c>
      <c r="F62" s="2">
        <f t="shared" si="20"/>
        <v>-4519990.42291843</v>
      </c>
      <c r="G62" s="2">
        <f t="shared" si="20"/>
        <v>4469823.047549766</v>
      </c>
      <c r="H62" s="48">
        <f t="shared" si="13"/>
        <v>371198.59064702876</v>
      </c>
      <c r="I62" s="70">
        <f t="shared" si="14"/>
        <v>0</v>
      </c>
      <c r="J62" s="6">
        <f t="shared" si="15"/>
        <v>0</v>
      </c>
      <c r="K62" s="48">
        <f t="shared" si="16"/>
        <v>284858.57283786463</v>
      </c>
      <c r="L62" s="48">
        <f t="shared" si="17"/>
        <v>0</v>
      </c>
      <c r="M62" s="48">
        <f t="shared" si="18"/>
        <v>0</v>
      </c>
      <c r="N62" s="2">
        <f t="shared" si="19"/>
        <v>0</v>
      </c>
      <c r="O62">
        <v>0.5048</v>
      </c>
    </row>
    <row r="63" spans="1:15" ht="12.75">
      <c r="A63" s="1" t="s">
        <v>500</v>
      </c>
      <c r="B63" s="13">
        <v>-10665.945613848045</v>
      </c>
      <c r="C63" s="13">
        <v>44.87408137303784</v>
      </c>
      <c r="D63">
        <v>-90.1702238103798</v>
      </c>
      <c r="E63" s="2">
        <f t="shared" si="20"/>
        <v>-13428.497731320487</v>
      </c>
      <c r="F63" s="2">
        <f t="shared" si="20"/>
        <v>-4519896.363265213</v>
      </c>
      <c r="G63" s="2">
        <f t="shared" si="20"/>
        <v>4469917.342309301</v>
      </c>
      <c r="H63" s="48">
        <f t="shared" si="13"/>
        <v>371345.6582344484</v>
      </c>
      <c r="I63" s="70">
        <f t="shared" si="14"/>
        <v>6.899510970763919E-10</v>
      </c>
      <c r="J63" s="6">
        <f t="shared" si="15"/>
        <v>1.857975397791759E-15</v>
      </c>
      <c r="K63" s="48">
        <f t="shared" si="16"/>
        <v>284971.4328112548</v>
      </c>
      <c r="L63" s="48">
        <f t="shared" si="17"/>
        <v>-3.2014213502407074E-10</v>
      </c>
      <c r="M63" s="48">
        <f t="shared" si="18"/>
        <v>6.111804395914078E-10</v>
      </c>
      <c r="N63" s="2">
        <f t="shared" si="19"/>
        <v>1.0645414873260804E-13</v>
      </c>
      <c r="O63">
        <v>0.505</v>
      </c>
    </row>
    <row r="64" spans="1:15" ht="12.75">
      <c r="A64" s="1" t="s">
        <v>501</v>
      </c>
      <c r="B64" s="13">
        <v>-10665.922108029947</v>
      </c>
      <c r="C64" s="13">
        <v>44.87707964013914</v>
      </c>
      <c r="D64">
        <v>-90.17220934664029</v>
      </c>
      <c r="E64" s="2">
        <f t="shared" si="20"/>
        <v>-13584.425503669103</v>
      </c>
      <c r="F64" s="2">
        <f t="shared" si="20"/>
        <v>-4519661.214132168</v>
      </c>
      <c r="G64" s="2">
        <f t="shared" si="20"/>
        <v>4470153.079208137</v>
      </c>
      <c r="H64" s="48">
        <f t="shared" si="13"/>
        <v>371713.3272029973</v>
      </c>
      <c r="I64" s="70">
        <f t="shared" si="14"/>
        <v>3.2014213502407074E-10</v>
      </c>
      <c r="J64" s="6">
        <f t="shared" si="15"/>
        <v>8.612608469893174E-16</v>
      </c>
      <c r="K64" s="48">
        <f t="shared" si="16"/>
        <v>285253.5827447318</v>
      </c>
      <c r="L64" s="48">
        <f t="shared" si="17"/>
        <v>0</v>
      </c>
      <c r="M64" s="48">
        <f t="shared" si="18"/>
        <v>-3.2014213502407074E-10</v>
      </c>
      <c r="N64" s="2">
        <f t="shared" si="19"/>
        <v>4.9346611592350463E-14</v>
      </c>
      <c r="O64">
        <v>0.5055</v>
      </c>
    </row>
    <row r="65" spans="1:15" ht="12.75">
      <c r="A65" s="1" t="s">
        <v>502</v>
      </c>
      <c r="B65" s="13">
        <v>-10665.87734901905</v>
      </c>
      <c r="C65" s="13">
        <v>44.880077871101406</v>
      </c>
      <c r="D65" s="13">
        <v>-90.174195089105</v>
      </c>
      <c r="E65" s="2">
        <f t="shared" si="20"/>
        <v>-13740.353276017748</v>
      </c>
      <c r="F65" s="2">
        <f t="shared" si="20"/>
        <v>-4519426.064999125</v>
      </c>
      <c r="G65" s="2">
        <f t="shared" si="20"/>
        <v>4470388.816106973</v>
      </c>
      <c r="H65" s="48">
        <f t="shared" si="13"/>
        <v>372080.99617154617</v>
      </c>
      <c r="I65" s="70">
        <f t="shared" si="14"/>
        <v>0</v>
      </c>
      <c r="J65" s="6">
        <f t="shared" si="15"/>
        <v>0</v>
      </c>
      <c r="K65" s="48">
        <f t="shared" si="16"/>
        <v>285535.7326782081</v>
      </c>
      <c r="L65" s="48">
        <f t="shared" si="17"/>
        <v>0</v>
      </c>
      <c r="M65" s="48">
        <f t="shared" si="18"/>
        <v>0</v>
      </c>
      <c r="N65" s="2">
        <f t="shared" si="19"/>
        <v>0</v>
      </c>
      <c r="O65">
        <v>0.506</v>
      </c>
    </row>
    <row r="66" spans="1:14" ht="12.75">
      <c r="A66" s="1"/>
      <c r="B66" s="13"/>
      <c r="C66" s="13"/>
      <c r="D66" s="13"/>
      <c r="E66" s="2"/>
      <c r="F66" s="2"/>
      <c r="G66" s="2"/>
      <c r="H66" s="48"/>
      <c r="I66" s="70"/>
      <c r="J66" s="6"/>
      <c r="K66" s="48"/>
      <c r="L66" s="48"/>
      <c r="M66" s="48"/>
      <c r="N66" s="2"/>
    </row>
    <row r="67" spans="1:15" ht="12.75">
      <c r="A67" s="1" t="s">
        <v>503</v>
      </c>
      <c r="B67" s="13">
        <v>4550.082185917534</v>
      </c>
      <c r="C67" s="13">
        <v>48.42888877816241</v>
      </c>
      <c r="D67" s="13">
        <v>-92.70228669954693</v>
      </c>
      <c r="E67" s="2">
        <f>E$9*(1-$O67)+E$10*$O67</f>
        <v>-200050.17997985883</v>
      </c>
      <c r="F67" s="2">
        <f>F$9*(1-$O67)+F$10*$O67</f>
        <v>-4238458.835319433</v>
      </c>
      <c r="G67" s="2">
        <f>G$9*(1-$O67)+G$10*$O67</f>
        <v>4752058.335964774</v>
      </c>
      <c r="H67" s="48">
        <f>K67*COS($G$2)+($G67-$G$9)*SIN($G$2)</f>
        <v>811389.1500877007</v>
      </c>
      <c r="I67" s="70">
        <f>SQRT(SUMSQ(L67,M67))</f>
        <v>0</v>
      </c>
      <c r="J67" s="6">
        <f>ATAN(I67/H67)</f>
        <v>0</v>
      </c>
      <c r="K67" s="48">
        <f>($E67-$E$9)*SIN($F$2)+($F67-$F$9)*COS($F$2)</f>
        <v>622661.7264554544</v>
      </c>
      <c r="L67" s="48">
        <f>($E67-$E$9)*COS($F$2)-($F67-$F$9)*SIN($F$2)</f>
        <v>0</v>
      </c>
      <c r="M67" s="48">
        <f>-K67*SIN($G$2)+($G67-$G$9)*COS($G$2)</f>
        <v>0</v>
      </c>
      <c r="N67" s="2">
        <f>DEGREES(J67)</f>
        <v>0</v>
      </c>
      <c r="O67">
        <v>1.1034234862</v>
      </c>
    </row>
    <row r="68" ht="12.75">
      <c r="H68" s="2">
        <f>H67-H112</f>
        <v>-4.188658203929663E-05</v>
      </c>
    </row>
    <row r="69" spans="1:14" ht="12.75">
      <c r="A69" t="s">
        <v>504</v>
      </c>
      <c r="B69" s="13">
        <v>152.38</v>
      </c>
      <c r="C69" s="13">
        <v>47.0138</v>
      </c>
      <c r="D69" s="13">
        <v>-91.6638</v>
      </c>
      <c r="E69" s="2">
        <v>-126494.62188893773</v>
      </c>
      <c r="F69" s="2">
        <v>-4354832.711905122</v>
      </c>
      <c r="G69" s="2">
        <v>4642922.416372985</v>
      </c>
      <c r="H69" s="48">
        <f>K69*COS($G$2)+($G69-$G$9)*SIN($G$2)</f>
        <v>635791.1549779335</v>
      </c>
      <c r="I69" s="70">
        <f>SQRT(SUMSQ(L69,M69))</f>
        <v>5412.23948320079</v>
      </c>
      <c r="J69" s="6">
        <f>ATAN(I69/H69)</f>
        <v>0.008512400203815182</v>
      </c>
      <c r="K69" s="48">
        <f>($E69-$E$9)*SIN($F$2)+($F69-$F$9)*COS($F$2)</f>
        <v>485023.6627971224</v>
      </c>
      <c r="L69" s="48">
        <f>($E69-$E$9)*COS($F$2)-($F69-$F$9)*SIN($F$2)</f>
        <v>-3010.433529058151</v>
      </c>
      <c r="M69" s="48">
        <f>-K69*SIN($G$2)+($G69-$G$9)*COS($G$2)</f>
        <v>4497.735673718504</v>
      </c>
      <c r="N69" s="2">
        <f>DEGREES(J69)</f>
        <v>0.4877246052049117</v>
      </c>
    </row>
    <row r="70" spans="1:15" ht="12.75">
      <c r="A70" s="1" t="s">
        <v>505</v>
      </c>
      <c r="B70">
        <v>-5162.41419422999</v>
      </c>
      <c r="C70" s="13">
        <v>47.0195609345991</v>
      </c>
      <c r="D70">
        <v>-91.65331154666735</v>
      </c>
      <c r="E70" s="2">
        <f>E$9*(1-$O70)+E$10*$O70</f>
        <v>-125579.37460139222</v>
      </c>
      <c r="F70" s="2">
        <f>F$9*(1-$O70)+F$10*$O70</f>
        <v>-4350765.610809403</v>
      </c>
      <c r="G70" s="2">
        <f>G$9*(1-$O70)+G$10*$O70</f>
        <v>4639470.844658048</v>
      </c>
      <c r="H70" s="48">
        <f>K70*COS($G$2)+($G70-$G$9)*SIN($G$2)</f>
        <v>635791.155015394</v>
      </c>
      <c r="I70" s="70">
        <f>SQRT(SUMSQ(L70,M70))</f>
        <v>5.342753065833187E-10</v>
      </c>
      <c r="J70" s="6">
        <f>ATAN(I70/H70)</f>
        <v>8.403314553351764E-16</v>
      </c>
      <c r="K70" s="48">
        <f>($E70-$E$9)*SIN($F$2)+($F70-$F$9)*COS($F$2)</f>
        <v>487907.4587134945</v>
      </c>
      <c r="L70" s="48">
        <f>($E70-$E$9)*COS($F$2)-($F70-$F$9)*SIN($F$2)</f>
        <v>-2.6193447411060333E-10</v>
      </c>
      <c r="M70" s="48">
        <f>-K70*SIN($G$2)+($G70-$G$9)*COS($G$2)</f>
        <v>4.656612873077393E-10</v>
      </c>
      <c r="N70" s="2">
        <f>DEGREES(J70)</f>
        <v>4.814744578279185E-14</v>
      </c>
      <c r="O70">
        <v>0.864624444</v>
      </c>
    </row>
    <row r="73" spans="1:15" ht="12.75">
      <c r="A73" s="1" t="s">
        <v>506</v>
      </c>
      <c r="B73">
        <v>-4036.5175012154505</v>
      </c>
      <c r="C73" s="13">
        <v>42.494576111876114</v>
      </c>
      <c r="D73">
        <v>-88.66278275800858</v>
      </c>
      <c r="E73" s="2">
        <f>E$9*(1-$O73)+E$10*$O73</f>
        <v>109847.99908750907</v>
      </c>
      <c r="F73" s="2">
        <f>F$9*(1-$O73)+F$10*$O73</f>
        <v>-4705805.267849523</v>
      </c>
      <c r="G73" s="2">
        <f>G$9*(1-$O73)+G$10*$O73</f>
        <v>4283543.750089135</v>
      </c>
      <c r="H73" s="48">
        <f>K73*COS($G$2)+($G73-$G$9)*SIN($G$2)</f>
        <v>80666.57169964175</v>
      </c>
      <c r="I73" s="70">
        <f>SQRT(SUMSQ(L73,M73))</f>
        <v>3.164205134681038E-10</v>
      </c>
      <c r="J73" s="6">
        <f>ATAN(I73/H73)</f>
        <v>3.9225729667337416E-15</v>
      </c>
      <c r="K73" s="48">
        <f>($E73-$E$9)*SIN($F$2)+($F73-$F$9)*COS($F$2)</f>
        <v>61903.69540474191</v>
      </c>
      <c r="L73" s="48">
        <f>($E73-$E$9)*COS($F$2)-($F73-$F$9)*SIN($F$2)</f>
        <v>-4.729372449219227E-11</v>
      </c>
      <c r="M73" s="48">
        <f>-K73*SIN($G$2)+($G73-$G$9)*COS($G$2)</f>
        <v>3.128661774098873E-10</v>
      </c>
      <c r="N73" s="2">
        <f>DEGREES(J73)</f>
        <v>2.2474687582595367E-13</v>
      </c>
      <c r="O73">
        <v>0.1097</v>
      </c>
    </row>
    <row r="75" spans="1:13" ht="12.75">
      <c r="A75" t="s">
        <v>507</v>
      </c>
      <c r="B75" s="2">
        <v>214</v>
      </c>
      <c r="C75" s="13">
        <v>43.0722</v>
      </c>
      <c r="D75" s="13">
        <v>-89.3822</v>
      </c>
      <c r="E75">
        <v>50317.69660021116</v>
      </c>
      <c r="F75" s="2">
        <v>-4666364.387190626</v>
      </c>
      <c r="G75" s="2">
        <v>4333510.604456918</v>
      </c>
      <c r="H75" s="48">
        <f>K75*COS($G$2)+($G75-$G$9)*SIN($G$2)</f>
        <v>163175.43221214064</v>
      </c>
      <c r="I75" s="70">
        <f>SQRT(SUMSQ(L75,M75))</f>
        <v>28078.71887602385</v>
      </c>
      <c r="J75" s="6">
        <f>ATAN(I75/H75)</f>
        <v>0.17040800372279358</v>
      </c>
      <c r="K75" s="48">
        <f>($E75-$E$9)*SIN($F$2)+($F75-$F$9)*COS($F$2)</f>
        <v>127673.39493596135</v>
      </c>
      <c r="L75" s="48">
        <f>($E75-$E$9)*COS($F$2)-($F75-$F$9)*SIN($F$2)</f>
        <v>-27817.020058799113</v>
      </c>
      <c r="M75" s="48">
        <f>-K75*SIN($G$2)+($G75-$G$9)*COS($G$2)</f>
        <v>-3824.6370765270985</v>
      </c>
    </row>
    <row r="76" spans="1:15" ht="12.75">
      <c r="A76" s="1" t="s">
        <v>508</v>
      </c>
      <c r="B76">
        <v>-7267.233857868239</v>
      </c>
      <c r="C76" s="13">
        <v>43.17151528583768</v>
      </c>
      <c r="D76">
        <v>-89.07832850526398</v>
      </c>
      <c r="E76" s="2">
        <f>E$9*(1-$O76)+E$10*$O76</f>
        <v>74856.12295253438</v>
      </c>
      <c r="F76" s="2">
        <f>F$9*(1-$O76)+F$10*$O76</f>
        <v>-4653035.262783891</v>
      </c>
      <c r="G76" s="2">
        <f>G$9*(1-$O76)+G$10*$O76</f>
        <v>4336445.656146561</v>
      </c>
      <c r="H76" s="48">
        <f>K76*COS($G$2)+($G76-$G$9)*SIN($G$2)</f>
        <v>163175.4590668881</v>
      </c>
      <c r="I76" s="70">
        <f>SQRT(SUMSQ(L76,M76))</f>
        <v>1.0186340659856796E-10</v>
      </c>
      <c r="J76" s="6">
        <f>ATAN(I76/H76)</f>
        <v>6.242569022392797E-16</v>
      </c>
      <c r="K76" s="48">
        <f>($E76-$E$9)*SIN($F$2)+($F76-$F$9)*COS($F$2)</f>
        <v>125221.18769614781</v>
      </c>
      <c r="L76" s="48">
        <f>($E76-$E$9)*COS($F$2)-($F76-$F$9)*SIN($F$2)</f>
        <v>-1.0186340659856796E-10</v>
      </c>
      <c r="M76" s="48">
        <f>-K76*SIN($G$2)+($G76-$G$9)*COS($G$2)</f>
        <v>0</v>
      </c>
      <c r="N76" s="2">
        <f>DEGREES(J76)</f>
        <v>3.5767285830221556E-14</v>
      </c>
      <c r="O76">
        <v>0.2219054</v>
      </c>
    </row>
    <row r="77" ht="12.75">
      <c r="H77" s="2"/>
    </row>
    <row r="78" spans="1:16" ht="12.75">
      <c r="A78" s="1" t="s">
        <v>509</v>
      </c>
      <c r="B78" s="13">
        <v>195.64</v>
      </c>
      <c r="C78" s="13">
        <v>41.84768888888889</v>
      </c>
      <c r="D78">
        <v>-88.2738138888889</v>
      </c>
      <c r="E78" s="2">
        <v>143339.078991376</v>
      </c>
      <c r="F78" s="2">
        <v>-4756288.581176385</v>
      </c>
      <c r="G78" s="2">
        <v>4233147.1961614</v>
      </c>
      <c r="H78" s="48">
        <f>K78*COS($G$2)+($G78-$G$9)*SIN($G$2)</f>
        <v>1863.0101854279692</v>
      </c>
      <c r="I78" s="70">
        <f>SQRT(SUMSQ(L78,M78))</f>
        <v>169.40499418878974</v>
      </c>
      <c r="J78" s="6">
        <f>ATAN(I78/H78)</f>
        <v>0.09068141171530061</v>
      </c>
      <c r="K78" s="48">
        <f>($E78-$E$9)*SIN($F$2)+($F78-$F$9)*COS($F$2)</f>
        <v>1321.3779314433896</v>
      </c>
      <c r="L78" s="48">
        <f>($E78-$E$9)*COS($F$2)-($F78-$F$9)*SIN($F$2)</f>
        <v>12.92864474297312</v>
      </c>
      <c r="M78" s="48">
        <f>-K78*SIN($G$2)+($G78-$G$9)*COS($G$2)</f>
        <v>168.91092978612687</v>
      </c>
      <c r="P78" s="1" t="s">
        <v>510</v>
      </c>
    </row>
    <row r="79" spans="1:16" ht="12.75">
      <c r="A79" s="1" t="s">
        <v>511</v>
      </c>
      <c r="B79" s="13">
        <v>45.69208265747875</v>
      </c>
      <c r="C79" s="13">
        <v>41.84733132812955</v>
      </c>
      <c r="D79">
        <v>-88.27463376981427</v>
      </c>
      <c r="E79" s="2">
        <f aca="true" t="shared" si="21" ref="E79:G82">E$9*(1-$O79)+E$10*$O79</f>
        <v>143268.4529085203</v>
      </c>
      <c r="F79" s="2">
        <f t="shared" si="21"/>
        <v>-4756205.466759343</v>
      </c>
      <c r="G79" s="2">
        <f t="shared" si="21"/>
        <v>4233017.573624177</v>
      </c>
      <c r="H79" s="48">
        <f>K79*COS($G$2)+($G79-$G$9)*SIN($G$2)</f>
        <v>1863.0102831685883</v>
      </c>
      <c r="I79" s="70">
        <f>SQRT(SUMSQ(L79,M79))</f>
        <v>7.295367377968208E-10</v>
      </c>
      <c r="J79" s="6">
        <f>ATAN(I79/H79)</f>
        <v>3.915902903960532E-13</v>
      </c>
      <c r="K79" s="48">
        <f>($E79-$E$9)*SIN($F$2)+($F79-$F$9)*COS($F$2)</f>
        <v>1429.6779778190496</v>
      </c>
      <c r="L79" s="48">
        <f>($E79-$E$9)*COS($F$2)-($F79-$F$9)*SIN($F$2)</f>
        <v>-4.030198397231288E-10</v>
      </c>
      <c r="M79" s="48">
        <f>-K79*SIN($G$2)+($G79-$G$9)*COS($G$2)</f>
        <v>6.081108949729241E-10</v>
      </c>
      <c r="N79" s="2">
        <f>DEGREES(J79)</f>
        <v>2.243647093799614E-11</v>
      </c>
      <c r="O79">
        <v>0.002533543</v>
      </c>
      <c r="P79">
        <v>78.8326976905429</v>
      </c>
    </row>
    <row r="80" spans="1:16" ht="12.75">
      <c r="A80" s="1" t="s">
        <v>512</v>
      </c>
      <c r="B80" s="13">
        <v>46.69574112445116</v>
      </c>
      <c r="C80" s="13">
        <v>41.84718908098139</v>
      </c>
      <c r="D80">
        <v>-88.27454941852409</v>
      </c>
      <c r="E80" s="2">
        <f t="shared" si="21"/>
        <v>143275.7949236091</v>
      </c>
      <c r="F80" s="2">
        <f t="shared" si="21"/>
        <v>-4756216.5389914205</v>
      </c>
      <c r="G80" s="2">
        <f t="shared" si="21"/>
        <v>4233006.473716558</v>
      </c>
      <c r="H80" s="48">
        <f>K80*COS($G$2)+($G80-$G$9)*SIN($G$2)</f>
        <v>1845.698222115709</v>
      </c>
      <c r="I80" s="70">
        <f>SQRT(SUMSQ(L80,M80))</f>
        <v>4.458220317903931E-11</v>
      </c>
      <c r="J80" s="6">
        <f>ATAN(I80/H80)</f>
        <v>2.4154654669350597E-14</v>
      </c>
      <c r="K80" s="48">
        <f>($E80-$E$9)*SIN($F$2)+($F80-$F$9)*COS($F$2)</f>
        <v>1416.3926660519342</v>
      </c>
      <c r="L80" s="48">
        <f>($E80-$E$9)*COS($F$2)-($F80-$F$9)*SIN($F$2)</f>
        <v>-4.445155354915187E-11</v>
      </c>
      <c r="M80" s="48">
        <f>-K80*SIN($G$2)+($G80-$G$9)*COS($G$2)</f>
        <v>-3.410605131648481E-12</v>
      </c>
      <c r="N80" s="2">
        <f>DEGREES(J80)</f>
        <v>1.3839597681497562E-12</v>
      </c>
      <c r="O80" s="6">
        <v>0.00251</v>
      </c>
      <c r="P80">
        <v>82.55770370206633</v>
      </c>
    </row>
    <row r="81" spans="1:16" ht="12.75">
      <c r="A81" s="1" t="s">
        <v>513</v>
      </c>
      <c r="B81" s="13">
        <v>44.64950925204903</v>
      </c>
      <c r="C81" s="13">
        <v>41.847479097657164</v>
      </c>
      <c r="D81">
        <v>-88.27472139626292</v>
      </c>
      <c r="E81" s="2">
        <f t="shared" si="21"/>
        <v>143260.82585746364</v>
      </c>
      <c r="F81" s="2">
        <f t="shared" si="21"/>
        <v>-4756193.964674648</v>
      </c>
      <c r="G81" s="2">
        <f t="shared" si="21"/>
        <v>4233029.104458846</v>
      </c>
      <c r="H81" s="48">
        <f>K81*COS($G$2)+($G81-$G$9)*SIN($G$2)</f>
        <v>1880.994443096612</v>
      </c>
      <c r="I81" s="70">
        <f>SQRT(SUMSQ(L81,M81))</f>
        <v>3.85026185969266E-10</v>
      </c>
      <c r="J81" s="6">
        <f>ATAN(I81/H81)</f>
        <v>2.0469288858472733E-13</v>
      </c>
      <c r="K81" s="48">
        <f>($E81-$E$9)*SIN($F$2)+($F81-$F$9)*COS($F$2)</f>
        <v>1443.479059666036</v>
      </c>
      <c r="L81" s="48">
        <f>($E81-$E$9)*COS($F$2)-($F81-$F$9)*SIN($F$2)</f>
        <v>2.1407231542980298E-10</v>
      </c>
      <c r="M81" s="48">
        <f>-K81*SIN($G$2)+($G81-$G$9)*COS($G$2)</f>
        <v>-3.200284481863491E-10</v>
      </c>
      <c r="N81" s="2">
        <f>DEGREES(J81)</f>
        <v>1.1728038612246462E-11</v>
      </c>
      <c r="O81" s="6">
        <v>0.002558</v>
      </c>
      <c r="P81" s="2">
        <v>78.88404534637542</v>
      </c>
    </row>
    <row r="82" spans="1:16" ht="12.75">
      <c r="A82" s="1" t="s">
        <v>514</v>
      </c>
      <c r="B82" s="13">
        <v>45.20367779675871</v>
      </c>
      <c r="C82" s="13">
        <v>41.84740055148259</v>
      </c>
      <c r="D82">
        <v>-88.27467481879444</v>
      </c>
      <c r="E82" s="2">
        <f t="shared" si="21"/>
        <v>143264.8799795447</v>
      </c>
      <c r="F82" s="2">
        <f t="shared" si="21"/>
        <v>-4756200.078552107</v>
      </c>
      <c r="G82" s="2">
        <f t="shared" si="21"/>
        <v>4233022.975299477</v>
      </c>
      <c r="H82" s="48">
        <f>K82*COS($G$2)+($G82-$G$9)*SIN($G$2)</f>
        <v>1871.435049914311</v>
      </c>
      <c r="I82" s="70">
        <f>SQRT(SUMSQ(L82,M82))</f>
        <v>4.8863920099890235E-11</v>
      </c>
      <c r="J82" s="6">
        <f>ATAN(I82/H82)</f>
        <v>2.6110401267801202E-14</v>
      </c>
      <c r="K82" s="48">
        <f>($E82-$E$9)*SIN($F$2)+($F82-$F$9)*COS($F$2)</f>
        <v>1436.1431613954069</v>
      </c>
      <c r="L82" s="48">
        <f>($E82-$E$9)*COS($F$2)-($F82-$F$9)*SIN($F$2)</f>
        <v>4.3996806198265404E-11</v>
      </c>
      <c r="M82" s="48">
        <f>-K82*SIN($G$2)+($G82-$G$9)*COS($G$2)</f>
        <v>2.1259438653942198E-11</v>
      </c>
      <c r="N82" s="2">
        <f>DEGREES(J82)</f>
        <v>1.4960157940380427E-12</v>
      </c>
      <c r="O82" s="6">
        <v>0.002545</v>
      </c>
      <c r="P82" s="2">
        <v>78.34619133312479</v>
      </c>
    </row>
    <row r="84" spans="1:13" ht="12.75">
      <c r="A84" s="1" t="s">
        <v>515</v>
      </c>
      <c r="B84" s="13">
        <v>197</v>
      </c>
      <c r="C84" s="13">
        <v>41.8539</v>
      </c>
      <c r="D84" s="13">
        <v>-88.2785</v>
      </c>
      <c r="E84" s="2">
        <v>142936.2735398901</v>
      </c>
      <c r="F84" s="2">
        <v>-4755841.217985804</v>
      </c>
      <c r="G84" s="2">
        <v>4233661.993461437</v>
      </c>
      <c r="H84" s="48">
        <f>K84*COS($G$2)+($G84-$G$9)*SIN($G$2)</f>
        <v>2650.02885426752</v>
      </c>
      <c r="I84" s="70">
        <f>SQRT(SUMSQ(L84,M84))</f>
        <v>197.22828744210148</v>
      </c>
      <c r="J84" s="6">
        <f>ATAN(I84/H84)</f>
        <v>0.07428799824107338</v>
      </c>
      <c r="K84" s="48">
        <f>($E84-$E$9)*SIN($F$2)+($F84-$F$9)*COS($F$2)</f>
        <v>1916.8259653691798</v>
      </c>
      <c r="L84" s="48">
        <f>($E84-$E$9)*COS($F$2)-($F84-$F$9)*SIN($F$2)</f>
        <v>-75.54561664175151</v>
      </c>
      <c r="M84" s="48">
        <f>-K84*SIN($G$2)+($G84-$G$9)*COS($G$2)</f>
        <v>182.1863254296593</v>
      </c>
    </row>
    <row r="85" spans="1:15" ht="12.75">
      <c r="A85" s="1" t="s">
        <v>516</v>
      </c>
      <c r="B85" s="13">
        <v>27.307004273869097</v>
      </c>
      <c r="C85" s="13">
        <v>41.84993819394087</v>
      </c>
      <c r="D85" s="13">
        <v>-88.27617969103255</v>
      </c>
      <c r="E85" s="2">
        <f aca="true" t="shared" si="22" ref="E85:G88">E$9*(1-$O85)+E$10*$O85</f>
        <v>143133.90065077186</v>
      </c>
      <c r="F85" s="2">
        <f t="shared" si="22"/>
        <v>-4756002.553280351</v>
      </c>
      <c r="G85" s="2">
        <f t="shared" si="22"/>
        <v>4233220.994294499</v>
      </c>
      <c r="H85" s="48">
        <f>K85*COS($G$2)+($G85-$G$9)*SIN($G$2)</f>
        <v>2180.2769834951864</v>
      </c>
      <c r="I85" s="70">
        <f>SQRT(SUMSQ(L85,M85))</f>
        <v>1.469372801084645E-10</v>
      </c>
      <c r="J85" s="6">
        <f>ATAN(I85/H85)</f>
        <v>6.739385923017469E-14</v>
      </c>
      <c r="K85" s="48">
        <f>($E85-$E$9)*SIN($F$2)+($F85-$F$9)*COS($F$2)</f>
        <v>1673.1491055155748</v>
      </c>
      <c r="L85" s="48">
        <f>($E85-$E$9)*COS($F$2)-($F85-$F$9)*SIN($F$2)</f>
        <v>3.979039320256561E-12</v>
      </c>
      <c r="M85" s="48">
        <f>-K85*SIN($G$2)+($G85-$G$9)*COS($G$2)</f>
        <v>-1.468833943363279E-10</v>
      </c>
      <c r="N85" s="2">
        <f>DEGREES(J85)</f>
        <v>3.861383698987797E-12</v>
      </c>
      <c r="O85" s="6">
        <v>0.002965</v>
      </c>
    </row>
    <row r="86" spans="1:16" ht="12.75">
      <c r="A86" s="1" t="s">
        <v>517</v>
      </c>
      <c r="B86" s="13">
        <v>19.471259555779397</v>
      </c>
      <c r="C86" s="13">
        <v>41.851049920946984</v>
      </c>
      <c r="D86" s="13">
        <v>-88.27683900852082</v>
      </c>
      <c r="E86" s="2">
        <f t="shared" si="22"/>
        <v>143076.51923054756</v>
      </c>
      <c r="F86" s="2">
        <f t="shared" si="22"/>
        <v>-4755916.01839939</v>
      </c>
      <c r="G86" s="2">
        <f t="shared" si="22"/>
        <v>4233307.745473271</v>
      </c>
      <c r="H86" s="48">
        <f>K86*COS($G$2)+($G86-$G$9)*SIN($G$2)</f>
        <v>2315.579163921612</v>
      </c>
      <c r="I86" s="70">
        <f>SQRT(SUMSQ(L86,M86))</f>
        <v>1.75267204057335E-10</v>
      </c>
      <c r="J86" s="6">
        <f>ATAN(I86/H86)</f>
        <v>7.569043925948379E-14</v>
      </c>
      <c r="K86" s="48">
        <f>($E86-$E$9)*SIN($F$2)+($F86-$F$9)*COS($F$2)</f>
        <v>1776.9802810351684</v>
      </c>
      <c r="L86" s="48">
        <f>($E86-$E$9)*COS($F$2)-($F86-$F$9)*SIN($F$2)</f>
        <v>1.7053025658242404E-10</v>
      </c>
      <c r="M86" s="48">
        <f>-K86*SIN($G$2)+($G86-$G$9)*COS($G$2)</f>
        <v>-4.0472514228895307E-11</v>
      </c>
      <c r="N86" s="2">
        <f>DEGREES(J86)</f>
        <v>4.336742719059733E-12</v>
      </c>
      <c r="O86" s="6">
        <v>0.003149</v>
      </c>
      <c r="P86" s="2"/>
    </row>
    <row r="87" spans="1:16" ht="12.75">
      <c r="A87" s="1" t="s">
        <v>518</v>
      </c>
      <c r="B87" s="13">
        <v>15.128765924833715</v>
      </c>
      <c r="C87" s="13">
        <v>41.851666203851735</v>
      </c>
      <c r="D87" s="13">
        <v>-88.27720451027062</v>
      </c>
      <c r="E87" s="2">
        <f t="shared" si="22"/>
        <v>143044.70996498843</v>
      </c>
      <c r="F87" s="2">
        <f t="shared" si="22"/>
        <v>-4755868.04797625</v>
      </c>
      <c r="G87" s="2">
        <f t="shared" si="22"/>
        <v>4233355.835800634</v>
      </c>
      <c r="H87" s="48">
        <f>K87*COS($G$2)+($G87-$G$9)*SIN($G$2)</f>
        <v>2390.5836335053064</v>
      </c>
      <c r="I87" s="70">
        <f>SQRT(SUMSQ(L87,M87))</f>
        <v>5.116766592592339E-11</v>
      </c>
      <c r="J87" s="6">
        <f>ATAN(I87/H87)</f>
        <v>2.1403838463871845E-14</v>
      </c>
      <c r="K87" s="48">
        <f>($E87-$E$9)*SIN($F$2)+($F87-$F$9)*COS($F$2)</f>
        <v>1834.5388674640935</v>
      </c>
      <c r="L87" s="48">
        <f>($E87-$E$9)*COS($F$2)-($F87-$F$9)*SIN($F$2)</f>
        <v>-2.7057467377744615E-11</v>
      </c>
      <c r="M87" s="48">
        <f>-K87*SIN($G$2)+($G87-$G$9)*COS($G$2)</f>
        <v>4.3428372009657323E-11</v>
      </c>
      <c r="N87" s="2">
        <f>DEGREES(J87)</f>
        <v>1.226349609359632E-12</v>
      </c>
      <c r="O87" s="6">
        <v>0.003251</v>
      </c>
      <c r="P87" s="2"/>
    </row>
    <row r="88" spans="1:15" ht="12.75">
      <c r="A88" s="1" t="s">
        <v>519</v>
      </c>
      <c r="B88" s="13">
        <v>-0.616026883944869</v>
      </c>
      <c r="C88" s="13">
        <v>41.85390173661638</v>
      </c>
      <c r="D88" s="13">
        <v>-88.27853041301444</v>
      </c>
      <c r="E88" s="2">
        <f t="shared" si="22"/>
        <v>142929.32341345045</v>
      </c>
      <c r="F88" s="2">
        <f t="shared" si="22"/>
        <v>-4755694.037617797</v>
      </c>
      <c r="G88" s="2">
        <f t="shared" si="22"/>
        <v>4233530.2811057735</v>
      </c>
      <c r="H88" s="48">
        <f>K88*COS($G$2)+($G88-$G$9)*SIN($G$2)</f>
        <v>2662.6586702323143</v>
      </c>
      <c r="I88" s="70">
        <f>SQRT(SUMSQ(L88,M88))</f>
        <v>4.142541984258339E-10</v>
      </c>
      <c r="J88" s="6">
        <f>ATAN(I88/H88)</f>
        <v>1.5557915967865707E-13</v>
      </c>
      <c r="K88" s="48">
        <f>($E88-$E$9)*SIN($F$2)+($F88-$F$9)*COS($F$2)</f>
        <v>2043.3298182371086</v>
      </c>
      <c r="L88" s="48">
        <f>($E88-$E$9)*COS($F$2)-($F88-$F$9)*SIN($F$2)</f>
        <v>2.474962457199581E-10</v>
      </c>
      <c r="M88" s="48">
        <f>-K88*SIN($G$2)+($G88-$G$9)*COS($G$2)</f>
        <v>3.3219293982256204E-10</v>
      </c>
      <c r="N88" s="2">
        <f>DEGREES(J88)</f>
        <v>8.914029229778963E-12</v>
      </c>
      <c r="O88" s="6">
        <v>0.003621</v>
      </c>
    </row>
    <row r="90" spans="1:13" ht="12.75">
      <c r="A90" s="1" t="s">
        <v>520</v>
      </c>
      <c r="B90" s="13">
        <v>200</v>
      </c>
      <c r="C90" s="13">
        <v>42.0064</v>
      </c>
      <c r="D90" s="13">
        <v>-88.3701</v>
      </c>
      <c r="E90" s="2">
        <v>135010.94075926745</v>
      </c>
      <c r="F90" s="2">
        <v>-4744751.422525434</v>
      </c>
      <c r="G90" s="2">
        <v>4246265.93107279</v>
      </c>
      <c r="H90" s="48">
        <f>K90*COS($G$2)+($G90-$G$9)*SIN($G$2)</f>
        <v>21185.04002550217</v>
      </c>
      <c r="I90" s="70">
        <f>SQRT(SUMSQ(L90,M90))</f>
        <v>1248.9106973697044</v>
      </c>
      <c r="J90" s="6">
        <f>ATAN(I90/H90)</f>
        <v>0.05888432997805284</v>
      </c>
      <c r="K90" s="48">
        <f>($E90-$E$9)*SIN($F$2)+($F90-$F$9)*COS($F$2)</f>
        <v>15539.140974923681</v>
      </c>
      <c r="L90" s="48">
        <f>($E90-$E$9)*COS($F$2)-($F90-$F$9)*SIN($F$2)</f>
        <v>-551.9874461752843</v>
      </c>
      <c r="M90" s="48">
        <f>-K90*SIN($G$2)+($G90-$G$9)*COS($G$2)</f>
        <v>1120.3070067036842</v>
      </c>
    </row>
    <row r="91" spans="1:15" ht="12.75">
      <c r="A91" s="1" t="s">
        <v>521</v>
      </c>
      <c r="B91" s="13">
        <v>-1047.3496779492125</v>
      </c>
      <c r="C91" s="13">
        <v>42.00639471101569</v>
      </c>
      <c r="D91" s="13">
        <v>-88.36921602711345</v>
      </c>
      <c r="E91" s="2">
        <f aca="true" t="shared" si="23" ref="E91:G92">E$9*(1-$O91)+E$10*$O91</f>
        <v>135057.77760974673</v>
      </c>
      <c r="F91" s="2">
        <f t="shared" si="23"/>
        <v>-4743823.239083488</v>
      </c>
      <c r="G91" s="2">
        <f t="shared" si="23"/>
        <v>4245430.751232839</v>
      </c>
      <c r="H91" s="48">
        <f>K91*COS($G$2)+($G91-$G$9)*SIN($G$2)</f>
        <v>21223.323540520563</v>
      </c>
      <c r="I91" s="70">
        <f>SQRT(SUMSQ(L91,M91))</f>
        <v>2.140561040268412E-10</v>
      </c>
      <c r="J91" s="6">
        <f>ATAN(I91/H91)</f>
        <v>1.0085889875737664E-14</v>
      </c>
      <c r="K91" s="48">
        <f>($E91-$E$9)*SIN($F$2)+($F91-$F$9)*COS($F$2)</f>
        <v>16286.822759997216</v>
      </c>
      <c r="L91" s="48">
        <f>($E91-$E$9)*COS($F$2)-($F91-$F$9)*SIN($F$2)</f>
        <v>1.8826540326699615E-10</v>
      </c>
      <c r="M91" s="48">
        <f>-K91*SIN($G$2)+($G91-$G$9)*COS($G$2)</f>
        <v>1.0186340659856796E-10</v>
      </c>
      <c r="N91" s="2">
        <f>DEGREES(J91)</f>
        <v>5.778789225134945E-13</v>
      </c>
      <c r="O91" s="6">
        <v>0.028862</v>
      </c>
    </row>
    <row r="92" spans="1:15" ht="12.75">
      <c r="A92" s="1" t="s">
        <v>522</v>
      </c>
      <c r="B92" s="13">
        <v>-1049.5716134300455</v>
      </c>
      <c r="C92" s="13">
        <v>42.00672696389074</v>
      </c>
      <c r="D92" s="13">
        <v>-88.36941413523618</v>
      </c>
      <c r="E92" s="2">
        <f t="shared" si="23"/>
        <v>135040.62555478836</v>
      </c>
      <c r="F92" s="2">
        <f t="shared" si="23"/>
        <v>-4743797.372678853</v>
      </c>
      <c r="G92" s="2">
        <f t="shared" si="23"/>
        <v>4245456.682291711</v>
      </c>
      <c r="H92" s="48">
        <f>K92*COS($G$2)+($G92-$G$9)*SIN($G$2)</f>
        <v>21263.767127060724</v>
      </c>
      <c r="I92" s="70">
        <f>SQRT(SUMSQ(L92,M92))</f>
        <v>3.83444519481079E-10</v>
      </c>
      <c r="J92" s="6">
        <f>ATAN(I92/H92)</f>
        <v>1.8032765181720756E-14</v>
      </c>
      <c r="K92" s="48">
        <f>($E92-$E$9)*SIN($F$2)+($F92-$F$9)*COS($F$2)</f>
        <v>16317.85925267972</v>
      </c>
      <c r="L92" s="48">
        <f>($E92-$E$9)*COS($F$2)-($F92-$F$9)*SIN($F$2)</f>
        <v>2.2919266484677792E-10</v>
      </c>
      <c r="M92" s="48">
        <f>-K92*SIN($G$2)+($G92-$G$9)*COS($G$2)</f>
        <v>-3.0740920919924974E-10</v>
      </c>
      <c r="N92" s="2">
        <f>DEGREES(J92)</f>
        <v>1.0332013378630602E-12</v>
      </c>
      <c r="O92" s="6">
        <v>0.028917</v>
      </c>
    </row>
    <row r="93" spans="1:15" ht="12.75">
      <c r="A93" s="1"/>
      <c r="B93" s="13"/>
      <c r="C93" s="13"/>
      <c r="D93" s="13"/>
      <c r="E93" s="2"/>
      <c r="F93" s="2"/>
      <c r="G93" s="2"/>
      <c r="H93" s="48"/>
      <c r="I93" s="70"/>
      <c r="J93" s="6"/>
      <c r="K93" s="48"/>
      <c r="L93" s="48"/>
      <c r="M93" s="48"/>
      <c r="N93" s="2"/>
      <c r="O93" s="6"/>
    </row>
    <row r="94" spans="1:5" ht="12.75">
      <c r="A94" s="1" t="s">
        <v>523</v>
      </c>
      <c r="B94" s="1" t="s">
        <v>524</v>
      </c>
      <c r="C94" s="1" t="s">
        <v>15</v>
      </c>
      <c r="D94" s="252" t="s">
        <v>16</v>
      </c>
      <c r="E94" s="1" t="s">
        <v>11</v>
      </c>
    </row>
    <row r="95" spans="1:7" ht="12.75">
      <c r="A95" s="1" t="s">
        <v>520</v>
      </c>
      <c r="B95" s="1" t="s">
        <v>521</v>
      </c>
      <c r="C95" s="26">
        <v>-0.586990847969787</v>
      </c>
      <c r="D95" s="26">
        <v>73.21848672171653</v>
      </c>
      <c r="E95" s="26">
        <v>-1247.350097675265</v>
      </c>
      <c r="F95" s="26"/>
      <c r="G95" s="26"/>
    </row>
    <row r="96" spans="1:7" ht="12.75">
      <c r="A96" s="1"/>
      <c r="D96" s="6"/>
      <c r="E96" s="26"/>
      <c r="F96" s="26"/>
      <c r="G96" s="26"/>
    </row>
    <row r="97" spans="1:13" ht="12.75">
      <c r="A97" s="1" t="s">
        <v>525</v>
      </c>
      <c r="B97" s="13">
        <v>177.35</v>
      </c>
      <c r="C97" s="13">
        <v>41.9137</v>
      </c>
      <c r="D97" s="13">
        <v>-88.3136</v>
      </c>
      <c r="E97" s="2">
        <v>139891.83473084646</v>
      </c>
      <c r="F97" s="2">
        <v>-4751480.679681984</v>
      </c>
      <c r="G97" s="2">
        <v>4238594.026506103</v>
      </c>
      <c r="H97" s="48">
        <f>K97*COS($G$2)+($G97-$G$9)*SIN($G$2)</f>
        <v>9892.281440093859</v>
      </c>
      <c r="I97" s="70">
        <f>SQRT(SUMSQ(L97,M97))</f>
        <v>593.965215380434</v>
      </c>
      <c r="J97" s="6">
        <f>ATAN(I97/H97)</f>
        <v>0.0599712990025496</v>
      </c>
      <c r="K97" s="48">
        <f>($E97-$E$9)*SIN($F$2)+($F97-$F$9)*COS($F$2)</f>
        <v>7233.46504732699</v>
      </c>
      <c r="L97" s="48">
        <f>($E97-$E$9)*COS($F$2)-($F97-$F$9)*SIN($F$2)</f>
        <v>-203.02437289121372</v>
      </c>
      <c r="M97" s="48">
        <f>-K97*SIN($G$2)+($G97-$G$9)*COS($G$2)</f>
        <v>558.189735747671</v>
      </c>
    </row>
    <row r="98" spans="1:15" ht="12.75">
      <c r="A98" s="1" t="s">
        <v>526</v>
      </c>
      <c r="B98" s="13">
        <v>-417.5095997340977</v>
      </c>
      <c r="C98" s="13">
        <v>41.91370332386186</v>
      </c>
      <c r="D98" s="13">
        <v>-88.31403683650359</v>
      </c>
      <c r="E98" s="2">
        <f>E$9*(1-$O98)+E$10*$O98</f>
        <v>139842.5772320369</v>
      </c>
      <c r="F98" s="2">
        <f>F$9*(1-$O98)+F$10*$O98</f>
        <v>-4751039.025380066</v>
      </c>
      <c r="G98" s="2">
        <f>G$9*(1-$O98)+G$10*$O98</f>
        <v>4238196.928755141</v>
      </c>
      <c r="H98" s="48">
        <f>K98*COS($G$2)+($G98-$G$9)*SIN($G$2)</f>
        <v>9941.033571626549</v>
      </c>
      <c r="I98" s="70">
        <f>SQRT(SUMSQ(L98,M98))</f>
        <v>2.3134978179208135E-10</v>
      </c>
      <c r="J98" s="6">
        <f>ATAN(I98/H98)</f>
        <v>2.3272206066418903E-14</v>
      </c>
      <c r="K98" s="48">
        <f>($E98-$E$9)*SIN($F$2)+($F98-$F$9)*COS($F$2)</f>
        <v>7628.76990133708</v>
      </c>
      <c r="L98" s="48">
        <f>($E98-$E$9)*COS($F$2)-($F98-$F$9)*SIN($F$2)</f>
        <v>-1.5279510989785194E-10</v>
      </c>
      <c r="M98" s="48">
        <f>-K98*SIN($G$2)+($G98-$G$9)*COS($G$2)</f>
        <v>1.737134880386293E-10</v>
      </c>
      <c r="N98" s="2">
        <f>DEGREES(J98)</f>
        <v>1.3333991875645543E-12</v>
      </c>
      <c r="O98" s="6">
        <v>0.013519</v>
      </c>
    </row>
    <row r="101" spans="1:14" ht="12.75">
      <c r="A101" s="1" t="s">
        <v>378</v>
      </c>
      <c r="B101" s="13">
        <v>369</v>
      </c>
      <c r="C101" s="13">
        <v>48.713</v>
      </c>
      <c r="D101" s="13">
        <v>-92.941</v>
      </c>
      <c r="E101" s="2">
        <v>-216349.4303672137</v>
      </c>
      <c r="F101" s="2">
        <v>-4211159.641406552</v>
      </c>
      <c r="G101" s="2">
        <v>4769836.738589348</v>
      </c>
      <c r="H101" s="48">
        <f aca="true" t="shared" si="24" ref="H101:H106">K101*COS($G$2)+($G101-$G$9)*SIN($G$2)</f>
        <v>847160.2219248135</v>
      </c>
      <c r="I101" s="70">
        <f aca="true" t="shared" si="25" ref="I101:I106">SQRT(SUMSQ(L101,M101))</f>
        <v>6885.751301665691</v>
      </c>
      <c r="J101" s="6">
        <f aca="true" t="shared" si="26" ref="J101:J106">ATAN(I101/H101)</f>
        <v>0.008127859988835678</v>
      </c>
      <c r="K101" s="48">
        <f aca="true" t="shared" si="27" ref="K101:K106">($E101-$E$9)*SIN($F$2)+($F101-$F$9)*COS($F$2)</f>
        <v>654421.0378075659</v>
      </c>
      <c r="L101" s="48">
        <f aca="true" t="shared" si="28" ref="L101:L106">($E101-$E$9)*COS($F$2)-($F101-$F$9)*SIN($F$2)</f>
        <v>1502.5624520887504</v>
      </c>
      <c r="M101" s="48">
        <f aca="true" t="shared" si="29" ref="M101:M106">-K101*SIN($G$2)+($G101-$G$9)*COS($G$2)</f>
        <v>-6719.812279071775</v>
      </c>
      <c r="N101" s="2">
        <f aca="true" t="shared" si="30" ref="N101:N106">DEGREES(J101)</f>
        <v>0.4656920738335327</v>
      </c>
    </row>
    <row r="102" spans="1:15" ht="12.75">
      <c r="A102" s="1" t="s">
        <v>527</v>
      </c>
      <c r="B102" s="13">
        <v>7119.208106660284</v>
      </c>
      <c r="C102" s="13">
        <v>48.714151664400475</v>
      </c>
      <c r="D102" s="13">
        <v>-92.92261904549721</v>
      </c>
      <c r="E102" s="2">
        <f aca="true" t="shared" si="31" ref="E102:G104">E$9*(1-$O102)+E$10*$O102</f>
        <v>-215220.62952527357</v>
      </c>
      <c r="F102" s="2">
        <f t="shared" si="31"/>
        <v>-4215580.819397353</v>
      </c>
      <c r="G102" s="2">
        <f t="shared" si="31"/>
        <v>4774993.536512604</v>
      </c>
      <c r="H102" s="48">
        <f t="shared" si="24"/>
        <v>847160.2218651881</v>
      </c>
      <c r="I102" s="70">
        <f t="shared" si="25"/>
        <v>5.820766091346741E-10</v>
      </c>
      <c r="J102" s="6">
        <f t="shared" si="26"/>
        <v>6.870915254414556E-16</v>
      </c>
      <c r="K102" s="48">
        <f t="shared" si="27"/>
        <v>650112.5215612606</v>
      </c>
      <c r="L102" s="48">
        <f t="shared" si="28"/>
        <v>0</v>
      </c>
      <c r="M102" s="48">
        <f t="shared" si="29"/>
        <v>5.820766091346741E-10</v>
      </c>
      <c r="N102" s="2">
        <f t="shared" si="30"/>
        <v>3.9367444547001036E-14</v>
      </c>
      <c r="O102" s="6">
        <v>1.1520692448</v>
      </c>
    </row>
    <row r="103" spans="1:15" ht="12.75">
      <c r="A103" s="1" t="s">
        <v>528</v>
      </c>
      <c r="B103" s="13">
        <v>7108.772239039652</v>
      </c>
      <c r="C103" s="13">
        <v>48.7130373572972</v>
      </c>
      <c r="D103" s="13">
        <v>-92.9217528725305</v>
      </c>
      <c r="E103" s="2">
        <f t="shared" si="31"/>
        <v>-215161.30062954378</v>
      </c>
      <c r="F103" s="2">
        <f t="shared" si="31"/>
        <v>-4215670.291196925</v>
      </c>
      <c r="G103" s="2">
        <f t="shared" si="31"/>
        <v>4774903.84107426</v>
      </c>
      <c r="H103" s="48">
        <f t="shared" si="24"/>
        <v>847020.3276464122</v>
      </c>
      <c r="I103" s="70">
        <f t="shared" si="25"/>
        <v>0</v>
      </c>
      <c r="J103" s="6">
        <f t="shared" si="26"/>
        <v>0</v>
      </c>
      <c r="K103" s="48">
        <f t="shared" si="27"/>
        <v>650005.1664459321</v>
      </c>
      <c r="L103" s="48">
        <f t="shared" si="28"/>
        <v>0</v>
      </c>
      <c r="M103" s="48">
        <f t="shared" si="29"/>
        <v>0</v>
      </c>
      <c r="N103" s="2">
        <f t="shared" si="30"/>
        <v>0</v>
      </c>
      <c r="O103" s="6">
        <v>1.151879</v>
      </c>
    </row>
    <row r="104" spans="1:15" ht="12.75">
      <c r="A104" s="1" t="s">
        <v>529</v>
      </c>
      <c r="B104" s="13">
        <v>7108.422427983955</v>
      </c>
      <c r="C104" s="13">
        <v>48.7129999998203</v>
      </c>
      <c r="D104" s="13">
        <v>-92.92172383457778</v>
      </c>
      <c r="E104" s="2">
        <f t="shared" si="31"/>
        <v>-215159.3116202447</v>
      </c>
      <c r="F104" s="2">
        <f t="shared" si="31"/>
        <v>-4215673.290751175</v>
      </c>
      <c r="G104" s="2">
        <f t="shared" si="31"/>
        <v>4774900.834022489</v>
      </c>
      <c r="H104" s="48">
        <f t="shared" si="24"/>
        <v>847015.6376736998</v>
      </c>
      <c r="I104" s="70">
        <f t="shared" si="25"/>
        <v>0</v>
      </c>
      <c r="J104" s="6">
        <f t="shared" si="26"/>
        <v>0</v>
      </c>
      <c r="K104" s="48">
        <f t="shared" si="27"/>
        <v>650001.5673510886</v>
      </c>
      <c r="L104" s="48">
        <f t="shared" si="28"/>
        <v>0</v>
      </c>
      <c r="M104" s="48">
        <f t="shared" si="29"/>
        <v>0</v>
      </c>
      <c r="N104" s="2">
        <f t="shared" si="30"/>
        <v>0</v>
      </c>
      <c r="O104" s="6">
        <v>1.1518726220172035</v>
      </c>
    </row>
    <row r="105" spans="1:14" ht="12.75">
      <c r="A105" s="1" t="s">
        <v>530</v>
      </c>
      <c r="B105" s="13">
        <v>345</v>
      </c>
      <c r="C105" s="13">
        <v>48.713</v>
      </c>
      <c r="D105" s="13">
        <v>-92.9217528725305</v>
      </c>
      <c r="E105" s="2">
        <v>-214933.9740513985</v>
      </c>
      <c r="F105" s="2">
        <v>-4211216.265779315</v>
      </c>
      <c r="G105" s="2">
        <v>4769818.704656617</v>
      </c>
      <c r="H105" s="48">
        <f t="shared" si="24"/>
        <v>846512.1514970523</v>
      </c>
      <c r="I105" s="70">
        <f t="shared" si="25"/>
        <v>6744.656342698806</v>
      </c>
      <c r="J105" s="6">
        <f t="shared" si="26"/>
        <v>0.007967415014549903</v>
      </c>
      <c r="K105" s="48">
        <f t="shared" si="27"/>
        <v>653591.6060247453</v>
      </c>
      <c r="L105" s="48">
        <f t="shared" si="28"/>
        <v>2650.9377475469955</v>
      </c>
      <c r="M105" s="48">
        <f t="shared" si="29"/>
        <v>-6201.847969737544</v>
      </c>
      <c r="N105" s="2">
        <f t="shared" si="30"/>
        <v>0.45649925396287283</v>
      </c>
    </row>
    <row r="106" spans="1:15" ht="12.75">
      <c r="A106" s="1" t="s">
        <v>531</v>
      </c>
      <c r="B106" s="13">
        <v>7108.422427983955</v>
      </c>
      <c r="C106" s="13">
        <v>48.7129999998203</v>
      </c>
      <c r="D106" s="13">
        <v>-92.92172383457778</v>
      </c>
      <c r="E106" s="2">
        <f>E$9*(1-$O106)+E$10*$O106</f>
        <v>-214945.78400532572</v>
      </c>
      <c r="F106" s="2">
        <f>F$9*(1-$O106)+F$10*$O106</f>
        <v>-4215995.304160157</v>
      </c>
      <c r="G106" s="2">
        <f>G$9*(1-$O106)+G$10*$O106</f>
        <v>4774578.015726564</v>
      </c>
      <c r="H106" s="48">
        <f t="shared" si="24"/>
        <v>846512.1514970462</v>
      </c>
      <c r="I106" s="70">
        <f t="shared" si="25"/>
        <v>0</v>
      </c>
      <c r="J106" s="6">
        <f t="shared" si="26"/>
        <v>0</v>
      </c>
      <c r="K106" s="48">
        <f t="shared" si="27"/>
        <v>649615.191008778</v>
      </c>
      <c r="L106" s="48">
        <f t="shared" si="28"/>
        <v>0</v>
      </c>
      <c r="M106" s="48">
        <f t="shared" si="29"/>
        <v>0</v>
      </c>
      <c r="N106" s="2">
        <f t="shared" si="30"/>
        <v>0</v>
      </c>
      <c r="O106" s="6">
        <v>1.1511879216213</v>
      </c>
    </row>
    <row r="107" spans="1:9" ht="12.75">
      <c r="A107" s="1" t="s">
        <v>532</v>
      </c>
      <c r="E107" s="2">
        <f>E106-E9</f>
        <v>-359004.336346125</v>
      </c>
      <c r="F107" s="2">
        <f>F106-F9</f>
        <v>541401.6834791424</v>
      </c>
      <c r="G107" s="2">
        <f>G106-G9</f>
        <v>542754.9412421659</v>
      </c>
      <c r="H107" s="253">
        <f>SQRT(SUMSQ(E107:G107))</f>
        <v>846512.1514970461</v>
      </c>
      <c r="I107" s="13"/>
    </row>
    <row r="108" spans="1:8" ht="12.75">
      <c r="A108" s="1" t="s">
        <v>533</v>
      </c>
      <c r="E108" s="2">
        <f>E106-E105</f>
        <v>-11.809953927237075</v>
      </c>
      <c r="F108" s="2">
        <f>F106-F105</f>
        <v>-4779.038380842656</v>
      </c>
      <c r="G108" s="2">
        <f>G106-G105</f>
        <v>4759.311069947667</v>
      </c>
      <c r="H108" s="253">
        <f>SQRT(SUMSQ(E108:G108))</f>
        <v>6744.656342698667</v>
      </c>
    </row>
    <row r="109" spans="1:8" ht="12.75">
      <c r="A109" s="1" t="s">
        <v>534</v>
      </c>
      <c r="E109">
        <f>E107*E108</f>
        <v>4239824.671926059</v>
      </c>
      <c r="F109">
        <f>F107*F108</f>
        <v>-2587379424.799649</v>
      </c>
      <c r="G109">
        <f>G107*G108</f>
        <v>2583139600.122636</v>
      </c>
      <c r="H109">
        <f>(E109+F109+G109)/(H107*H108)</f>
        <v>-8.909638333801877E-13</v>
      </c>
    </row>
    <row r="111" spans="1:7" ht="12.75">
      <c r="A111" s="138">
        <v>37928</v>
      </c>
      <c r="B111" t="s">
        <v>394</v>
      </c>
      <c r="C111" t="s">
        <v>535</v>
      </c>
      <c r="E111" s="2"/>
      <c r="F111" s="2"/>
      <c r="G111" s="2"/>
    </row>
    <row r="112" spans="1:15" ht="12.75">
      <c r="A112" s="1" t="s">
        <v>386</v>
      </c>
      <c r="B112" s="2">
        <v>326.14</v>
      </c>
      <c r="C112" s="13">
        <v>48.375</v>
      </c>
      <c r="D112" s="13">
        <v>-92.869</v>
      </c>
      <c r="E112" s="2">
        <v>-212465.96197479908</v>
      </c>
      <c r="F112" s="2">
        <v>-4239535.330277775</v>
      </c>
      <c r="G112" s="2">
        <v>4744919.748984278</v>
      </c>
      <c r="H112" s="48">
        <f aca="true" t="shared" si="32" ref="H112:H117">K112*COS($G$2)+($G112-$G$9)*SIN($G$2)</f>
        <v>811389.1501295873</v>
      </c>
      <c r="I112" s="70">
        <f aca="true" t="shared" si="33" ref="I112:I117">SQRT(SUMSQ(L112,M112))</f>
        <v>14362.099707888236</v>
      </c>
      <c r="J112" s="6">
        <f aca="true" t="shared" si="34" ref="J112:J117">ATAN(I112/H112)</f>
        <v>0.017698782448026536</v>
      </c>
      <c r="K112" s="48">
        <f aca="true" t="shared" si="35" ref="K112:K117">($E112-$E$9)*SIN($F$2)+($F112-$F$9)*COS($F$2)</f>
        <v>628626.031856921</v>
      </c>
      <c r="L112" s="48">
        <f aca="true" t="shared" si="36" ref="L112:L117">($E112-$E$9)*COS($F$2)-($F112-$F$9)*SIN($F$2)</f>
        <v>-10942.465216725657</v>
      </c>
      <c r="M112" s="48">
        <f aca="true" t="shared" si="37" ref="M112:M117">-K112*SIN($G$2)+($G112-$G$9)*COS($G$2)</f>
        <v>-9302.277301826281</v>
      </c>
      <c r="N112" s="2">
        <f aca="true" t="shared" si="38" ref="N112:N117">DEGREES(J112)</f>
        <v>1.0140655367921398</v>
      </c>
      <c r="O112" s="6"/>
    </row>
    <row r="113" spans="1:15" ht="12.75">
      <c r="A113" s="1" t="s">
        <v>387</v>
      </c>
      <c r="B113" s="2">
        <v>326.14</v>
      </c>
      <c r="C113" s="13">
        <v>48.377</v>
      </c>
      <c r="D113" s="13">
        <v>-92.857</v>
      </c>
      <c r="E113" s="2">
        <v>-211569.74448422983</v>
      </c>
      <c r="F113" s="2">
        <v>-4239413.689306739</v>
      </c>
      <c r="G113" s="2">
        <v>4745067.48024075</v>
      </c>
      <c r="H113" s="48">
        <f t="shared" si="32"/>
        <v>811181.5837418071</v>
      </c>
      <c r="I113" s="70">
        <f t="shared" si="33"/>
        <v>13507.075644772553</v>
      </c>
      <c r="J113" s="6">
        <f t="shared" si="34"/>
        <v>0.016649573660479363</v>
      </c>
      <c r="K113" s="48">
        <f t="shared" si="35"/>
        <v>628232.1227512443</v>
      </c>
      <c r="L113" s="48">
        <f t="shared" si="36"/>
        <v>-10128.31662297761</v>
      </c>
      <c r="M113" s="48">
        <f t="shared" si="37"/>
        <v>-8936.346840757877</v>
      </c>
      <c r="N113" s="2">
        <f t="shared" si="38"/>
        <v>0.9539503014376486</v>
      </c>
      <c r="O113" s="6"/>
    </row>
    <row r="114" spans="1:15" ht="12.75">
      <c r="A114" s="1" t="s">
        <v>388</v>
      </c>
      <c r="B114" s="2">
        <v>326.14</v>
      </c>
      <c r="C114" s="13">
        <v>48.378</v>
      </c>
      <c r="D114" s="13">
        <v>-92.841</v>
      </c>
      <c r="E114" s="2">
        <v>-210381.7483853369</v>
      </c>
      <c r="F114" s="2">
        <v>-4239389.578940985</v>
      </c>
      <c r="G114" s="2">
        <v>4745141.343712067</v>
      </c>
      <c r="H114" s="48">
        <f t="shared" si="32"/>
        <v>810740.5356200981</v>
      </c>
      <c r="I114" s="70">
        <f t="shared" si="33"/>
        <v>12451.171451014352</v>
      </c>
      <c r="J114" s="6">
        <f t="shared" si="34"/>
        <v>0.015356568625976435</v>
      </c>
      <c r="K114" s="48">
        <f t="shared" si="35"/>
        <v>627595.6808019507</v>
      </c>
      <c r="L114" s="48">
        <f t="shared" si="36"/>
        <v>-9124.89363843872</v>
      </c>
      <c r="M114" s="48">
        <f t="shared" si="37"/>
        <v>-8471.598821340362</v>
      </c>
      <c r="N114" s="2">
        <f t="shared" si="38"/>
        <v>0.8798665700714634</v>
      </c>
      <c r="O114" s="6"/>
    </row>
    <row r="115" spans="1:15" ht="12.75">
      <c r="A115" s="1" t="s">
        <v>389</v>
      </c>
      <c r="B115" s="2">
        <v>326.14</v>
      </c>
      <c r="C115" s="13">
        <v>48.377</v>
      </c>
      <c r="D115" s="13">
        <v>-92.836</v>
      </c>
      <c r="E115" s="2">
        <v>-210015.90403639004</v>
      </c>
      <c r="F115" s="2">
        <v>-4239490.948912885</v>
      </c>
      <c r="G115" s="2">
        <v>4745067.48024075</v>
      </c>
      <c r="H115" s="48">
        <f t="shared" si="32"/>
        <v>810473.1899656085</v>
      </c>
      <c r="I115" s="70">
        <f t="shared" si="33"/>
        <v>12182.528278217434</v>
      </c>
      <c r="J115" s="6">
        <f t="shared" si="34"/>
        <v>0.01503024533968252</v>
      </c>
      <c r="K115" s="48">
        <f t="shared" si="35"/>
        <v>627309.0163524149</v>
      </c>
      <c r="L115" s="48">
        <f t="shared" si="36"/>
        <v>-8876.01324099506</v>
      </c>
      <c r="M115" s="48">
        <f t="shared" si="37"/>
        <v>-8344.48226046696</v>
      </c>
      <c r="N115" s="2">
        <f t="shared" si="38"/>
        <v>0.8611696230099828</v>
      </c>
      <c r="O115" s="6"/>
    </row>
    <row r="116" spans="1:15" ht="12.75">
      <c r="A116" s="1" t="s">
        <v>390</v>
      </c>
      <c r="B116" s="2">
        <v>326.14</v>
      </c>
      <c r="C116" s="13">
        <v>48.381</v>
      </c>
      <c r="D116" s="13">
        <v>-92.84</v>
      </c>
      <c r="E116" s="2">
        <v>-210295.40031886738</v>
      </c>
      <c r="F116" s="2">
        <v>-4239144.162669163</v>
      </c>
      <c r="G116" s="2">
        <v>4745362.92549806</v>
      </c>
      <c r="H116" s="48">
        <f t="shared" si="32"/>
        <v>811002.946574582</v>
      </c>
      <c r="I116" s="70">
        <f t="shared" si="33"/>
        <v>12252.084783226148</v>
      </c>
      <c r="J116" s="6">
        <f t="shared" si="34"/>
        <v>0.015106175458038374</v>
      </c>
      <c r="K116" s="48">
        <f t="shared" si="35"/>
        <v>627752.4958731339</v>
      </c>
      <c r="L116" s="48">
        <f t="shared" si="36"/>
        <v>-8917.302288648672</v>
      </c>
      <c r="M116" s="48">
        <f t="shared" si="37"/>
        <v>-8402.10101273621</v>
      </c>
      <c r="N116" s="2">
        <f t="shared" si="38"/>
        <v>0.865520098329702</v>
      </c>
      <c r="O116" s="6"/>
    </row>
    <row r="117" spans="1:15" ht="12.75">
      <c r="A117" s="1" t="s">
        <v>391</v>
      </c>
      <c r="B117" s="2">
        <v>326.14</v>
      </c>
      <c r="C117" s="13">
        <v>48.391</v>
      </c>
      <c r="D117" s="13">
        <v>-92.84</v>
      </c>
      <c r="E117" s="2">
        <v>-210254.2070274036</v>
      </c>
      <c r="F117" s="2">
        <v>-4238313.78644227</v>
      </c>
      <c r="G117" s="2">
        <v>4746101.437974853</v>
      </c>
      <c r="H117" s="48">
        <f t="shared" si="32"/>
        <v>811990.0674462295</v>
      </c>
      <c r="I117" s="70">
        <f t="shared" si="33"/>
        <v>11801.132960624247</v>
      </c>
      <c r="J117" s="6">
        <f t="shared" si="34"/>
        <v>0.014532569596165052</v>
      </c>
      <c r="K117" s="48">
        <f t="shared" si="35"/>
        <v>628421.7821258495</v>
      </c>
      <c r="L117" s="48">
        <f t="shared" si="36"/>
        <v>-8424.070621602063</v>
      </c>
      <c r="M117" s="48">
        <f t="shared" si="37"/>
        <v>-8264.488690572034</v>
      </c>
      <c r="N117" s="2">
        <f t="shared" si="38"/>
        <v>0.8326549033403966</v>
      </c>
      <c r="O117" s="6"/>
    </row>
    <row r="118" spans="1:7" ht="12.75">
      <c r="A118" s="1"/>
      <c r="B118" s="2"/>
      <c r="C118" s="13"/>
      <c r="D118" s="13"/>
      <c r="E118" s="2"/>
      <c r="F118" s="2"/>
      <c r="G118" s="2"/>
    </row>
    <row r="119" spans="1:7" ht="12.75">
      <c r="A119" s="138">
        <v>37928</v>
      </c>
      <c r="B119" t="s">
        <v>395</v>
      </c>
      <c r="E119" s="2"/>
      <c r="F119" s="2"/>
      <c r="G119" s="2"/>
    </row>
    <row r="120" spans="1:15" ht="12.75">
      <c r="A120" s="1" t="s">
        <v>393</v>
      </c>
      <c r="B120" s="2">
        <v>326.14</v>
      </c>
      <c r="C120" s="13">
        <v>48.39085</v>
      </c>
      <c r="D120" s="13">
        <v>-92.83863</v>
      </c>
      <c r="E120" s="2">
        <v>-210153.4822500193</v>
      </c>
      <c r="F120" s="2">
        <v>-4238331.2692411775</v>
      </c>
      <c r="G120" s="2">
        <v>4746090.361350171</v>
      </c>
      <c r="H120" s="48">
        <f>K120*COS($G$2)+($G120-$G$9)*SIN($G$2)</f>
        <v>811929.0668553859</v>
      </c>
      <c r="I120" s="70">
        <f>SQRT(SUMSQ(L120,M120))</f>
        <v>11722.550948964483</v>
      </c>
      <c r="J120" s="6">
        <f>ATAN(I120/H120)</f>
        <v>0.014436897255960368</v>
      </c>
      <c r="K120" s="48">
        <f>($E120-$E$9)*SIN($F$2)+($F120-$F$9)*COS($F$2)</f>
        <v>628351.5469323832</v>
      </c>
      <c r="L120" s="48">
        <f>($E120-$E$9)*COS($F$2)-($F120-$F$9)*SIN($F$2)</f>
        <v>-8349.786392888811</v>
      </c>
      <c r="M120" s="48">
        <f>-K120*SIN($G$2)+($G120-$G$9)*COS($G$2)</f>
        <v>-8227.956486527924</v>
      </c>
      <c r="N120" s="2">
        <f>DEGREES(J120)</f>
        <v>0.8271732820305284</v>
      </c>
      <c r="O120" s="6"/>
    </row>
    <row r="121" spans="1:15" ht="12.75">
      <c r="A121" s="1"/>
      <c r="B121" s="2"/>
      <c r="C121" s="13"/>
      <c r="D121" s="13"/>
      <c r="E121" s="2"/>
      <c r="F121" s="2"/>
      <c r="G121" s="2"/>
      <c r="H121" s="48"/>
      <c r="I121" s="70"/>
      <c r="J121" s="6"/>
      <c r="K121" s="48"/>
      <c r="L121" s="48"/>
      <c r="M121" s="48"/>
      <c r="N121" s="2"/>
      <c r="O121" s="6"/>
    </row>
    <row r="122" ht="12.75">
      <c r="A122" t="s">
        <v>536</v>
      </c>
    </row>
    <row r="123" spans="1:14" ht="12.75">
      <c r="A123" s="1" t="s">
        <v>386</v>
      </c>
      <c r="B123" s="2">
        <v>4550.082185917534</v>
      </c>
      <c r="C123" s="13">
        <v>48.42888877816241</v>
      </c>
      <c r="D123" s="13">
        <v>-92.70228669954693</v>
      </c>
      <c r="E123" s="2">
        <v>-200050.17997985883</v>
      </c>
      <c r="F123" s="2">
        <v>-4238458.835319433</v>
      </c>
      <c r="G123" s="2">
        <v>4752058.335964774</v>
      </c>
      <c r="H123" s="48">
        <f>K123*COS($G$2)+($G123-$G$9)*SIN($G$2)</f>
        <v>811389.1500877007</v>
      </c>
      <c r="I123" s="70">
        <f>SQRT(SUMSQ(L123,M123))</f>
        <v>0</v>
      </c>
      <c r="J123" s="6">
        <f>ATAN(I123/H123)</f>
        <v>0</v>
      </c>
      <c r="K123" s="48">
        <f>($E123-$E$9)*SIN($F$2)+($F123-$F$9)*COS($F$2)</f>
        <v>622661.7264554544</v>
      </c>
      <c r="L123" s="48">
        <f>($E123-$E$9)*COS($F$2)-($F123-$F$9)*SIN($F$2)</f>
        <v>0</v>
      </c>
      <c r="M123" s="48">
        <f>-K123*SIN($G$2)+($G123-$G$9)*COS($G$2)</f>
        <v>0</v>
      </c>
      <c r="N123" s="2">
        <f>DEGREES(J123)</f>
        <v>0</v>
      </c>
    </row>
    <row r="125" ht="12.75">
      <c r="A125" s="14" t="s">
        <v>537</v>
      </c>
    </row>
    <row r="126" spans="5:7" ht="12.75">
      <c r="E126" s="4" t="s">
        <v>350</v>
      </c>
      <c r="F126" s="4" t="s">
        <v>351</v>
      </c>
      <c r="G126" s="4" t="s">
        <v>352</v>
      </c>
    </row>
    <row r="127" spans="5:8" ht="12.75">
      <c r="E127" s="2">
        <v>6010.037091494094</v>
      </c>
      <c r="F127" s="2">
        <v>12346.338517257309</v>
      </c>
      <c r="G127" s="2">
        <v>4209.190824333239</v>
      </c>
      <c r="H127" s="1" t="s">
        <v>538</v>
      </c>
    </row>
    <row r="129" spans="1:2" ht="12.75">
      <c r="A129" s="136">
        <v>38462</v>
      </c>
      <c r="B129" t="s">
        <v>397</v>
      </c>
    </row>
    <row r="130" spans="1:14" ht="12.75">
      <c r="A130" t="s">
        <v>396</v>
      </c>
      <c r="B130" s="2">
        <v>336.808</v>
      </c>
      <c r="C130" s="13">
        <v>48.37859</v>
      </c>
      <c r="D130">
        <v>-92.83064</v>
      </c>
      <c r="E130" s="2">
        <v>-209613.12282944316</v>
      </c>
      <c r="F130" s="2">
        <v>-4239385.640472654</v>
      </c>
      <c r="G130" s="2">
        <v>4745192.897348482</v>
      </c>
      <c r="H130" s="48">
        <f>K130*COS($G$2)+($G130-$G$9)*SIN($G$2)</f>
        <v>810450.1362172427</v>
      </c>
      <c r="I130" s="70">
        <f>SQRT(SUMSQ(L130,M130))</f>
        <v>11771.208267701893</v>
      </c>
      <c r="J130" s="6">
        <f>ATAN(I130/H130)</f>
        <v>0.01452326320319269</v>
      </c>
      <c r="K130" s="48">
        <f>($E130-$E$9)*SIN($F$2)+($F130-$F$9)*COS($F$2)</f>
        <v>627174.1887894523</v>
      </c>
      <c r="L130" s="48">
        <f>($E130-$E$9)*COS($F$2)-($F130-$F$9)*SIN($F$2)</f>
        <v>-8482.129887045012</v>
      </c>
      <c r="M130" s="48">
        <f>-K130*SIN($G$2)+($G130-$G$9)*COS($G$2)</f>
        <v>-8161.790040236956</v>
      </c>
      <c r="N130" s="2">
        <f>DEGREES(J130)</f>
        <v>0.83212168630059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&amp;L&amp;F&amp;C&amp;D&amp;RWes Smart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1"/>
  <dimension ref="A1:N60"/>
  <sheetViews>
    <sheetView workbookViewId="0" topLeftCell="A1">
      <pane xSplit="4575" ySplit="2895" topLeftCell="A35" activePane="topRight" state="split"/>
      <selection pane="topLeft" activeCell="A1" sqref="A1"/>
      <selection pane="topRight" activeCell="A6" sqref="A6"/>
      <selection pane="bottomLeft" activeCell="A60" sqref="A60:D60"/>
      <selection pane="bottomRight" activeCell="A59" sqref="A59:N60"/>
    </sheetView>
  </sheetViews>
  <sheetFormatPr defaultColWidth="9.140625" defaultRowHeight="12.75"/>
  <cols>
    <col min="1" max="1" width="11.7109375" style="0" customWidth="1"/>
    <col min="2" max="2" width="10.421875" style="0" customWidth="1"/>
    <col min="3" max="3" width="8.28125" style="0" customWidth="1"/>
    <col min="4" max="4" width="9.421875" style="0" customWidth="1"/>
    <col min="5" max="5" width="12.00390625" style="0" customWidth="1"/>
    <col min="6" max="6" width="13.140625" style="0" customWidth="1"/>
    <col min="7" max="7" width="12.7109375" style="0" customWidth="1"/>
    <col min="8" max="8" width="12.421875" style="0" customWidth="1"/>
    <col min="9" max="9" width="12.57421875" style="0" customWidth="1"/>
    <col min="10" max="10" width="11.00390625" style="0" customWidth="1"/>
    <col min="11" max="11" width="12.28125" style="0" bestFit="1" customWidth="1"/>
    <col min="12" max="13" width="12.28125" style="0" customWidth="1"/>
  </cols>
  <sheetData>
    <row r="1" spans="1:7" ht="15.75">
      <c r="A1" s="10" t="s">
        <v>338</v>
      </c>
      <c r="F1" s="115" t="s">
        <v>456</v>
      </c>
      <c r="G1" s="115" t="s">
        <v>457</v>
      </c>
    </row>
    <row r="2" spans="6:7" ht="12.75">
      <c r="F2" s="47">
        <f>ATAN2(F10-F9,E10-E9)</f>
        <v>-0.5855304354159501</v>
      </c>
      <c r="G2" s="66">
        <f>ASIN((G10-G9)/SQRT(SUMSQ(E10-E9,F10-F9,G10-G9)))</f>
        <v>0.6960169166663005</v>
      </c>
    </row>
    <row r="3" spans="6:7" ht="12.75">
      <c r="F3">
        <f>DEGREES(F2)</f>
        <v>-33.54842272579136</v>
      </c>
      <c r="G3">
        <f>DEGREES(G2)</f>
        <v>39.87883179468775</v>
      </c>
    </row>
    <row r="5" spans="5:11" ht="12.75">
      <c r="E5" t="s">
        <v>340</v>
      </c>
      <c r="H5" t="s">
        <v>345</v>
      </c>
      <c r="K5" t="s">
        <v>345</v>
      </c>
    </row>
    <row r="6" spans="1:14" ht="12.75">
      <c r="A6" s="10"/>
      <c r="E6" t="s">
        <v>339</v>
      </c>
      <c r="H6" s="1" t="s">
        <v>343</v>
      </c>
      <c r="I6" s="1" t="s">
        <v>346</v>
      </c>
      <c r="J6" s="1" t="s">
        <v>373</v>
      </c>
      <c r="L6" t="s">
        <v>344</v>
      </c>
      <c r="M6" t="s">
        <v>344</v>
      </c>
      <c r="N6" s="1" t="s">
        <v>373</v>
      </c>
    </row>
    <row r="7" spans="1:14" ht="12.75">
      <c r="A7" s="10"/>
      <c r="B7" t="s">
        <v>128</v>
      </c>
      <c r="C7" t="s">
        <v>2</v>
      </c>
      <c r="D7" t="s">
        <v>3</v>
      </c>
      <c r="E7" s="1" t="s">
        <v>157</v>
      </c>
      <c r="F7" s="1" t="s">
        <v>158</v>
      </c>
      <c r="G7" s="1" t="s">
        <v>159</v>
      </c>
      <c r="H7" s="1" t="s">
        <v>341</v>
      </c>
      <c r="I7" t="s">
        <v>344</v>
      </c>
      <c r="J7" s="1" t="s">
        <v>374</v>
      </c>
      <c r="L7" s="1" t="s">
        <v>229</v>
      </c>
      <c r="M7" s="1" t="s">
        <v>342</v>
      </c>
      <c r="N7" s="1" t="s">
        <v>374</v>
      </c>
    </row>
    <row r="8" spans="2:14" ht="14.25">
      <c r="B8" t="s">
        <v>129</v>
      </c>
      <c r="C8" s="3">
        <v>0</v>
      </c>
      <c r="D8" s="3">
        <v>0</v>
      </c>
      <c r="E8" s="1" t="s">
        <v>130</v>
      </c>
      <c r="F8" s="1" t="s">
        <v>130</v>
      </c>
      <c r="G8" s="1" t="s">
        <v>130</v>
      </c>
      <c r="H8" s="1" t="s">
        <v>130</v>
      </c>
      <c r="I8" s="1" t="s">
        <v>130</v>
      </c>
      <c r="J8" s="1" t="s">
        <v>372</v>
      </c>
      <c r="L8" s="1" t="s">
        <v>130</v>
      </c>
      <c r="M8" s="1" t="s">
        <v>130</v>
      </c>
      <c r="N8" s="1" t="s">
        <v>392</v>
      </c>
    </row>
    <row r="9" spans="1:7" ht="12.75">
      <c r="A9" s="1" t="s">
        <v>108</v>
      </c>
      <c r="B9" s="2">
        <v>153.96829709410667</v>
      </c>
      <c r="C9" s="137">
        <v>41.83202350680571</v>
      </c>
      <c r="D9" s="13">
        <v>-88.26555873341539</v>
      </c>
      <c r="E9">
        <v>144058.55234079924</v>
      </c>
      <c r="F9" s="2">
        <v>-4757396.9876393</v>
      </c>
      <c r="G9" s="2">
        <v>4231823.074484399</v>
      </c>
    </row>
    <row r="10" spans="1:14" ht="12.75">
      <c r="A10" s="1" t="s">
        <v>136</v>
      </c>
      <c r="B10" s="2">
        <v>-248.3991527</v>
      </c>
      <c r="C10" s="13">
        <v>47.820266534666665</v>
      </c>
      <c r="D10" s="13">
        <v>-92.24141201908333</v>
      </c>
      <c r="E10" s="2">
        <v>-167796.99235646756</v>
      </c>
      <c r="F10" s="2">
        <v>-4287098.721551998</v>
      </c>
      <c r="G10" s="2">
        <v>4703296.872157471</v>
      </c>
      <c r="H10" s="48">
        <f aca="true" t="shared" si="0" ref="H10:H16">K10*COS($G$2)+($G10-$G$9)*SIN($G$2)</f>
        <v>735337.9370979177</v>
      </c>
      <c r="I10" s="70">
        <f aca="true" t="shared" si="1" ref="I10:I16">SQRT(SUMSQ(L10,M10))</f>
        <v>0</v>
      </c>
      <c r="J10" s="6">
        <f aca="true" t="shared" si="2" ref="J10:J16">ATAN(I10/H10)</f>
        <v>0</v>
      </c>
      <c r="K10" s="48">
        <f aca="true" t="shared" si="3" ref="K10:K25">($E10-$E$9)*SIN($F$2)+($F10-$F$9)*COS($F$2)</f>
        <v>564299.8669529806</v>
      </c>
      <c r="L10" s="48">
        <f aca="true" t="shared" si="4" ref="L10:L25">($E10-$E$9)*COS($F$2)-($F10-$F$9)*SIN($F$2)</f>
        <v>0</v>
      </c>
      <c r="M10" s="48">
        <f aca="true" t="shared" si="5" ref="M10:M16">-K10*SIN($G$2)+($G10-$G$9)*COS($G$2)</f>
        <v>0</v>
      </c>
      <c r="N10" s="2">
        <f aca="true" t="shared" si="6" ref="N10:N16">DEGREES(J10)</f>
        <v>0</v>
      </c>
    </row>
    <row r="11" spans="1:14" ht="12.75">
      <c r="A11" s="1" t="s">
        <v>347</v>
      </c>
      <c r="B11" s="2">
        <v>305</v>
      </c>
      <c r="C11" s="13">
        <v>48.77</v>
      </c>
      <c r="D11" s="13">
        <v>-92.61</v>
      </c>
      <c r="E11">
        <v>-191798.99768894527</v>
      </c>
      <c r="F11" s="2">
        <v>-4207536.708003664</v>
      </c>
      <c r="G11" s="2">
        <v>4773968.930133931</v>
      </c>
      <c r="H11" s="48">
        <f t="shared" si="0"/>
        <v>841714.9578963143</v>
      </c>
      <c r="I11" s="70">
        <f t="shared" si="1"/>
        <v>24180.146495235844</v>
      </c>
      <c r="J11" s="6">
        <f t="shared" si="2"/>
        <v>0.028719340164482108</v>
      </c>
      <c r="K11" s="48">
        <f t="shared" si="3"/>
        <v>643872.8707664364</v>
      </c>
      <c r="L11" s="48">
        <f t="shared" si="4"/>
        <v>23965.54451601737</v>
      </c>
      <c r="M11" s="48">
        <f t="shared" si="5"/>
        <v>3214.367835493642</v>
      </c>
      <c r="N11" s="2">
        <f t="shared" si="6"/>
        <v>1.6454969818253762</v>
      </c>
    </row>
    <row r="12" spans="1:14" ht="12.75">
      <c r="A12" s="1" t="s">
        <v>353</v>
      </c>
      <c r="B12" s="2">
        <v>305</v>
      </c>
      <c r="C12" s="13">
        <v>49.84</v>
      </c>
      <c r="D12" s="13">
        <v>-93.42</v>
      </c>
      <c r="E12" s="2">
        <v>-245877.94339534672</v>
      </c>
      <c r="F12" s="2">
        <v>-4114337.2003972363</v>
      </c>
      <c r="G12" s="2">
        <v>4851563.8050575275</v>
      </c>
      <c r="H12" s="48">
        <f t="shared" si="0"/>
        <v>974008.3312554238</v>
      </c>
      <c r="I12" s="70">
        <f t="shared" si="1"/>
        <v>31027.478968381423</v>
      </c>
      <c r="J12" s="6">
        <f t="shared" si="2"/>
        <v>0.03184468664853696</v>
      </c>
      <c r="K12" s="48">
        <f t="shared" si="3"/>
        <v>751433.3885903306</v>
      </c>
      <c r="L12" s="48">
        <f t="shared" si="4"/>
        <v>30401.03923299967</v>
      </c>
      <c r="M12" s="48">
        <f t="shared" si="5"/>
        <v>-6203.32690473157</v>
      </c>
      <c r="N12" s="2">
        <f t="shared" si="6"/>
        <v>1.82456614487777</v>
      </c>
    </row>
    <row r="13" spans="1:14" ht="12.75">
      <c r="A13" s="1" t="s">
        <v>354</v>
      </c>
      <c r="B13" s="2">
        <v>305</v>
      </c>
      <c r="C13" s="13">
        <v>51</v>
      </c>
      <c r="D13" s="13">
        <v>-93.86</v>
      </c>
      <c r="E13" s="2">
        <v>-270771.0346813774</v>
      </c>
      <c r="F13" s="2">
        <v>-4013098.2706384193</v>
      </c>
      <c r="G13" s="2">
        <v>4933781.6496295715</v>
      </c>
      <c r="H13" s="48">
        <f t="shared" si="0"/>
        <v>1102029.8793571233</v>
      </c>
      <c r="I13" s="70">
        <f t="shared" si="1"/>
        <v>65879.83471527098</v>
      </c>
      <c r="J13" s="6">
        <f t="shared" si="2"/>
        <v>0.05970938311963684</v>
      </c>
      <c r="K13" s="48">
        <f t="shared" si="3"/>
        <v>849564.7986991402</v>
      </c>
      <c r="L13" s="48">
        <f t="shared" si="4"/>
        <v>65603.49997854902</v>
      </c>
      <c r="M13" s="48">
        <f t="shared" si="5"/>
        <v>-6027.720354822464</v>
      </c>
      <c r="N13" s="2">
        <f t="shared" si="6"/>
        <v>3.421095650084872</v>
      </c>
    </row>
    <row r="14" spans="1:14" ht="12.75">
      <c r="A14" s="1" t="s">
        <v>370</v>
      </c>
      <c r="B14" s="2">
        <v>305</v>
      </c>
      <c r="C14" s="13">
        <v>48.67077056188</v>
      </c>
      <c r="D14" s="13">
        <v>-92.88893013008425</v>
      </c>
      <c r="E14" s="2">
        <v>-212697.94764969606</v>
      </c>
      <c r="F14" s="2">
        <v>-4214835.580463849</v>
      </c>
      <c r="G14" s="2">
        <v>4766688.584483936</v>
      </c>
      <c r="H14" s="48">
        <f t="shared" si="0"/>
        <v>841242.133316973</v>
      </c>
      <c r="I14" s="70">
        <f t="shared" si="1"/>
        <v>6392.7897703056515</v>
      </c>
      <c r="J14" s="6">
        <f t="shared" si="2"/>
        <v>0.007599080530944796</v>
      </c>
      <c r="K14" s="48">
        <f t="shared" si="3"/>
        <v>649339.4791104194</v>
      </c>
      <c r="L14" s="48">
        <f t="shared" si="4"/>
        <v>2514.3011519253487</v>
      </c>
      <c r="M14" s="48">
        <f t="shared" si="5"/>
        <v>-5877.58885638928</v>
      </c>
      <c r="N14" s="2">
        <f t="shared" si="6"/>
        <v>0.4353952426031696</v>
      </c>
    </row>
    <row r="15" spans="1:14" ht="12.75">
      <c r="A15" s="1" t="s">
        <v>371</v>
      </c>
      <c r="B15" s="2">
        <v>305</v>
      </c>
      <c r="C15" s="13">
        <v>49.72008376103057</v>
      </c>
      <c r="D15">
        <v>-93.72282002919415</v>
      </c>
      <c r="E15" s="2">
        <v>-268280.8226633044</v>
      </c>
      <c r="F15" s="2">
        <v>-4123143.4753738665</v>
      </c>
      <c r="G15" s="2">
        <v>4842950.949742962</v>
      </c>
      <c r="H15" s="48">
        <f t="shared" si="0"/>
        <v>972354.8746908589</v>
      </c>
      <c r="I15" s="70">
        <f t="shared" si="1"/>
        <v>17451.5209303596</v>
      </c>
      <c r="J15" s="6">
        <f t="shared" si="2"/>
        <v>0.0179457602586722</v>
      </c>
      <c r="K15" s="48">
        <f t="shared" si="3"/>
        <v>756474.8327431713</v>
      </c>
      <c r="L15" s="48">
        <f t="shared" si="4"/>
        <v>6863.339275006729</v>
      </c>
      <c r="M15" s="48">
        <f t="shared" si="5"/>
        <v>-16045.253403387847</v>
      </c>
      <c r="N15" s="2">
        <f t="shared" si="6"/>
        <v>1.0282163229755175</v>
      </c>
    </row>
    <row r="16" spans="1:14" ht="12.75">
      <c r="A16" s="1" t="s">
        <v>369</v>
      </c>
      <c r="B16" s="2">
        <v>305</v>
      </c>
      <c r="C16" s="13">
        <v>50.7255239811956</v>
      </c>
      <c r="D16">
        <v>-94.56134019981471</v>
      </c>
      <c r="E16" s="2">
        <v>-321756.18649209815</v>
      </c>
      <c r="F16" s="2">
        <v>-4033092.8609565366</v>
      </c>
      <c r="G16" s="2">
        <v>4914508.129122836</v>
      </c>
      <c r="H16" s="48">
        <f t="shared" si="0"/>
        <v>1098507.1741552197</v>
      </c>
      <c r="I16" s="70">
        <f t="shared" si="1"/>
        <v>30671.012370638957</v>
      </c>
      <c r="J16" s="6">
        <f t="shared" si="2"/>
        <v>0.027913378116118954</v>
      </c>
      <c r="K16" s="48">
        <f t="shared" si="3"/>
        <v>861077.4385421157</v>
      </c>
      <c r="L16" s="48">
        <f t="shared" si="4"/>
        <v>12061.661468860926</v>
      </c>
      <c r="M16" s="48">
        <f t="shared" si="5"/>
        <v>-28199.7752198574</v>
      </c>
      <c r="N16" s="2">
        <f t="shared" si="6"/>
        <v>1.5993187580064487</v>
      </c>
    </row>
    <row r="17" spans="1:13" ht="12.75">
      <c r="A17" s="1"/>
      <c r="B17" s="2"/>
      <c r="C17" s="13"/>
      <c r="E17" s="2"/>
      <c r="F17" s="2"/>
      <c r="G17" s="2"/>
      <c r="H17" s="48"/>
      <c r="I17" s="70"/>
      <c r="J17" s="6"/>
      <c r="K17" s="48"/>
      <c r="L17" s="48"/>
      <c r="M17" s="48"/>
    </row>
    <row r="18" spans="1:13" ht="12.75">
      <c r="A18" s="138">
        <v>37440</v>
      </c>
      <c r="B18" s="2" t="s">
        <v>376</v>
      </c>
      <c r="C18" s="13"/>
      <c r="E18" s="2"/>
      <c r="F18" s="2"/>
      <c r="G18" s="2"/>
      <c r="H18" s="48"/>
      <c r="I18" s="70"/>
      <c r="J18" s="6"/>
      <c r="K18" s="48"/>
      <c r="L18" s="48"/>
      <c r="M18" s="48"/>
    </row>
    <row r="19" spans="1:14" ht="12.75">
      <c r="A19" s="1" t="s">
        <v>375</v>
      </c>
      <c r="B19" s="2">
        <v>480</v>
      </c>
      <c r="C19" s="13">
        <v>47.586</v>
      </c>
      <c r="D19" s="13">
        <v>-92.219</v>
      </c>
      <c r="E19" s="2">
        <v>-166884.97920527676</v>
      </c>
      <c r="F19" s="2">
        <v>-4306905.738299522</v>
      </c>
      <c r="G19" s="2">
        <v>4686306.5574076185</v>
      </c>
      <c r="H19" s="48">
        <f>K19*COS($G$2)+($G19-$G$9)*SIN($G$2)</f>
        <v>711389.6144001493</v>
      </c>
      <c r="I19" s="70">
        <f>SQRT(SUMSQ(L19,M19))</f>
        <v>10406.647668065652</v>
      </c>
      <c r="J19" s="6">
        <f>ATAN(I19/H19)</f>
        <v>0.014627575696939083</v>
      </c>
      <c r="K19" s="48">
        <f t="shared" si="3"/>
        <v>547288.3052763974</v>
      </c>
      <c r="L19" s="48">
        <f t="shared" si="4"/>
        <v>-10186.090994510363</v>
      </c>
      <c r="M19" s="48">
        <f>-K19*SIN($G$2)+($G19-$G$9)*COS($G$2)</f>
        <v>-2131.1653945227154</v>
      </c>
      <c r="N19" s="2">
        <f aca="true" t="shared" si="7" ref="N19:N25">DEGREES(J19)</f>
        <v>0.8380983519427432</v>
      </c>
    </row>
    <row r="20" spans="1:14" ht="12.75">
      <c r="A20" s="1" t="s">
        <v>377</v>
      </c>
      <c r="B20" s="2">
        <v>369</v>
      </c>
      <c r="C20" s="13">
        <v>48.748</v>
      </c>
      <c r="D20" s="13">
        <v>-92.758</v>
      </c>
      <c r="E20" s="2">
        <v>-202757.3340808801</v>
      </c>
      <c r="F20" s="2">
        <v>-4208906.984000119</v>
      </c>
      <c r="G20" s="2">
        <v>4772404.16107539</v>
      </c>
      <c r="H20" s="48">
        <f aca="true" t="shared" si="8" ref="H20:H25">K20*COS($G$2)+($G20-$G$9)*SIN($G$2)</f>
        <v>844482.7083768747</v>
      </c>
      <c r="I20" s="70">
        <f aca="true" t="shared" si="9" ref="I20:I25">SQRT(SUMSQ(L20,M20))</f>
        <v>14121.246365613093</v>
      </c>
      <c r="J20" s="6">
        <f aca="true" t="shared" si="10" ref="J20:J25">ATAN(I20/H20)</f>
        <v>0.016720212578914217</v>
      </c>
      <c r="K20" s="48">
        <f t="shared" si="3"/>
        <v>648786.8884752514</v>
      </c>
      <c r="L20" s="48">
        <f t="shared" si="4"/>
        <v>14075.386643530335</v>
      </c>
      <c r="M20" s="48">
        <f aca="true" t="shared" si="11" ref="M20:M25">-K20*SIN($G$2)+($G20-$G$9)*COS($G$2)</f>
        <v>-1137.1410437886952</v>
      </c>
      <c r="N20" s="2">
        <f t="shared" si="7"/>
        <v>0.9579976133333346</v>
      </c>
    </row>
    <row r="21" spans="1:14" ht="12.75">
      <c r="A21" s="1" t="s">
        <v>378</v>
      </c>
      <c r="B21" s="2">
        <v>369</v>
      </c>
      <c r="C21" s="13">
        <v>48.713</v>
      </c>
      <c r="D21" s="13">
        <v>-92.941</v>
      </c>
      <c r="E21" s="2">
        <v>-216349.4303672137</v>
      </c>
      <c r="F21" s="2">
        <v>-4211159.641406552</v>
      </c>
      <c r="G21" s="2">
        <v>4769836.738589348</v>
      </c>
      <c r="H21" s="48">
        <f t="shared" si="8"/>
        <v>847160.2219248135</v>
      </c>
      <c r="I21" s="70">
        <f t="shared" si="9"/>
        <v>6885.751301665691</v>
      </c>
      <c r="J21" s="6">
        <f t="shared" si="10"/>
        <v>0.008127859988835678</v>
      </c>
      <c r="K21" s="48">
        <f t="shared" si="3"/>
        <v>654421.0378075659</v>
      </c>
      <c r="L21" s="48">
        <f t="shared" si="4"/>
        <v>1502.5624520887504</v>
      </c>
      <c r="M21" s="48">
        <f t="shared" si="11"/>
        <v>-6719.812279071775</v>
      </c>
      <c r="N21" s="2">
        <f t="shared" si="7"/>
        <v>0.4656920738335327</v>
      </c>
    </row>
    <row r="22" spans="1:14" ht="12.75">
      <c r="A22" s="1" t="s">
        <v>379</v>
      </c>
      <c r="B22" s="2">
        <v>404</v>
      </c>
      <c r="C22" s="13">
        <v>50.95</v>
      </c>
      <c r="D22" s="13">
        <v>-93.932</v>
      </c>
      <c r="E22" s="2">
        <v>-276114.43824370584</v>
      </c>
      <c r="F22" s="2">
        <v>-4017128.359763628</v>
      </c>
      <c r="G22" s="2">
        <v>4930355.9539720025</v>
      </c>
      <c r="H22" s="48">
        <f t="shared" si="8"/>
        <v>1099522.0532983732</v>
      </c>
      <c r="I22" s="70">
        <f t="shared" si="9"/>
        <v>59518.24484499838</v>
      </c>
      <c r="J22" s="6">
        <f t="shared" si="10"/>
        <v>0.05407823686809768</v>
      </c>
      <c r="K22" s="48">
        <f t="shared" si="3"/>
        <v>849159.0323456374</v>
      </c>
      <c r="L22" s="48">
        <f t="shared" si="4"/>
        <v>58923.0109505367</v>
      </c>
      <c r="M22" s="48">
        <f t="shared" si="11"/>
        <v>-8396.442696291604</v>
      </c>
      <c r="N22" s="2">
        <f t="shared" si="7"/>
        <v>3.098454736050764</v>
      </c>
    </row>
    <row r="23" spans="1:14" ht="12.75">
      <c r="A23" s="1" t="s">
        <v>380</v>
      </c>
      <c r="B23" s="2">
        <v>372</v>
      </c>
      <c r="C23" s="13">
        <v>49.84</v>
      </c>
      <c r="D23" s="13">
        <v>-93.459</v>
      </c>
      <c r="E23" s="2">
        <v>-248681.03375493814</v>
      </c>
      <c r="F23" s="2">
        <v>-4114212.014678824</v>
      </c>
      <c r="G23" s="2">
        <v>4851615.009570142</v>
      </c>
      <c r="H23" s="48">
        <f t="shared" si="8"/>
        <v>975310.0123396775</v>
      </c>
      <c r="I23" s="70">
        <f t="shared" si="9"/>
        <v>29046.7649855736</v>
      </c>
      <c r="J23" s="6">
        <f t="shared" si="10"/>
        <v>0.029773283664966545</v>
      </c>
      <c r="K23" s="48">
        <f t="shared" si="3"/>
        <v>753086.8249135964</v>
      </c>
      <c r="L23" s="48">
        <f t="shared" si="4"/>
        <v>28134.07312098256</v>
      </c>
      <c r="M23" s="48">
        <f t="shared" si="11"/>
        <v>-7224.159864672925</v>
      </c>
      <c r="N23" s="2">
        <f t="shared" si="7"/>
        <v>1.7058834962483787</v>
      </c>
    </row>
    <row r="24" spans="1:14" ht="12.75">
      <c r="A24" s="1" t="s">
        <v>381</v>
      </c>
      <c r="B24" s="2">
        <v>372</v>
      </c>
      <c r="C24" s="13">
        <v>49.825</v>
      </c>
      <c r="D24" s="13">
        <v>-93.496</v>
      </c>
      <c r="E24" s="2">
        <v>-251415.5715147911</v>
      </c>
      <c r="F24" s="2">
        <v>-4115323.185746436</v>
      </c>
      <c r="G24" s="2">
        <v>4850538.796210468</v>
      </c>
      <c r="H24" s="48">
        <f t="shared" si="8"/>
        <v>975069.0245506869</v>
      </c>
      <c r="I24" s="70">
        <f t="shared" si="9"/>
        <v>26609.986645725938</v>
      </c>
      <c r="J24" s="6">
        <f t="shared" si="10"/>
        <v>0.027283590057927683</v>
      </c>
      <c r="K24" s="48">
        <f t="shared" si="3"/>
        <v>753671.9729093827</v>
      </c>
      <c r="L24" s="48">
        <f t="shared" si="4"/>
        <v>25240.977940283075</v>
      </c>
      <c r="M24" s="48">
        <f t="shared" si="11"/>
        <v>-8425.225332527072</v>
      </c>
      <c r="N24" s="2">
        <f t="shared" si="7"/>
        <v>1.5632345602843496</v>
      </c>
    </row>
    <row r="25" spans="1:14" ht="12.75">
      <c r="A25" s="1" t="s">
        <v>382</v>
      </c>
      <c r="B25" s="2">
        <v>371</v>
      </c>
      <c r="C25" s="13">
        <v>49.849</v>
      </c>
      <c r="D25" s="13">
        <v>-93.629</v>
      </c>
      <c r="E25" s="2">
        <v>-260838.56362450682</v>
      </c>
      <c r="F25" s="2">
        <v>-4112691.8128940887</v>
      </c>
      <c r="G25" s="2">
        <v>4852259.814348474</v>
      </c>
      <c r="H25" s="48">
        <f t="shared" si="8"/>
        <v>981851.6983836399</v>
      </c>
      <c r="I25" s="70">
        <f t="shared" si="9"/>
        <v>22258.198817511086</v>
      </c>
      <c r="J25" s="6">
        <f t="shared" si="10"/>
        <v>0.022665731612472883</v>
      </c>
      <c r="K25" s="48">
        <f t="shared" si="3"/>
        <v>761072.5460292937</v>
      </c>
      <c r="L25" s="48">
        <f t="shared" si="4"/>
        <v>18841.88262260845</v>
      </c>
      <c r="M25" s="48">
        <f t="shared" si="11"/>
        <v>-11849.509434389998</v>
      </c>
      <c r="N25" s="2">
        <f t="shared" si="7"/>
        <v>1.2986507609709461</v>
      </c>
    </row>
    <row r="26" spans="1:13" ht="12.75">
      <c r="A26" s="1"/>
      <c r="B26" s="2"/>
      <c r="C26" s="13"/>
      <c r="D26" s="13"/>
      <c r="E26" s="2"/>
      <c r="F26" s="2"/>
      <c r="G26" s="2"/>
      <c r="H26" s="48"/>
      <c r="I26" s="70"/>
      <c r="J26" s="6"/>
      <c r="K26" s="48"/>
      <c r="L26" s="48"/>
      <c r="M26" s="48"/>
    </row>
    <row r="27" spans="1:13" ht="12.75">
      <c r="A27" s="138">
        <v>37818</v>
      </c>
      <c r="C27" s="13"/>
      <c r="D27" s="13"/>
      <c r="E27" s="2"/>
      <c r="F27" s="2"/>
      <c r="G27" s="2"/>
      <c r="H27" s="48"/>
      <c r="I27" s="70"/>
      <c r="J27" s="6"/>
      <c r="K27" s="48"/>
      <c r="L27" s="48"/>
      <c r="M27" s="48"/>
    </row>
    <row r="28" spans="1:14" ht="12.75">
      <c r="A28" s="1" t="s">
        <v>385</v>
      </c>
      <c r="B28" s="2">
        <v>400</v>
      </c>
      <c r="C28" s="13">
        <v>48.1217</v>
      </c>
      <c r="D28" s="13">
        <v>-92.5367</v>
      </c>
      <c r="E28" s="2">
        <v>-188806.60713634535</v>
      </c>
      <c r="F28" s="2">
        <v>-4261738.702053238</v>
      </c>
      <c r="G28" s="2">
        <v>4726218.1484478135</v>
      </c>
      <c r="H28" s="48">
        <f>K28*COS($G$2)+($G28-$G$9)*SIN($G$2)</f>
        <v>775163.869858799</v>
      </c>
      <c r="I28" s="70">
        <f>SQRT(SUMSQ(L28,M28))</f>
        <v>4880.009086088054</v>
      </c>
      <c r="J28" s="6">
        <f>ATAN(I28/H28)</f>
        <v>0.006295371608477145</v>
      </c>
      <c r="K28" s="48">
        <f>($E28-$E$9)*SIN($F$2)+($F28-$F$9)*COS($F$2)</f>
        <v>597046.1763913368</v>
      </c>
      <c r="L28" s="48">
        <f>($E28-$E$9)*COS($F$2)-($F28-$F$9)*SIN($F$2)</f>
        <v>-3494.813348917407</v>
      </c>
      <c r="M28" s="48">
        <f>-K28*SIN($G$2)+($G28-$G$9)*COS($G$2)</f>
        <v>-3405.9900670041097</v>
      </c>
      <c r="N28" s="2">
        <f>DEGREES(J28)</f>
        <v>0.36069822363222487</v>
      </c>
    </row>
    <row r="29" spans="1:7" ht="12.75">
      <c r="A29" s="1"/>
      <c r="B29" s="2"/>
      <c r="C29" s="13"/>
      <c r="E29" s="2"/>
      <c r="F29" s="2"/>
      <c r="G29" s="2"/>
    </row>
    <row r="30" spans="1:7" ht="12.75">
      <c r="A30" t="s">
        <v>349</v>
      </c>
      <c r="D30" s="6"/>
      <c r="E30" s="2"/>
      <c r="F30" s="2"/>
      <c r="G30" s="2"/>
    </row>
    <row r="31" spans="1:14" ht="12.75">
      <c r="A31" t="str">
        <f>A11</f>
        <v>Mine Centre</v>
      </c>
      <c r="B31" s="2">
        <v>6715.2514872783795</v>
      </c>
      <c r="C31" s="13">
        <v>48.67077056188</v>
      </c>
      <c r="D31" s="13">
        <v>-92.88893013008425</v>
      </c>
      <c r="E31" s="2">
        <f aca="true" t="shared" si="12" ref="E31:G33">(E$10-E$9)*($H11/$H$10)+E$9</f>
        <v>-212911.30251334852</v>
      </c>
      <c r="F31" s="2">
        <f t="shared" si="12"/>
        <v>-4219063.433408885</v>
      </c>
      <c r="G31" s="2">
        <f t="shared" si="12"/>
        <v>4771502.217551325</v>
      </c>
      <c r="H31" s="48">
        <f>K31*COS($G$2)+($G31-$G$9)*SIN($G$2)</f>
        <v>841714.9578963144</v>
      </c>
      <c r="I31" s="70">
        <f>SQRT(SUMSQ(L31,M31))</f>
        <v>0</v>
      </c>
      <c r="K31" s="48">
        <f>($E31-$E$9)*SIN($F$2)+($F31-$F$9)*COS($F$2)</f>
        <v>645933.8146319187</v>
      </c>
      <c r="L31" s="48">
        <f>($E31-$E$9)*COS($F$2)-($F31-$F$9)*SIN($F$2)</f>
        <v>0</v>
      </c>
      <c r="M31" s="48">
        <f>-K31*SIN($G$2)+($G31-$G$9)*COS($G$2)</f>
        <v>0</v>
      </c>
      <c r="N31" s="2">
        <f>DEGREES(J31)</f>
        <v>0</v>
      </c>
    </row>
    <row r="32" spans="1:14" ht="12.75">
      <c r="A32" s="1" t="s">
        <v>353</v>
      </c>
      <c r="B32" s="2">
        <v>17834.674879862927</v>
      </c>
      <c r="C32" s="13">
        <v>49.72008376103057</v>
      </c>
      <c r="D32">
        <v>-93.72282002919415</v>
      </c>
      <c r="E32" s="2">
        <f t="shared" si="12"/>
        <v>-269016.69287518185</v>
      </c>
      <c r="F32" s="2">
        <f t="shared" si="12"/>
        <v>-4134452.8877444305</v>
      </c>
      <c r="G32" s="2">
        <f t="shared" si="12"/>
        <v>4856324.251065278</v>
      </c>
      <c r="H32" s="48">
        <f>K32*COS($G$2)+($G32-$G$9)*SIN($G$2)</f>
        <v>974008.3312554234</v>
      </c>
      <c r="I32" s="70">
        <f>SQRT(SUMSQ(L32,M32))</f>
        <v>0</v>
      </c>
      <c r="K32" s="48">
        <f>($E32-$E$9)*SIN($F$2)+($F32-$F$9)*COS($F$2)</f>
        <v>747456.0253313044</v>
      </c>
      <c r="L32" s="48">
        <f>($E32-$E$9)*COS($F$2)-($F32-$F$9)*SIN($F$2)</f>
        <v>0</v>
      </c>
      <c r="M32" s="48">
        <f>-K32*SIN($G$2)+($G32-$G$9)*COS($G$2)</f>
        <v>0</v>
      </c>
      <c r="N32" s="2">
        <f>DEGREES(J32)</f>
        <v>0</v>
      </c>
    </row>
    <row r="33" spans="1:14" ht="12.75">
      <c r="A33" s="1" t="s">
        <v>354</v>
      </c>
      <c r="B33" s="2">
        <v>31177.648927155882</v>
      </c>
      <c r="C33" s="13">
        <v>50.7255239811956</v>
      </c>
      <c r="D33">
        <v>-94.56134019981471</v>
      </c>
      <c r="E33" s="2">
        <f t="shared" si="12"/>
        <v>-323310.4095489165</v>
      </c>
      <c r="F33" s="2">
        <f t="shared" si="12"/>
        <v>-4052574.4627964953</v>
      </c>
      <c r="G33" s="2">
        <f t="shared" si="12"/>
        <v>4938407.3348045815</v>
      </c>
      <c r="H33" s="48">
        <f>K33*COS($G$2)+($G33-$G$9)*SIN($G$2)</f>
        <v>1102029.8793571235</v>
      </c>
      <c r="I33" s="70">
        <f>SQRT(SUMSQ(L33,M33))</f>
        <v>0</v>
      </c>
      <c r="K33" s="48">
        <f>($E33-$E$9)*SIN($F$2)+($F33-$F$9)*COS($F$2)</f>
        <v>845700.0284164925</v>
      </c>
      <c r="L33" s="48">
        <f>($E33-$E$9)*COS($F$2)-($F33-$F$9)*SIN($F$2)</f>
        <v>0</v>
      </c>
      <c r="M33" s="48">
        <f>-K33*SIN($G$2)+($G33-$G$9)*COS($G$2)</f>
        <v>0</v>
      </c>
      <c r="N33" s="2">
        <f>DEGREES(J33)</f>
        <v>0</v>
      </c>
    </row>
    <row r="34" spans="2:7" ht="12.75">
      <c r="B34" s="2"/>
      <c r="E34" s="2"/>
      <c r="F34" s="2"/>
      <c r="G34" s="2"/>
    </row>
    <row r="35" spans="2:7" ht="12.75">
      <c r="B35" s="2"/>
      <c r="E35" s="2"/>
      <c r="F35" s="2"/>
      <c r="G35" s="2"/>
    </row>
    <row r="36" spans="5:10" ht="12.75">
      <c r="E36" s="2"/>
      <c r="F36" s="2"/>
      <c r="G36" s="2"/>
      <c r="H36" s="1" t="s">
        <v>350</v>
      </c>
      <c r="I36" s="1" t="s">
        <v>351</v>
      </c>
      <c r="J36" s="1" t="s">
        <v>352</v>
      </c>
    </row>
    <row r="37" spans="1:10" ht="12.75">
      <c r="A37" t="s">
        <v>348</v>
      </c>
      <c r="E37" s="2"/>
      <c r="F37" s="2"/>
      <c r="G37" s="2"/>
      <c r="H37" s="1" t="s">
        <v>130</v>
      </c>
      <c r="I37" s="1" t="s">
        <v>130</v>
      </c>
      <c r="J37" s="1" t="s">
        <v>130</v>
      </c>
    </row>
    <row r="38" spans="1:10" ht="12.75">
      <c r="A38" t="str">
        <f>A11</f>
        <v>Mine Centre</v>
      </c>
      <c r="E38" s="2"/>
      <c r="F38" s="2"/>
      <c r="G38" s="2"/>
      <c r="H38" s="2">
        <v>-11008.718447475967</v>
      </c>
      <c r="I38" s="2">
        <v>-20565.507283757972</v>
      </c>
      <c r="J38" s="2">
        <v>6367.692897508017</v>
      </c>
    </row>
    <row r="39" spans="1:10" ht="12.75">
      <c r="A39" s="1" t="s">
        <v>353</v>
      </c>
      <c r="E39" s="2"/>
      <c r="F39" s="2"/>
      <c r="G39" s="2"/>
      <c r="H39" s="2">
        <v>-13330.754954563392</v>
      </c>
      <c r="I39" s="2">
        <v>-21897.543141630224</v>
      </c>
      <c r="J39" s="2">
        <v>17478.358842728092</v>
      </c>
    </row>
    <row r="40" spans="1:10" ht="12.75">
      <c r="A40" s="1" t="s">
        <v>354</v>
      </c>
      <c r="E40" s="2"/>
      <c r="F40" s="2"/>
      <c r="G40" s="2"/>
      <c r="H40" s="2">
        <v>-30446.807423655173</v>
      </c>
      <c r="I40" s="2">
        <v>-49762.70204033794</v>
      </c>
      <c r="J40" s="2">
        <v>30607.483161193508</v>
      </c>
    </row>
    <row r="41" spans="5:7" ht="12.75">
      <c r="E41" s="2"/>
      <c r="F41" s="2"/>
      <c r="G41" s="2"/>
    </row>
    <row r="42" spans="5:7" ht="12.75">
      <c r="E42" s="2"/>
      <c r="F42" s="2"/>
      <c r="G42" s="2"/>
    </row>
    <row r="43" spans="1:7" ht="12.75">
      <c r="A43" s="1" t="s">
        <v>108</v>
      </c>
      <c r="B43" s="2">
        <v>153.96829709410667</v>
      </c>
      <c r="C43" s="137">
        <v>41.83202350680571</v>
      </c>
      <c r="D43" s="13">
        <v>-88.26555873341539</v>
      </c>
      <c r="E43">
        <v>144058.55234079924</v>
      </c>
      <c r="F43" s="2">
        <v>-4757396.9876393</v>
      </c>
      <c r="G43" s="2">
        <v>4231823.074484399</v>
      </c>
    </row>
    <row r="44" spans="1:11" ht="12.75">
      <c r="A44" s="1" t="s">
        <v>136</v>
      </c>
      <c r="B44" s="2">
        <v>-248.3991527</v>
      </c>
      <c r="C44" s="13">
        <v>47.820266534666665</v>
      </c>
      <c r="D44" s="13">
        <v>-92.24141201908333</v>
      </c>
      <c r="E44" s="2">
        <v>-167796.99235646756</v>
      </c>
      <c r="F44" s="2">
        <v>-4287098.721551998</v>
      </c>
      <c r="G44" s="2">
        <v>4703296.872157471</v>
      </c>
      <c r="H44" s="48">
        <f>K44*COS($G$2)+($G44-$G$9)*SIN($G$2)</f>
        <v>735337.9370979177</v>
      </c>
      <c r="I44" s="70">
        <f>SQRT(SUMSQ(L44,M44))</f>
        <v>0</v>
      </c>
      <c r="J44" s="6">
        <f>ATAN(I44/H44)</f>
        <v>0</v>
      </c>
      <c r="K44" s="48">
        <f>($E44-$E$9)*SIN($F$2)+($F44-$F$9)*COS($F$2)</f>
        <v>564299.8669529806</v>
      </c>
    </row>
    <row r="45" spans="1:8" ht="12.75">
      <c r="A45" s="1" t="s">
        <v>383</v>
      </c>
      <c r="E45" s="2">
        <f>E44-E43</f>
        <v>-311855.54469726677</v>
      </c>
      <c r="F45" s="2">
        <f>F44-F43</f>
        <v>470298.266087302</v>
      </c>
      <c r="G45" s="2">
        <f>G44-G43</f>
        <v>471473.79767307267</v>
      </c>
      <c r="H45">
        <f>SQRT(SUMSQ(E45,F45,G45))</f>
        <v>735337.9370979177</v>
      </c>
    </row>
    <row r="46" spans="1:11" ht="12.75">
      <c r="A46" s="1" t="s">
        <v>384</v>
      </c>
      <c r="B46" s="2">
        <v>1039.32</v>
      </c>
      <c r="E46" s="2">
        <f>E43+($B46/$H$45)*E45</f>
        <v>143617.7785300614</v>
      </c>
      <c r="F46" s="2">
        <f>F43+($B46/$H$45)*F45</f>
        <v>-4756732.272316928</v>
      </c>
      <c r="G46" s="2">
        <f>G43+($B46/$H$45)*G45</f>
        <v>4232489.451292498</v>
      </c>
      <c r="H46" s="48">
        <f>K46*COS($G$2)+($G46-$G$9)*SIN($G$2)</f>
        <v>1039.3200000003471</v>
      </c>
      <c r="I46" s="70">
        <f>SQRT(SUMSQ(L46,M46))</f>
        <v>0</v>
      </c>
      <c r="J46" s="6">
        <f>ATAN(I46/H46)</f>
        <v>0</v>
      </c>
      <c r="K46" s="48">
        <f>($E46-$E$9)*SIN($F$2)+($F46-$F$9)*COS($F$2)</f>
        <v>797.5763361759879</v>
      </c>
    </row>
    <row r="47" spans="5:7" ht="12.75">
      <c r="E47" s="2"/>
      <c r="F47" s="2"/>
      <c r="G47" s="2"/>
    </row>
    <row r="48" spans="1:7" ht="12.75">
      <c r="A48" s="138">
        <v>37928</v>
      </c>
      <c r="B48" t="s">
        <v>394</v>
      </c>
      <c r="E48" s="2"/>
      <c r="F48" s="2"/>
      <c r="G48" s="2"/>
    </row>
    <row r="49" spans="1:14" ht="12.75">
      <c r="A49" s="1" t="s">
        <v>386</v>
      </c>
      <c r="B49" s="2">
        <v>305</v>
      </c>
      <c r="C49" s="13">
        <v>48.375</v>
      </c>
      <c r="D49" s="13">
        <v>-92.869</v>
      </c>
      <c r="E49" s="2">
        <v>-212465.25912171922</v>
      </c>
      <c r="F49" s="2">
        <v>-4239521.305582071</v>
      </c>
      <c r="G49" s="2">
        <v>4744903.946658249</v>
      </c>
      <c r="H49" s="48">
        <f aca="true" t="shared" si="13" ref="H49:H54">K49*COS($G$2)+($G49-$G$9)*SIN($G$2)</f>
        <v>811387.6898741475</v>
      </c>
      <c r="I49" s="70">
        <f aca="true" t="shared" si="14" ref="I49:I54">SQRT(SUMSQ(L49,M49))</f>
        <v>14368.309482146577</v>
      </c>
      <c r="J49" s="6">
        <f aca="true" t="shared" si="15" ref="J49:J54">ATAN(I49/H49)</f>
        <v>0.01770646517213655</v>
      </c>
      <c r="K49" s="48">
        <f>($E49-$E$9)*SIN($F$2)+($F49-$F$9)*COS($F$2)</f>
        <v>628637.3318798622</v>
      </c>
      <c r="L49" s="48">
        <f>($E49-$E$9)*COS($F$2)-($F49-$F$9)*SIN($F$2)</f>
        <v>-10934.128816208045</v>
      </c>
      <c r="M49" s="48">
        <f aca="true" t="shared" si="16" ref="M49:M54">-K49*SIN($G$2)+($G49-$G$9)*COS($G$2)</f>
        <v>-9321.649232046446</v>
      </c>
      <c r="N49" s="2">
        <f aca="true" t="shared" si="17" ref="N49:N54">DEGREES(J49)</f>
        <v>1.014505724458807</v>
      </c>
    </row>
    <row r="50" spans="1:14" ht="12.75">
      <c r="A50" s="1" t="s">
        <v>387</v>
      </c>
      <c r="B50" s="2">
        <v>305</v>
      </c>
      <c r="C50" s="13">
        <v>48.377</v>
      </c>
      <c r="D50" s="13">
        <v>-92.857</v>
      </c>
      <c r="E50" s="2">
        <v>-211569.04459598506</v>
      </c>
      <c r="F50" s="2">
        <v>-4239399.665015066</v>
      </c>
      <c r="G50" s="2">
        <v>4745051.677424562</v>
      </c>
      <c r="H50" s="48">
        <f t="shared" si="13"/>
        <v>811180.1241710698</v>
      </c>
      <c r="I50" s="70">
        <f t="shared" si="14"/>
        <v>13513.658817142417</v>
      </c>
      <c r="J50" s="6">
        <f t="shared" si="15"/>
        <v>0.016657716911621163</v>
      </c>
      <c r="K50" s="48">
        <f>($E50-$E$9)*SIN($F$2)+($F50-$F$9)*COS($F$2)</f>
        <v>628243.4240759485</v>
      </c>
      <c r="L50" s="48">
        <f>($E50-$E$9)*COS($F$2)-($F50-$F$9)*SIN($F$2)</f>
        <v>-10119.98291669495</v>
      </c>
      <c r="M50" s="48">
        <f t="shared" si="16"/>
        <v>-8955.71998177329</v>
      </c>
      <c r="N50" s="2">
        <f t="shared" si="17"/>
        <v>0.9544168753595887</v>
      </c>
    </row>
    <row r="51" spans="1:14" ht="12.75">
      <c r="A51" s="1" t="s">
        <v>388</v>
      </c>
      <c r="B51" s="2">
        <v>305</v>
      </c>
      <c r="C51" s="13">
        <v>48.378</v>
      </c>
      <c r="D51" s="13">
        <v>-92.841</v>
      </c>
      <c r="E51" s="2">
        <v>-210381.05242711093</v>
      </c>
      <c r="F51" s="2">
        <v>-4239375.554729886</v>
      </c>
      <c r="G51" s="2">
        <v>4745125.540650806</v>
      </c>
      <c r="H51" s="48">
        <f t="shared" si="13"/>
        <v>810739.0775074097</v>
      </c>
      <c r="I51" s="70">
        <f t="shared" si="14"/>
        <v>12458.26458639486</v>
      </c>
      <c r="J51" s="6">
        <f t="shared" si="15"/>
        <v>0.015365343150487418</v>
      </c>
      <c r="K51" s="48">
        <f>($E51-$E$9)*SIN($F$2)+($F51-$F$9)*COS($F$2)</f>
        <v>627606.9842313945</v>
      </c>
      <c r="L51" s="48">
        <f>($E51-$E$9)*COS($F$2)-($F51-$F$9)*SIN($F$2)</f>
        <v>-9116.563252037275</v>
      </c>
      <c r="M51" s="48">
        <f t="shared" si="16"/>
        <v>-8490.973499912943</v>
      </c>
      <c r="N51" s="2">
        <f t="shared" si="17"/>
        <v>0.8803693132931768</v>
      </c>
    </row>
    <row r="52" spans="1:14" ht="12.75">
      <c r="A52" s="1" t="s">
        <v>389</v>
      </c>
      <c r="B52" s="2">
        <v>305</v>
      </c>
      <c r="C52" s="13">
        <v>48.377</v>
      </c>
      <c r="D52" s="13">
        <v>-92.836</v>
      </c>
      <c r="E52" s="2">
        <v>-210015.20928836355</v>
      </c>
      <c r="F52" s="2">
        <v>-4239476.924365631</v>
      </c>
      <c r="G52" s="2">
        <v>4745051.677424562</v>
      </c>
      <c r="H52" s="48">
        <f t="shared" si="13"/>
        <v>810471.7327382902</v>
      </c>
      <c r="I52" s="70">
        <f t="shared" si="14"/>
        <v>12189.746663957823</v>
      </c>
      <c r="J52" s="6">
        <f t="shared" si="15"/>
        <v>0.015039176747270648</v>
      </c>
      <c r="K52" s="48">
        <f aca="true" t="shared" si="18" ref="K52:K57">($E52-$E$9)*SIN($F$2)+($F52-$F$9)*COS($F$2)</f>
        <v>627320.3207308233</v>
      </c>
      <c r="L52" s="48">
        <f aca="true" t="shared" si="19" ref="L52:L57">($E52-$E$9)*COS($F$2)-($F52-$F$9)*SIN($F$2)</f>
        <v>-8867.68367742357</v>
      </c>
      <c r="M52" s="48">
        <f t="shared" si="16"/>
        <v>-8363.857359414164</v>
      </c>
      <c r="N52" s="2">
        <f t="shared" si="17"/>
        <v>0.8616813549698936</v>
      </c>
    </row>
    <row r="53" spans="1:14" ht="12.75">
      <c r="A53" s="1" t="s">
        <v>390</v>
      </c>
      <c r="B53" s="2">
        <v>305</v>
      </c>
      <c r="C53" s="13">
        <v>48.381</v>
      </c>
      <c r="D53" s="13">
        <v>-92.84</v>
      </c>
      <c r="E53" s="2">
        <v>-210294.7046464087</v>
      </c>
      <c r="F53" s="2">
        <v>-4239130.13927237</v>
      </c>
      <c r="G53" s="2">
        <v>4745347.121701611</v>
      </c>
      <c r="H53" s="48">
        <f t="shared" si="13"/>
        <v>811001.487590906</v>
      </c>
      <c r="I53" s="70">
        <f t="shared" si="14"/>
        <v>12259.324994282382</v>
      </c>
      <c r="J53" s="6">
        <f t="shared" si="15"/>
        <v>0.015115128085660342</v>
      </c>
      <c r="K53" s="48">
        <f t="shared" si="18"/>
        <v>627763.7987818466</v>
      </c>
      <c r="L53" s="48">
        <f t="shared" si="19"/>
        <v>-8908.97259043029</v>
      </c>
      <c r="M53" s="48">
        <f t="shared" si="16"/>
        <v>-8421.475921618403</v>
      </c>
      <c r="N53" s="2">
        <f t="shared" si="17"/>
        <v>0.866033046107993</v>
      </c>
    </row>
    <row r="54" spans="1:14" ht="12.75">
      <c r="A54" s="1" t="s">
        <v>391</v>
      </c>
      <c r="B54" s="2">
        <v>305</v>
      </c>
      <c r="C54" s="13">
        <v>48.391</v>
      </c>
      <c r="D54" s="13">
        <v>-92.84</v>
      </c>
      <c r="E54" s="2">
        <v>-210253.5114916203</v>
      </c>
      <c r="F54" s="2">
        <v>-4238299.765800586</v>
      </c>
      <c r="G54" s="2">
        <v>4746085.631728091</v>
      </c>
      <c r="H54" s="48">
        <f t="shared" si="13"/>
        <v>811988.6051873809</v>
      </c>
      <c r="I54" s="70">
        <f t="shared" si="14"/>
        <v>11808.77328654788</v>
      </c>
      <c r="J54" s="6">
        <f t="shared" si="15"/>
        <v>0.014542003175308175</v>
      </c>
      <c r="K54" s="48">
        <f t="shared" si="18"/>
        <v>628433.0828139342</v>
      </c>
      <c r="L54" s="48">
        <f t="shared" si="19"/>
        <v>-8415.742559879262</v>
      </c>
      <c r="M54" s="48">
        <f t="shared" si="16"/>
        <v>-8283.864056038321</v>
      </c>
      <c r="N54" s="2">
        <f t="shared" si="17"/>
        <v>0.8331954076110002</v>
      </c>
    </row>
    <row r="55" spans="1:7" ht="12.75">
      <c r="A55" s="138">
        <v>37928</v>
      </c>
      <c r="B55" t="s">
        <v>395</v>
      </c>
      <c r="E55" s="2"/>
      <c r="F55" s="2"/>
      <c r="G55" s="2"/>
    </row>
    <row r="56" spans="1:14" ht="12.75">
      <c r="A56" s="1" t="s">
        <v>393</v>
      </c>
      <c r="B56" s="2">
        <v>305</v>
      </c>
      <c r="C56" s="13">
        <v>48.39085</v>
      </c>
      <c r="D56" s="13">
        <v>-92.83863</v>
      </c>
      <c r="E56" s="2">
        <v>-210152.7870474346</v>
      </c>
      <c r="F56" s="2">
        <v>-4238317.248541537</v>
      </c>
      <c r="G56" s="2">
        <v>4746074.55514016</v>
      </c>
      <c r="H56" s="48">
        <f>K56*COS($G$2)+($G56-$G$9)*SIN($G$2)</f>
        <v>811927.6047984771</v>
      </c>
      <c r="I56" s="70">
        <f>SQRT(SUMSQ(L56,M56))</f>
        <v>11730.235115246767</v>
      </c>
      <c r="J56" s="6">
        <f>ATAN(I56/H56)</f>
        <v>0.014446385378251565</v>
      </c>
      <c r="K56" s="48">
        <f t="shared" si="18"/>
        <v>628362.8478529099</v>
      </c>
      <c r="L56" s="48">
        <f t="shared" si="19"/>
        <v>-8341.458576830511</v>
      </c>
      <c r="M56" s="48">
        <f>-K56*SIN($G$2)+($G56-$G$9)*COS($G$2)</f>
        <v>-8247.331972825457</v>
      </c>
      <c r="N56" s="2">
        <f>DEGREES(J56)</f>
        <v>0.827716911393318</v>
      </c>
    </row>
    <row r="57" spans="8:14" ht="12.75">
      <c r="H57" s="48">
        <f>K57*COS($G$2)+($G57-$G$9)*SIN($G$2)</f>
        <v>390469.88084109174</v>
      </c>
      <c r="I57" s="70">
        <f>SQRT(SUMSQ(L57,M57))</f>
        <v>6356841.886534267</v>
      </c>
      <c r="J57" s="6">
        <f>ATAN(I57/H57)</f>
        <v>1.509448269154195</v>
      </c>
      <c r="K57" s="48">
        <f t="shared" si="18"/>
        <v>4044518.0769011714</v>
      </c>
      <c r="L57" s="48">
        <f t="shared" si="19"/>
        <v>2509074.0304187248</v>
      </c>
      <c r="M57" s="153">
        <f>-K57*SIN($G$2)+($G57-$G$9)*COS($G$2)</f>
        <v>-5840717.959315864</v>
      </c>
      <c r="N57" s="2">
        <f>DEGREES(J57)</f>
        <v>86.4850152158625</v>
      </c>
    </row>
    <row r="59" spans="1:2" ht="12.75">
      <c r="A59" s="136">
        <v>38462</v>
      </c>
      <c r="B59" t="s">
        <v>397</v>
      </c>
    </row>
    <row r="60" spans="1:14" ht="12.75">
      <c r="A60" t="s">
        <v>396</v>
      </c>
      <c r="B60" s="2">
        <v>336.808</v>
      </c>
      <c r="C60" s="13">
        <v>48.37859</v>
      </c>
      <c r="D60">
        <v>-92.83064</v>
      </c>
      <c r="E60" s="2">
        <v>-209613.12282944316</v>
      </c>
      <c r="F60" s="2">
        <v>-4239385.640472654</v>
      </c>
      <c r="G60" s="2">
        <v>4745192.897348482</v>
      </c>
      <c r="H60" s="48">
        <f>K60*COS($G$2)+($G60-$G$9)*SIN($G$2)</f>
        <v>810450.1362172427</v>
      </c>
      <c r="I60" s="70">
        <f>SQRT(SUMSQ(L60,M60))</f>
        <v>11771.208267701893</v>
      </c>
      <c r="J60" s="6">
        <f>ATAN(I60/H60)</f>
        <v>0.01452326320319269</v>
      </c>
      <c r="K60" s="48">
        <f>($E60-$E$9)*SIN($F$2)+($F60-$F$9)*COS($F$2)</f>
        <v>627174.1887894523</v>
      </c>
      <c r="L60" s="48">
        <f>($E60-$E$9)*COS($F$2)-($F60-$F$9)*SIN($F$2)</f>
        <v>-8482.129887045012</v>
      </c>
      <c r="M60" s="48">
        <f>-K60*SIN($G$2)+($G60-$G$9)*COS($G$2)</f>
        <v>-8161.790040236956</v>
      </c>
      <c r="N60" s="2">
        <f>DEGREES(J60)</f>
        <v>0.83212168630059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&amp;L&amp;F&amp;C&amp;D&amp;RWes Smart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9">
      <pane xSplit="18225" ySplit="1590" topLeftCell="P1" activePane="bottomLeft" state="split"/>
      <selection pane="topLeft" activeCell="C9" sqref="C1:C16384"/>
      <selection pane="topRight" activeCell="H1" sqref="H1"/>
      <selection pane="bottomLeft" activeCell="K26" sqref="K26"/>
      <selection pane="bottomRight" activeCell="P62" sqref="P62"/>
    </sheetView>
  </sheetViews>
  <sheetFormatPr defaultColWidth="9.140625" defaultRowHeight="12.75"/>
  <cols>
    <col min="2" max="2" width="6.421875" style="0" customWidth="1"/>
    <col min="3" max="3" width="12.8515625" style="0" customWidth="1"/>
    <col min="4" max="4" width="13.28125" style="0" customWidth="1"/>
    <col min="5" max="5" width="12.421875" style="0" customWidth="1"/>
    <col min="6" max="6" width="13.00390625" style="0" customWidth="1"/>
    <col min="7" max="7" width="12.7109375" style="0" customWidth="1"/>
    <col min="8" max="9" width="11.28125" style="0" customWidth="1"/>
    <col min="10" max="10" width="11.421875" style="0" customWidth="1"/>
    <col min="11" max="12" width="11.00390625" style="0" customWidth="1"/>
  </cols>
  <sheetData>
    <row r="1" spans="1:10" ht="12.75">
      <c r="A1" s="10" t="s">
        <v>595</v>
      </c>
      <c r="C1" s="45"/>
      <c r="D1" s="45"/>
      <c r="E1" s="45"/>
      <c r="F1" s="45" t="s">
        <v>562</v>
      </c>
      <c r="G1" s="45"/>
      <c r="H1" s="45" t="s">
        <v>322</v>
      </c>
      <c r="I1" s="45"/>
      <c r="J1" t="s">
        <v>577</v>
      </c>
    </row>
    <row r="2" spans="1:11" ht="12.75">
      <c r="A2" s="10" t="s">
        <v>596</v>
      </c>
      <c r="F2" s="45">
        <v>-33.54842272578898</v>
      </c>
      <c r="G2" s="45" t="s">
        <v>540</v>
      </c>
      <c r="H2" s="45">
        <v>39.87883179476789</v>
      </c>
      <c r="I2" s="45" t="s">
        <v>540</v>
      </c>
      <c r="J2" s="45">
        <v>-23.160431624780003</v>
      </c>
      <c r="K2" s="45" t="s">
        <v>540</v>
      </c>
    </row>
    <row r="3" spans="1:11" ht="12.75">
      <c r="A3" s="10" t="s">
        <v>597</v>
      </c>
      <c r="F3" s="45">
        <f>RADIANS(F2)</f>
        <v>-0.5855304354159085</v>
      </c>
      <c r="G3" s="45" t="s">
        <v>563</v>
      </c>
      <c r="H3" s="57">
        <f>RADIANS(H2)</f>
        <v>0.6960169166676993</v>
      </c>
      <c r="I3" s="45" t="s">
        <v>563</v>
      </c>
      <c r="J3" s="57">
        <f>RADIANS(J2)</f>
        <v>-0.40422578803543097</v>
      </c>
      <c r="K3" s="45" t="s">
        <v>563</v>
      </c>
    </row>
    <row r="4" spans="6:11" ht="12.75">
      <c r="F4" s="45">
        <f>SIN(F3)</f>
        <v>-0.5526415350426302</v>
      </c>
      <c r="G4" s="45" t="s">
        <v>564</v>
      </c>
      <c r="H4" s="45">
        <f>SIN(H3)</f>
        <v>0.6411661548900619</v>
      </c>
      <c r="I4" s="45" t="s">
        <v>564</v>
      </c>
      <c r="J4" s="45">
        <f>SIN(J3)</f>
        <v>-0.3933070622810806</v>
      </c>
      <c r="K4" s="45" t="s">
        <v>564</v>
      </c>
    </row>
    <row r="5" spans="6:11" ht="12.75">
      <c r="F5" s="45">
        <f>COS(F3)</f>
        <v>0.8334190625044073</v>
      </c>
      <c r="G5" s="45" t="s">
        <v>565</v>
      </c>
      <c r="H5" s="45">
        <f>COS(H3)</f>
        <v>0.7674020861474727</v>
      </c>
      <c r="I5" s="45" t="s">
        <v>565</v>
      </c>
      <c r="J5" s="45">
        <f>COS(J3)</f>
        <v>0.9194071757169542</v>
      </c>
      <c r="K5" s="45" t="s">
        <v>565</v>
      </c>
    </row>
    <row r="6" spans="6:9" ht="12.75">
      <c r="F6" s="135">
        <v>144058.55234079924</v>
      </c>
      <c r="G6" s="45" t="s">
        <v>566</v>
      </c>
      <c r="H6" s="135">
        <v>4231823.074484399</v>
      </c>
      <c r="I6" s="153" t="s">
        <v>567</v>
      </c>
    </row>
    <row r="7" spans="6:9" ht="12.75">
      <c r="F7" s="135">
        <v>-4757396.9876393</v>
      </c>
      <c r="G7" s="45" t="s">
        <v>568</v>
      </c>
      <c r="H7" s="153">
        <v>0</v>
      </c>
      <c r="I7" s="162" t="s">
        <v>569</v>
      </c>
    </row>
    <row r="8" spans="6:7" ht="12.75">
      <c r="F8" s="153">
        <v>0</v>
      </c>
      <c r="G8" s="162" t="s">
        <v>570</v>
      </c>
    </row>
    <row r="9" spans="3:13" ht="12.75">
      <c r="C9" s="47"/>
      <c r="D9" s="12" t="s">
        <v>589</v>
      </c>
      <c r="E9" s="47"/>
      <c r="F9" s="47" t="s">
        <v>590</v>
      </c>
      <c r="G9" s="47" t="s">
        <v>590</v>
      </c>
      <c r="H9" s="47" t="s">
        <v>591</v>
      </c>
      <c r="I9" s="47" t="s">
        <v>587</v>
      </c>
      <c r="J9" s="47" t="s">
        <v>587</v>
      </c>
      <c r="K9" s="47" t="s">
        <v>587</v>
      </c>
      <c r="L9" s="47" t="s">
        <v>587</v>
      </c>
      <c r="M9" s="76" t="s">
        <v>612</v>
      </c>
    </row>
    <row r="10" spans="3:13" ht="12.75">
      <c r="C10" s="47" t="s">
        <v>578</v>
      </c>
      <c r="D10" s="47" t="s">
        <v>579</v>
      </c>
      <c r="E10" s="47" t="s">
        <v>580</v>
      </c>
      <c r="F10" s="47" t="s">
        <v>581</v>
      </c>
      <c r="G10" s="47" t="s">
        <v>594</v>
      </c>
      <c r="H10" s="47" t="s">
        <v>582</v>
      </c>
      <c r="I10" s="47" t="s">
        <v>583</v>
      </c>
      <c r="J10" s="47" t="s">
        <v>571</v>
      </c>
      <c r="K10" s="47" t="s">
        <v>584</v>
      </c>
      <c r="L10" s="47" t="s">
        <v>585</v>
      </c>
      <c r="M10" s="1" t="s">
        <v>613</v>
      </c>
    </row>
    <row r="11" spans="3:13" ht="12.75">
      <c r="C11" s="47"/>
      <c r="D11" s="47"/>
      <c r="E11" s="47" t="s">
        <v>572</v>
      </c>
      <c r="F11" s="47" t="s">
        <v>573</v>
      </c>
      <c r="G11" s="47" t="s">
        <v>574</v>
      </c>
      <c r="H11" s="47" t="s">
        <v>572</v>
      </c>
      <c r="I11" s="47" t="s">
        <v>574</v>
      </c>
      <c r="J11" s="47" t="s">
        <v>575</v>
      </c>
      <c r="K11" s="47" t="s">
        <v>573</v>
      </c>
      <c r="L11" s="47" t="s">
        <v>572</v>
      </c>
      <c r="M11" s="76" t="s">
        <v>614</v>
      </c>
    </row>
    <row r="12" spans="3:13" ht="12.75">
      <c r="C12" s="47" t="s">
        <v>588</v>
      </c>
      <c r="D12" s="47" t="s">
        <v>588</v>
      </c>
      <c r="E12" s="47" t="s">
        <v>588</v>
      </c>
      <c r="F12" s="47" t="s">
        <v>592</v>
      </c>
      <c r="G12" s="47" t="s">
        <v>592</v>
      </c>
      <c r="H12" s="47" t="s">
        <v>593</v>
      </c>
      <c r="I12" s="47" t="s">
        <v>576</v>
      </c>
      <c r="J12" s="47" t="s">
        <v>576</v>
      </c>
      <c r="K12" s="47" t="s">
        <v>576</v>
      </c>
      <c r="L12" s="47" t="s">
        <v>576</v>
      </c>
      <c r="M12" s="1" t="s">
        <v>605</v>
      </c>
    </row>
    <row r="13" spans="3:13" ht="12.75">
      <c r="C13" s="47" t="s">
        <v>130</v>
      </c>
      <c r="D13" s="47" t="s">
        <v>130</v>
      </c>
      <c r="E13" s="47" t="s">
        <v>130</v>
      </c>
      <c r="F13" s="47" t="s">
        <v>130</v>
      </c>
      <c r="G13" s="47" t="s">
        <v>130</v>
      </c>
      <c r="H13" s="47" t="s">
        <v>130</v>
      </c>
      <c r="I13" s="47" t="s">
        <v>130</v>
      </c>
      <c r="J13" s="47" t="s">
        <v>130</v>
      </c>
      <c r="K13" s="47" t="s">
        <v>130</v>
      </c>
      <c r="L13" s="47" t="s">
        <v>130</v>
      </c>
      <c r="M13" s="1" t="s">
        <v>540</v>
      </c>
    </row>
    <row r="14" ht="12.75">
      <c r="M14" s="135"/>
    </row>
    <row r="15" spans="1:10" ht="12.75">
      <c r="A15" s="262"/>
      <c r="B15" s="263"/>
      <c r="C15" s="265"/>
      <c r="D15" s="264"/>
      <c r="E15" s="264"/>
      <c r="J15" s="135"/>
    </row>
    <row r="16" spans="1:10" ht="12.75">
      <c r="A16" s="266" t="s">
        <v>586</v>
      </c>
      <c r="J16" s="135"/>
    </row>
    <row r="17" spans="1:12" ht="12.75">
      <c r="A17" s="14" t="s">
        <v>108</v>
      </c>
      <c r="C17" s="2">
        <v>144058.55234079924</v>
      </c>
      <c r="D17" s="2">
        <v>-4757396.9876393</v>
      </c>
      <c r="E17" s="2">
        <v>4231823.074484399</v>
      </c>
      <c r="F17" s="48">
        <f>(C17-$F$6)*$F$5-(D17-$F$7)*$F$4</f>
        <v>0</v>
      </c>
      <c r="G17" s="48">
        <f>(C17-$F$6)*$F$4+(D17-$F$7)*$F$5+$F$8</f>
        <v>0</v>
      </c>
      <c r="H17" s="48">
        <f>-(G17-$F$8)*$H$4+(E17-$H$6)*$H$5</f>
        <v>0</v>
      </c>
      <c r="I17" s="48">
        <f>(G17-$F$8)*$H$5+(E17-$H$6)*$H$4+$H$7</f>
        <v>0</v>
      </c>
      <c r="J17" s="2">
        <f>SQRT(SUMSQ(F17,H17))</f>
        <v>0</v>
      </c>
      <c r="K17" s="48">
        <f>F17*$J$5-H17*$J$4</f>
        <v>0</v>
      </c>
      <c r="L17" s="48">
        <f>F17*$J$4+H17*$J$5</f>
        <v>0</v>
      </c>
    </row>
    <row r="18" spans="1:12" ht="12.75">
      <c r="A18" s="14" t="s">
        <v>136</v>
      </c>
      <c r="C18" s="2">
        <v>-167796.99235646756</v>
      </c>
      <c r="D18" s="2">
        <v>-4287098.721551998</v>
      </c>
      <c r="E18" s="2">
        <v>4703296.872157471</v>
      </c>
      <c r="F18" s="102">
        <f>(C18-$F$6)*$F$5-(D18-$F$7)*$F$4</f>
        <v>-2.342858351767063E-08</v>
      </c>
      <c r="G18" s="48">
        <f>(C18-$F$6)*$F$4+(D18-$F$7)*$F$5+$F$8</f>
        <v>564299.8669529806</v>
      </c>
      <c r="H18" s="102">
        <f>-(G18-$F$8)*$H$4+(E18-$H$6)*$H$5</f>
        <v>-1.028645783662796E-06</v>
      </c>
      <c r="I18" s="48">
        <f>(G18-$F$8)*$H$5+(E18-$H$6)*$H$4+$H$7</f>
        <v>735337.9370979178</v>
      </c>
      <c r="J18" s="2">
        <f>SQRT(SUMSQ(F18,H18))</f>
        <v>1.0289125554549775E-06</v>
      </c>
      <c r="K18" s="48">
        <f>F18*$J$5-H18*$J$4</f>
        <v>-4.261140591032646E-07</v>
      </c>
      <c r="L18" s="48">
        <f>F18*$J$4+H18*$J$5</f>
        <v>-9.365296874138224E-07</v>
      </c>
    </row>
    <row r="19" spans="1:12" ht="12.75">
      <c r="A19" t="s">
        <v>611</v>
      </c>
      <c r="C19" s="2">
        <v>144059.4564159097</v>
      </c>
      <c r="D19" s="2">
        <v>-4757396.690327725</v>
      </c>
      <c r="E19" s="2">
        <v>4231823.375913066</v>
      </c>
      <c r="F19" s="48">
        <f>(C19-$F$6)*$F$5-(D19-$F$7)*$F$4</f>
        <v>0.9177801557460465</v>
      </c>
      <c r="G19" s="48">
        <f>(C19-$F$6)*$F$4+(D19-$F$7)*$F$5+$F$8</f>
        <v>-0.2518443233729035</v>
      </c>
      <c r="H19" s="48">
        <f>-(G19-$F$8)*$H$4+(E19-$H$6)*$H$5</f>
        <v>0.3927910445352735</v>
      </c>
      <c r="I19" s="48">
        <f>(G19-$F$8)*$H$5+(E19-$H$6)*$H$4+$H$7</f>
        <v>4.2615061479622796E-10</v>
      </c>
      <c r="J19" s="2">
        <f>SQRT(SUMSQ(F19,H19))</f>
        <v>0.99830116645647</v>
      </c>
      <c r="K19" s="57">
        <f>F19*$J$5-H19*$J$4</f>
        <v>0.9983011527400245</v>
      </c>
      <c r="L19" s="69">
        <f>F19*$J$4+H19*$J$5</f>
        <v>0.00016548802673804763</v>
      </c>
    </row>
    <row r="20" spans="1:12" ht="12.75">
      <c r="A20" t="s">
        <v>615</v>
      </c>
      <c r="C20" s="2">
        <v>-199693.74901517353</v>
      </c>
      <c r="D20" s="2">
        <v>-4238994.696487823</v>
      </c>
      <c r="E20" s="2">
        <v>4751521.13852634</v>
      </c>
      <c r="F20" s="48">
        <f>(C20-$F$6)*$F$5-(D20-$F$7)*$F$4</f>
        <v>0.9172217414597981</v>
      </c>
      <c r="G20" s="48">
        <f>(C20-$F$6)*$F$4+(D20-$F$7)*$F$5+$F$8</f>
        <v>622018.1509874024</v>
      </c>
      <c r="H20" s="48">
        <f>-(G20-$F$8)*$H$4+(E20-$H$6)*$H$5</f>
        <v>0.39237216993933544</v>
      </c>
      <c r="I20" s="48">
        <f>(G20-$F$8)*$H$5+(E20-$H$6)*$H$4+$H$7</f>
        <v>810550.8361149069</v>
      </c>
      <c r="J20" s="2">
        <f>SQRT(SUMSQ(F20,H20))</f>
        <v>0.9976229963014321</v>
      </c>
      <c r="K20" s="48">
        <f>F20*$J$5-H20*$J$4</f>
        <v>0.9976229963014323</v>
      </c>
      <c r="L20" s="270">
        <f>F20*$J$4+H20*$J$5</f>
        <v>-3.2807090377673376E-14</v>
      </c>
    </row>
    <row r="21" spans="1:12" ht="12.75">
      <c r="A21" s="14" t="s">
        <v>335</v>
      </c>
      <c r="C21" s="2">
        <v>143652.62439098718</v>
      </c>
      <c r="D21" s="2">
        <v>-4756874.025760743</v>
      </c>
      <c r="E21" s="2">
        <v>4232483.847986074</v>
      </c>
      <c r="F21" s="48">
        <f>(C21-$F$6)*$F$5-(D21-$F$7)*$F$4</f>
        <v>-49.297636042318345</v>
      </c>
      <c r="G21" s="48">
        <f>(C21-$F$6)*$F$4+(D21-$F$7)*$F$5+$F$8</f>
        <v>660.1790438531615</v>
      </c>
      <c r="H21" s="48">
        <f>-(G21-$F$8)*$H$4+(E21-$H$6)*$H$5</f>
        <v>83.79450457047847</v>
      </c>
      <c r="I21" s="48">
        <f>(G21-$F$8)*$H$5+(E21-$H$6)*$H$4+$H$7</f>
        <v>930.2883808063309</v>
      </c>
      <c r="J21" s="2">
        <f>SQRT(SUMSQ(F21,H21))</f>
        <v>97.22024437108159</v>
      </c>
      <c r="K21" s="48">
        <f>F21*$J$5-H21*$J$4</f>
        <v>-12.367629895276771</v>
      </c>
      <c r="L21" s="44">
        <f>F21*$J$4+H21*$J$5</f>
        <v>96.43037719695116</v>
      </c>
    </row>
    <row r="22" spans="1:12" ht="12.75">
      <c r="A22" s="14"/>
      <c r="C22" s="2"/>
      <c r="D22" s="2"/>
      <c r="E22" s="2"/>
      <c r="F22" s="48"/>
      <c r="G22" s="48"/>
      <c r="H22" s="48"/>
      <c r="I22" s="48"/>
      <c r="J22" s="2"/>
      <c r="K22" s="48"/>
      <c r="L22" s="48"/>
    </row>
    <row r="23" spans="1:13" ht="12.75">
      <c r="A23" t="s">
        <v>561</v>
      </c>
      <c r="C23">
        <v>-209764.5727987513</v>
      </c>
      <c r="D23" s="2">
        <v>-4239358.4602880245</v>
      </c>
      <c r="E23" s="2">
        <v>4745222.666020074</v>
      </c>
      <c r="F23" s="48">
        <f>(C23-$F$6)*$F$5-(D23-$F$7)*$F$4</f>
        <v>-8593.330279551563</v>
      </c>
      <c r="G23" s="48">
        <f>(C23-$F$6)*$F$4+(D23-$F$7)*$F$5+$F$8</f>
        <v>627280.5388169653</v>
      </c>
      <c r="H23" s="48">
        <f>-(G23-$F$8)*$H$4+(E23-$H$6)*$H$5</f>
        <v>-8207.133538902213</v>
      </c>
      <c r="I23" s="48">
        <f>(G23-$F$8)*$H$5+(E23-$H$6)*$H$4+$H$7</f>
        <v>810550.8361149073</v>
      </c>
      <c r="J23" s="2">
        <f>SQRT(SUMSQ(F23,H23))</f>
        <v>11882.860186791364</v>
      </c>
      <c r="K23" s="48">
        <f>F23*$J$5-H23*$J$4</f>
        <v>-11128.693104259644</v>
      </c>
      <c r="L23" s="48">
        <f>F23*$J$4+H23*$J$5</f>
        <v>-4165.8799802724925</v>
      </c>
      <c r="M23">
        <f>DEGREES(ATAN2(L23,K23))</f>
        <v>-110.52272693033697</v>
      </c>
    </row>
    <row r="24" spans="1:10" ht="12.75">
      <c r="A24" s="14"/>
      <c r="C24" s="2"/>
      <c r="D24" s="2"/>
      <c r="E24" s="2"/>
      <c r="F24" s="48"/>
      <c r="G24" s="48"/>
      <c r="H24" s="48"/>
      <c r="I24" s="48"/>
      <c r="J24" s="2"/>
    </row>
    <row r="25" spans="1:13" ht="12.75">
      <c r="A25" s="14" t="s">
        <v>611</v>
      </c>
      <c r="C25" s="2">
        <v>144059.4564159097</v>
      </c>
      <c r="D25" s="2">
        <v>-4757396.690327725</v>
      </c>
      <c r="E25" s="2">
        <v>4231823.375913066</v>
      </c>
      <c r="F25" s="48">
        <v>0.9177801557460465</v>
      </c>
      <c r="G25" s="48">
        <v>-0.2518443233729035</v>
      </c>
      <c r="H25" s="48">
        <v>0.3927910445352735</v>
      </c>
      <c r="I25" s="48">
        <v>4.2615061479622796E-10</v>
      </c>
      <c r="J25" s="2">
        <v>0.99830116645647</v>
      </c>
      <c r="K25">
        <v>0.99830116645647</v>
      </c>
      <c r="L25" s="7">
        <v>9.892949792700279E-10</v>
      </c>
      <c r="M25" s="13">
        <v>-23.1699294688892</v>
      </c>
    </row>
    <row r="26" spans="1:13" ht="12.75">
      <c r="A26" s="14" t="s">
        <v>561</v>
      </c>
      <c r="C26" s="2">
        <v>-209764.5727987513</v>
      </c>
      <c r="D26" s="2">
        <v>-4239358.4602880245</v>
      </c>
      <c r="E26" s="2">
        <v>4745222.666020074</v>
      </c>
      <c r="F26" s="48">
        <v>-8593.330279551563</v>
      </c>
      <c r="G26" s="48">
        <v>627280.5388169653</v>
      </c>
      <c r="H26" s="48">
        <v>-8207.133538902213</v>
      </c>
      <c r="I26" s="48">
        <v>810550.8361149073</v>
      </c>
      <c r="J26" s="2">
        <v>11882.860186791364</v>
      </c>
      <c r="K26" s="2">
        <v>-11129.383523659271</v>
      </c>
      <c r="L26">
        <v>-4164.035134593952</v>
      </c>
      <c r="M26">
        <v>-110.51322908622778</v>
      </c>
    </row>
    <row r="27" spans="1:13" ht="12.75">
      <c r="A27" s="14" t="s">
        <v>615</v>
      </c>
      <c r="C27" s="2">
        <v>-199693.74901517353</v>
      </c>
      <c r="D27" s="2">
        <v>-4238994.696487823</v>
      </c>
      <c r="E27" s="2">
        <v>4751521.13852634</v>
      </c>
      <c r="F27" s="48">
        <v>0.9172217414597981</v>
      </c>
      <c r="G27" s="48">
        <v>622018.1509874024</v>
      </c>
      <c r="H27" s="48">
        <v>0.39237216993933544</v>
      </c>
      <c r="I27" s="48">
        <v>810550.8361149069</v>
      </c>
      <c r="J27" s="2">
        <v>0.9976229963014321</v>
      </c>
      <c r="K27">
        <v>0.9976229963014323</v>
      </c>
      <c r="L27" s="69">
        <v>-3.2807090377673376E-14</v>
      </c>
      <c r="M27">
        <v>-23.160431624780003</v>
      </c>
    </row>
    <row r="28" spans="1:13" ht="12.75">
      <c r="A28" s="14" t="s">
        <v>561</v>
      </c>
      <c r="C28" s="2">
        <v>-209764.5727987513</v>
      </c>
      <c r="D28" s="2">
        <v>-4239358.4602880245</v>
      </c>
      <c r="E28" s="2">
        <v>4745222.666020074</v>
      </c>
      <c r="F28" s="48">
        <v>-8593.330279551563</v>
      </c>
      <c r="G28" s="48">
        <v>627280.5388169653</v>
      </c>
      <c r="H28" s="48">
        <v>-8207.133538902213</v>
      </c>
      <c r="I28" s="48">
        <v>810550.8361149073</v>
      </c>
      <c r="J28" s="2">
        <v>11882.860186791364</v>
      </c>
      <c r="K28" s="2">
        <v>-11128.693104259644</v>
      </c>
      <c r="L28" s="2">
        <v>-4165.8799802724925</v>
      </c>
      <c r="M28">
        <v>-110.52272693033697</v>
      </c>
    </row>
    <row r="29" spans="1:13" ht="12.75">
      <c r="A29" s="14" t="s">
        <v>335</v>
      </c>
      <c r="C29" s="2">
        <v>143652.62439098718</v>
      </c>
      <c r="D29" s="2">
        <v>-4756874.025760743</v>
      </c>
      <c r="E29" s="2">
        <v>4232483.847986074</v>
      </c>
      <c r="F29" s="48">
        <v>-49.297636042318345</v>
      </c>
      <c r="G29" s="48">
        <v>660.1790438531615</v>
      </c>
      <c r="H29" s="48">
        <v>83.79450457047847</v>
      </c>
      <c r="I29" s="48">
        <v>930.2883808063309</v>
      </c>
      <c r="J29" s="2">
        <v>97.22024437108159</v>
      </c>
      <c r="K29">
        <v>-12.367629895276771</v>
      </c>
      <c r="L29" s="2">
        <v>96.43037719695116</v>
      </c>
      <c r="M29">
        <f>DEGREES(ATAN2(L29,K29))</f>
        <v>-7.308542616227871</v>
      </c>
    </row>
    <row r="30" spans="1:12" ht="13.5" thickBot="1">
      <c r="A30" s="14"/>
      <c r="C30" s="2"/>
      <c r="D30" s="2"/>
      <c r="E30" s="2"/>
      <c r="F30" s="48"/>
      <c r="G30" s="48"/>
      <c r="H30" s="48"/>
      <c r="I30" s="48"/>
      <c r="J30" s="2"/>
      <c r="L30" s="2"/>
    </row>
    <row r="31" spans="8:16" ht="12.75">
      <c r="H31" s="206"/>
      <c r="I31" s="207" t="s">
        <v>450</v>
      </c>
      <c r="J31" s="208"/>
      <c r="K31" s="206"/>
      <c r="L31" s="207" t="s">
        <v>450</v>
      </c>
      <c r="M31" s="208"/>
      <c r="N31" s="206"/>
      <c r="O31" s="207" t="s">
        <v>450</v>
      </c>
      <c r="P31" s="208"/>
    </row>
    <row r="32" spans="1:16" ht="13.5" thickBot="1">
      <c r="A32" s="10" t="s">
        <v>458</v>
      </c>
      <c r="D32" s="267" t="s">
        <v>403</v>
      </c>
      <c r="F32" s="12" t="s">
        <v>407</v>
      </c>
      <c r="H32" s="209"/>
      <c r="I32" s="47" t="s">
        <v>451</v>
      </c>
      <c r="J32" s="210" t="s">
        <v>452</v>
      </c>
      <c r="K32" s="209"/>
      <c r="L32" s="47" t="s">
        <v>451</v>
      </c>
      <c r="M32" s="210" t="s">
        <v>452</v>
      </c>
      <c r="N32" s="209"/>
      <c r="O32" s="47" t="s">
        <v>451</v>
      </c>
      <c r="P32" s="210" t="s">
        <v>452</v>
      </c>
    </row>
    <row r="33" spans="1:16" ht="15" thickBot="1">
      <c r="A33" s="10" t="s">
        <v>459</v>
      </c>
      <c r="C33" s="4" t="s">
        <v>454</v>
      </c>
      <c r="D33" s="4" t="s">
        <v>455</v>
      </c>
      <c r="E33" s="12" t="s">
        <v>157</v>
      </c>
      <c r="F33" s="12" t="s">
        <v>158</v>
      </c>
      <c r="G33" s="12" t="s">
        <v>159</v>
      </c>
      <c r="H33" s="209">
        <v>1</v>
      </c>
      <c r="I33" s="45">
        <v>-33.54842529678187</v>
      </c>
      <c r="J33" s="211">
        <v>0.025321404362330213</v>
      </c>
      <c r="K33" s="209">
        <v>1</v>
      </c>
      <c r="L33" s="45">
        <v>39.87872417516821</v>
      </c>
      <c r="M33" s="211">
        <v>1.3811962444451638</v>
      </c>
      <c r="N33" s="209">
        <v>1</v>
      </c>
      <c r="O33" s="45">
        <v>-23.1699294688892</v>
      </c>
      <c r="P33" s="211">
        <v>-0.0001653746181242699</v>
      </c>
    </row>
    <row r="34" spans="1:16" ht="13.5" thickBot="1">
      <c r="A34" s="10"/>
      <c r="B34" s="4" t="s">
        <v>108</v>
      </c>
      <c r="C34" s="137">
        <v>41.83202350680571</v>
      </c>
      <c r="D34" s="13">
        <v>-88.26555873341539</v>
      </c>
      <c r="E34">
        <v>144058.55234079924</v>
      </c>
      <c r="F34" s="2">
        <v>-4757396.9876393</v>
      </c>
      <c r="G34" s="2">
        <v>4231823.074484399</v>
      </c>
      <c r="H34" s="209">
        <v>2</v>
      </c>
      <c r="I34" s="45">
        <v>-33.41333138001707</v>
      </c>
      <c r="J34" s="211">
        <v>-1330.4986591279448</v>
      </c>
      <c r="K34" s="209">
        <v>2</v>
      </c>
      <c r="L34" s="45">
        <v>40</v>
      </c>
      <c r="M34" s="211">
        <v>-1555.0798414798337</v>
      </c>
      <c r="N34" s="209">
        <v>2</v>
      </c>
      <c r="O34" s="45">
        <v>-23.16</v>
      </c>
      <c r="P34" s="211">
        <v>7.515366892252295E-06</v>
      </c>
    </row>
    <row r="35" spans="1:16" ht="13.5" thickBot="1">
      <c r="A35" s="10"/>
      <c r="B35" s="4" t="s">
        <v>136</v>
      </c>
      <c r="C35" s="13">
        <v>47.820266534666665</v>
      </c>
      <c r="D35" s="13">
        <v>-92.24141201908333</v>
      </c>
      <c r="E35" s="2">
        <v>-167796.99235646756</v>
      </c>
      <c r="F35" s="2">
        <v>-4287098.721551998</v>
      </c>
      <c r="G35" s="2">
        <v>4703296.872157471</v>
      </c>
      <c r="H35" s="212"/>
      <c r="I35" s="213">
        <f>I33+((J35-J33)*(I34-I33))/(J34-J33)</f>
        <v>-33.54842272578898</v>
      </c>
      <c r="J35" s="181">
        <v>0</v>
      </c>
      <c r="K35" s="212"/>
      <c r="L35" s="213">
        <f>L33+((M35-M33)*(L34-L33))/(M34-M33)</f>
        <v>39.87883179476789</v>
      </c>
      <c r="M35" s="181">
        <v>0</v>
      </c>
      <c r="N35" s="212"/>
      <c r="O35" s="213">
        <f>O33+((P35-P33)*(O34-O33))/(P34-P33)</f>
        <v>-23.160431624780003</v>
      </c>
      <c r="P35" s="181">
        <v>0</v>
      </c>
    </row>
    <row r="36" spans="2:7" ht="12.75">
      <c r="B36" s="4" t="s">
        <v>561</v>
      </c>
      <c r="C36" s="13">
        <v>48.3789</v>
      </c>
      <c r="D36" s="13">
        <v>-92.8327</v>
      </c>
      <c r="E36">
        <v>-209764.5727987513</v>
      </c>
      <c r="F36" s="2">
        <v>-4239358.4602880245</v>
      </c>
      <c r="G36" s="2">
        <v>4745222.666020074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&amp;L&amp;D&amp;C&amp;Z&amp;F&amp;R&amp;A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H74"/>
  <sheetViews>
    <sheetView workbookViewId="0" topLeftCell="A1">
      <selection activeCell="E58" sqref="E58:G62"/>
    </sheetView>
  </sheetViews>
  <sheetFormatPr defaultColWidth="9.140625" defaultRowHeight="12.75"/>
  <cols>
    <col min="1" max="1" width="13.140625" style="0" customWidth="1"/>
    <col min="2" max="2" width="12.57421875" style="0" customWidth="1"/>
    <col min="3" max="3" width="13.140625" style="0" customWidth="1"/>
    <col min="4" max="4" width="13.421875" style="0" customWidth="1"/>
    <col min="5" max="5" width="12.28125" style="0" customWidth="1"/>
    <col min="6" max="6" width="13.00390625" style="0" customWidth="1"/>
    <col min="7" max="7" width="13.28125" style="0" customWidth="1"/>
    <col min="8" max="8" width="13.421875" style="0" customWidth="1"/>
  </cols>
  <sheetData>
    <row r="1" spans="2:3" ht="12.75">
      <c r="B1" s="10"/>
      <c r="C1" s="10" t="s">
        <v>409</v>
      </c>
    </row>
    <row r="2" spans="2:3" ht="13.5" thickBot="1">
      <c r="B2" s="10"/>
      <c r="C2" s="10" t="s">
        <v>410</v>
      </c>
    </row>
    <row r="3" spans="1:2" ht="13.5" thickBot="1">
      <c r="A3" s="159" t="s">
        <v>401</v>
      </c>
      <c r="B3" s="10"/>
    </row>
    <row r="4" ht="12.75">
      <c r="A4" s="10" t="s">
        <v>453</v>
      </c>
    </row>
    <row r="5" spans="1:6" ht="14.25">
      <c r="A5" s="1" t="s">
        <v>0</v>
      </c>
      <c r="B5" s="1" t="s">
        <v>1</v>
      </c>
      <c r="C5" s="1" t="s">
        <v>6</v>
      </c>
      <c r="D5" s="1" t="s">
        <v>21</v>
      </c>
      <c r="F5" s="10" t="s">
        <v>20</v>
      </c>
    </row>
    <row r="6" spans="1:5" ht="12.75">
      <c r="A6">
        <v>6378137</v>
      </c>
      <c r="B6" s="2">
        <v>6356752.31414</v>
      </c>
      <c r="C6">
        <f>1-(B6*B6)/(A6*A6)</f>
        <v>0.0066943800230119255</v>
      </c>
      <c r="D6" s="7">
        <f>$A$6/($A$6-$B$6)</f>
        <v>298.2572220960422</v>
      </c>
      <c r="E6" t="s">
        <v>260</v>
      </c>
    </row>
    <row r="8" spans="1:8" ht="12.75">
      <c r="A8" s="10" t="s">
        <v>405</v>
      </c>
      <c r="C8" s="12" t="s">
        <v>482</v>
      </c>
      <c r="D8" s="12" t="s">
        <v>483</v>
      </c>
      <c r="F8" s="12" t="s">
        <v>484</v>
      </c>
      <c r="G8" s="12" t="s">
        <v>485</v>
      </c>
      <c r="H8" s="12" t="s">
        <v>483</v>
      </c>
    </row>
    <row r="9" spans="1:8" ht="15" thickBot="1">
      <c r="A9" s="10" t="s">
        <v>404</v>
      </c>
      <c r="C9" t="s">
        <v>4</v>
      </c>
      <c r="D9" s="4" t="s">
        <v>454</v>
      </c>
      <c r="E9" s="4" t="s">
        <v>455</v>
      </c>
      <c r="F9" s="12" t="s">
        <v>157</v>
      </c>
      <c r="G9" s="12" t="s">
        <v>158</v>
      </c>
      <c r="H9" s="12" t="s">
        <v>159</v>
      </c>
    </row>
    <row r="10" spans="1:8" ht="11.25" customHeight="1" thickBot="1">
      <c r="A10" s="155" t="s">
        <v>480</v>
      </c>
      <c r="B10" s="179" t="s">
        <v>260</v>
      </c>
      <c r="C10" s="155">
        <v>0</v>
      </c>
      <c r="D10" s="156">
        <v>42</v>
      </c>
      <c r="E10" s="156">
        <v>-88</v>
      </c>
      <c r="F10" s="2">
        <f>E12*COS(D11)*COS(E11)</f>
        <v>165667.8748417397</v>
      </c>
      <c r="G10" s="2">
        <f>E12*COS(D11)*SIN(E11)</f>
        <v>-4744107.224810405</v>
      </c>
      <c r="H10" s="2">
        <f>($C12*(1-$C$6)+C10)*SIN(D11)</f>
        <v>4245603.835991954</v>
      </c>
    </row>
    <row r="11" spans="2:8" ht="12.75" hidden="1">
      <c r="B11" s="125"/>
      <c r="C11" s="4" t="s">
        <v>436</v>
      </c>
      <c r="D11" s="154">
        <f>D10*PI()/180</f>
        <v>0.7330382858376184</v>
      </c>
      <c r="E11" s="154">
        <f>E10*PI()/180</f>
        <v>-1.53588974175501</v>
      </c>
      <c r="H11" s="6"/>
    </row>
    <row r="12" spans="2:8" ht="0.75" customHeight="1" hidden="1">
      <c r="B12" s="4" t="s">
        <v>434</v>
      </c>
      <c r="C12" s="2">
        <f>$A$6/SQRT(1-$C$6*(SIN(D11))*(SIN(D11)))</f>
        <v>6387717.179182171</v>
      </c>
      <c r="D12" s="4" t="s">
        <v>435</v>
      </c>
      <c r="E12" s="2">
        <f>C12+C10</f>
        <v>6387717.179182171</v>
      </c>
      <c r="H12" s="6"/>
    </row>
    <row r="13" ht="13.5" hidden="1" thickBot="1"/>
    <row r="14" ht="12" customHeight="1" thickBot="1">
      <c r="A14" s="10" t="s">
        <v>406</v>
      </c>
    </row>
    <row r="15" spans="1:8" ht="13.5" thickBot="1">
      <c r="A15" s="155" t="s">
        <v>481</v>
      </c>
      <c r="B15" s="179" t="s">
        <v>447</v>
      </c>
      <c r="C15" s="155">
        <v>0</v>
      </c>
      <c r="D15" s="156">
        <v>42</v>
      </c>
      <c r="E15" s="156">
        <v>2</v>
      </c>
      <c r="F15" s="2">
        <f>E17*COS(D16)*COS(E16)</f>
        <v>4744107.224810405</v>
      </c>
      <c r="G15" s="2">
        <f>E17*COS(D16)*SIN(E16)</f>
        <v>165667.87484173916</v>
      </c>
      <c r="H15" s="2">
        <f>($C17*(1-$C$6)+C15)*SIN(D16)</f>
        <v>4245603.835991954</v>
      </c>
    </row>
    <row r="16" spans="2:5" ht="12.75" hidden="1">
      <c r="B16" s="1"/>
      <c r="C16" s="4" t="s">
        <v>436</v>
      </c>
      <c r="D16">
        <f>D15*PI()/180</f>
        <v>0.7330382858376184</v>
      </c>
      <c r="E16">
        <f>E15*PI()/180</f>
        <v>0.03490658503988659</v>
      </c>
    </row>
    <row r="17" spans="2:5" ht="12.75" hidden="1">
      <c r="B17" s="4" t="s">
        <v>434</v>
      </c>
      <c r="C17" s="2">
        <f>$A$6/SQRT(1-$C$6*(SIN(D16))*(SIN(D16)))</f>
        <v>6387717.179182171</v>
      </c>
      <c r="D17" s="4" t="s">
        <v>435</v>
      </c>
      <c r="E17" s="2">
        <f>C17+C15</f>
        <v>6387717.179182171</v>
      </c>
    </row>
    <row r="18" spans="3:5" ht="14.25" hidden="1">
      <c r="C18" s="3"/>
      <c r="D18" s="21"/>
      <c r="E18" s="21"/>
    </row>
    <row r="19" spans="2:8" ht="12.75">
      <c r="B19" s="10" t="s">
        <v>408</v>
      </c>
      <c r="E19" s="12" t="s">
        <v>14</v>
      </c>
      <c r="F19" s="12" t="s">
        <v>398</v>
      </c>
      <c r="G19" s="12" t="s">
        <v>399</v>
      </c>
      <c r="H19" s="12" t="s">
        <v>400</v>
      </c>
    </row>
    <row r="20" spans="2:8" ht="12.75">
      <c r="B20" s="1" t="s">
        <v>102</v>
      </c>
      <c r="C20" s="1" t="s">
        <v>103</v>
      </c>
      <c r="E20" s="2">
        <f>SQRT(F20*F20+G20*G20+H20*H20)</f>
        <v>6713270.321572469</v>
      </c>
      <c r="F20" s="2">
        <f>F15-F10</f>
        <v>4578439.349968665</v>
      </c>
      <c r="G20" s="2">
        <f>G15-G10</f>
        <v>4909775.099652144</v>
      </c>
      <c r="H20" s="2">
        <f>H15-H10</f>
        <v>0</v>
      </c>
    </row>
    <row r="21" spans="2:6" ht="12.75">
      <c r="B21" s="7">
        <f>ATAN2(F23,G23)</f>
        <v>0.981089858136187</v>
      </c>
      <c r="C21" s="7">
        <f>ASIN(H23/E20)</f>
        <v>-0.5532824127579677</v>
      </c>
      <c r="D21" s="14" t="s">
        <v>104</v>
      </c>
      <c r="F21" s="10" t="s">
        <v>402</v>
      </c>
    </row>
    <row r="22" spans="2:8" ht="12.75">
      <c r="B22">
        <f>IF($B21&gt;0,DEGREES($B21),DEGREES($B21)+360)</f>
        <v>56.212308194292184</v>
      </c>
      <c r="C22" s="21">
        <f>C21*180/PI()</f>
        <v>-31.700747129846725</v>
      </c>
      <c r="D22" s="14" t="s">
        <v>95</v>
      </c>
      <c r="F22" s="1" t="s">
        <v>15</v>
      </c>
      <c r="G22" s="1" t="s">
        <v>16</v>
      </c>
      <c r="H22" s="1" t="s">
        <v>11</v>
      </c>
    </row>
    <row r="23" spans="2:8" ht="12.75">
      <c r="B23" s="21"/>
      <c r="C23" s="21"/>
      <c r="D23" s="14"/>
      <c r="F23" s="2">
        <f>-SIN(D11)*COS(E11)*F20-SIN(D11)*SIN(E11)*G20+COS(D11)*H20</f>
        <v>3176362.2980583664</v>
      </c>
      <c r="G23" s="2">
        <f>-SIN(E11)*F20+COS(E11)*G20</f>
        <v>4746998.968322288</v>
      </c>
      <c r="H23" s="2">
        <f>COS(D11)*COS(E11)*F20+COS(D11)*SIN(E11)*G20+SIN(D11)*H20</f>
        <v>-3527707.7198552364</v>
      </c>
    </row>
    <row r="24" spans="1:8" ht="12.75">
      <c r="A24" s="10" t="s">
        <v>418</v>
      </c>
      <c r="C24" s="12" t="s">
        <v>482</v>
      </c>
      <c r="D24" s="12" t="s">
        <v>483</v>
      </c>
      <c r="F24" s="12" t="s">
        <v>484</v>
      </c>
      <c r="G24" s="12" t="s">
        <v>485</v>
      </c>
      <c r="H24" s="12" t="s">
        <v>483</v>
      </c>
    </row>
    <row r="25" spans="1:8" ht="15" thickBot="1">
      <c r="A25" s="10" t="s">
        <v>419</v>
      </c>
      <c r="C25" t="s">
        <v>4</v>
      </c>
      <c r="D25" s="4" t="s">
        <v>454</v>
      </c>
      <c r="E25" s="4" t="s">
        <v>455</v>
      </c>
      <c r="F25" s="12" t="s">
        <v>157</v>
      </c>
      <c r="G25" s="12" t="s">
        <v>158</v>
      </c>
      <c r="H25" s="12" t="s">
        <v>159</v>
      </c>
    </row>
    <row r="26" spans="1:8" ht="13.5" thickBot="1">
      <c r="A26" s="155" t="s">
        <v>481</v>
      </c>
      <c r="B26" s="179" t="s">
        <v>447</v>
      </c>
      <c r="C26" s="155">
        <v>0</v>
      </c>
      <c r="D26" s="156">
        <v>42</v>
      </c>
      <c r="E26" s="156">
        <v>2</v>
      </c>
      <c r="F26" s="2">
        <f>E28*COS(D27)*COS(E27)</f>
        <v>4744107.224810405</v>
      </c>
      <c r="G26" s="2">
        <f>E28*COS(D27)*SIN(E27)</f>
        <v>165667.87484173916</v>
      </c>
      <c r="H26" s="2">
        <f>($C28*(1-$C$6)+C26)*SIN(D27)</f>
        <v>4245603.835991954</v>
      </c>
    </row>
    <row r="27" spans="2:8" ht="14.25" hidden="1">
      <c r="B27" s="1"/>
      <c r="C27" s="4" t="s">
        <v>436</v>
      </c>
      <c r="D27" s="154">
        <f>D26*PI()/180</f>
        <v>0.7330382858376184</v>
      </c>
      <c r="E27" s="154">
        <f>E26*PI()/180</f>
        <v>0.03490658503988659</v>
      </c>
      <c r="F27" s="3"/>
      <c r="G27" s="5"/>
      <c r="H27" s="4"/>
    </row>
    <row r="28" spans="2:8" ht="1.5" customHeight="1" hidden="1">
      <c r="B28" s="4" t="s">
        <v>434</v>
      </c>
      <c r="C28" s="2">
        <f>$A$6/SQRT(1-$C$6*(SIN(D27))*(SIN(D27)))</f>
        <v>6387717.179182171</v>
      </c>
      <c r="D28" s="4" t="s">
        <v>435</v>
      </c>
      <c r="E28" s="2">
        <f>C28+C26</f>
        <v>6387717.179182171</v>
      </c>
      <c r="H28" s="6"/>
    </row>
    <row r="29" spans="3:8" ht="13.5" hidden="1" thickBot="1">
      <c r="C29" s="2"/>
      <c r="D29" s="1"/>
      <c r="E29" s="2"/>
      <c r="H29" s="6"/>
    </row>
    <row r="30" spans="1:8" ht="13.5" thickBot="1">
      <c r="A30" s="10" t="s">
        <v>420</v>
      </c>
      <c r="C30" s="2"/>
      <c r="D30" s="1"/>
      <c r="E30" s="2"/>
      <c r="H30" s="6"/>
    </row>
    <row r="31" spans="1:8" ht="13.5" thickBot="1">
      <c r="A31" s="155" t="s">
        <v>480</v>
      </c>
      <c r="B31" s="179" t="s">
        <v>260</v>
      </c>
      <c r="C31" s="155">
        <v>0</v>
      </c>
      <c r="D31" s="156">
        <v>42</v>
      </c>
      <c r="E31" s="156">
        <v>-88</v>
      </c>
      <c r="F31" s="2">
        <f>E33*COS(D32)*COS(E32)</f>
        <v>165667.8748417397</v>
      </c>
      <c r="G31" s="2">
        <f>E33*COS(D32)*SIN(E32)</f>
        <v>-4744107.224810405</v>
      </c>
      <c r="H31" s="2">
        <f>($C33*(1-$C$6)+C31)*SIN(D32)</f>
        <v>4245603.835991954</v>
      </c>
    </row>
    <row r="32" spans="2:8" ht="14.25" hidden="1">
      <c r="B32" s="125"/>
      <c r="C32" s="4" t="s">
        <v>436</v>
      </c>
      <c r="D32">
        <f>D31*PI()/180</f>
        <v>0.7330382858376184</v>
      </c>
      <c r="E32">
        <f>E31*PI()/180</f>
        <v>-1.53588974175501</v>
      </c>
      <c r="F32" s="3"/>
      <c r="G32" s="5"/>
      <c r="H32" s="4"/>
    </row>
    <row r="33" spans="2:8" ht="12.75" hidden="1">
      <c r="B33" s="4" t="s">
        <v>434</v>
      </c>
      <c r="C33" s="2">
        <f>$A$6/SQRT(1-$C$6*(SIN(D32))*(SIN(D32)))</f>
        <v>6387717.179182171</v>
      </c>
      <c r="D33" s="4" t="s">
        <v>435</v>
      </c>
      <c r="E33" s="2">
        <f>C33+C31</f>
        <v>6387717.179182171</v>
      </c>
      <c r="H33" s="6"/>
    </row>
    <row r="34" spans="1:7" ht="12.75" hidden="1">
      <c r="A34" s="1"/>
      <c r="B34" s="2"/>
      <c r="C34" s="1"/>
      <c r="D34" s="2"/>
      <c r="G34" s="6"/>
    </row>
    <row r="35" spans="1:8" ht="12.75">
      <c r="A35" s="1"/>
      <c r="B35" s="10" t="s">
        <v>421</v>
      </c>
      <c r="E35" s="12" t="s">
        <v>14</v>
      </c>
      <c r="F35" s="12" t="s">
        <v>398</v>
      </c>
      <c r="G35" s="12" t="s">
        <v>399</v>
      </c>
      <c r="H35" s="12" t="s">
        <v>400</v>
      </c>
    </row>
    <row r="36" spans="1:8" ht="12.75">
      <c r="A36" s="1"/>
      <c r="B36" s="1" t="s">
        <v>102</v>
      </c>
      <c r="C36" s="1" t="s">
        <v>103</v>
      </c>
      <c r="E36" s="2">
        <f>SQRT(F36*F36+G36*G36+H36*H36)</f>
        <v>6713270.321572469</v>
      </c>
      <c r="F36" s="2">
        <f>F31-F26</f>
        <v>-4578439.349968665</v>
      </c>
      <c r="G36" s="2">
        <f>G31-G26</f>
        <v>-4909775.099652144</v>
      </c>
      <c r="H36" s="2">
        <f>H31-H26</f>
        <v>0</v>
      </c>
    </row>
    <row r="37" spans="1:8" ht="12.75">
      <c r="A37" s="1"/>
      <c r="B37" s="7">
        <f>ATAN2(F39,G39)</f>
        <v>-0.9810898581361869</v>
      </c>
      <c r="C37" s="7">
        <f>ASIN(H39/E36)</f>
        <v>-0.5532824127579677</v>
      </c>
      <c r="D37" s="14" t="s">
        <v>104</v>
      </c>
      <c r="F37" s="10" t="s">
        <v>422</v>
      </c>
      <c r="H37" s="6"/>
    </row>
    <row r="38" spans="2:8" ht="12.75">
      <c r="B38">
        <f>IF($B37&gt;0,DEGREES($B37),DEGREES($B37)+360)</f>
        <v>303.7876918057078</v>
      </c>
      <c r="C38" s="21">
        <f>C37*180/PI()</f>
        <v>-31.700747129846725</v>
      </c>
      <c r="D38" s="14" t="s">
        <v>95</v>
      </c>
      <c r="F38" s="12" t="s">
        <v>15</v>
      </c>
      <c r="G38" s="12" t="s">
        <v>16</v>
      </c>
      <c r="H38" s="12" t="s">
        <v>11</v>
      </c>
    </row>
    <row r="39" spans="1:8" ht="12.75">
      <c r="A39" s="10" t="s">
        <v>20</v>
      </c>
      <c r="B39" s="21"/>
      <c r="C39" s="21"/>
      <c r="D39" s="14"/>
      <c r="F39" s="2">
        <f>-SIN(D27)*COS(E27)*F36-SIN(D27)*SIN(E27)*G36+COS(D27)*H36</f>
        <v>3176362.2980583664</v>
      </c>
      <c r="G39" s="2">
        <f>-SIN(E27)*F36+COS(E27)*G36</f>
        <v>-4746998.968322287</v>
      </c>
      <c r="H39" s="2">
        <f>COS(D27)*COS(E27)*F36+COS(D27)*SIN(E27)*G36+SIN(D27)*H36</f>
        <v>-3527707.7198552364</v>
      </c>
    </row>
    <row r="40" spans="1:4" ht="12.75">
      <c r="A40" s="1"/>
      <c r="B40" s="6"/>
      <c r="C40" s="6"/>
      <c r="D40" s="158"/>
    </row>
    <row r="41" spans="1:7" ht="12.75">
      <c r="A41" s="1"/>
      <c r="B41" s="6"/>
      <c r="C41" s="6"/>
      <c r="D41" s="14"/>
      <c r="G41" s="6"/>
    </row>
    <row r="42" spans="1:7" ht="12.75">
      <c r="A42" s="1"/>
      <c r="B42" s="2"/>
      <c r="C42" s="1"/>
      <c r="D42" s="2"/>
      <c r="G42" s="6"/>
    </row>
    <row r="43" spans="1:8" ht="12.75" hidden="1">
      <c r="A43" s="25">
        <f>F39+32.8658</f>
        <v>3176395.163858366</v>
      </c>
      <c r="B43" s="25">
        <f>G39-5.1943</f>
        <v>-4747004.162622287</v>
      </c>
      <c r="C43" s="25">
        <f>H39-0.5534</f>
        <v>-3527708.2732552364</v>
      </c>
      <c r="D43" s="25">
        <f>SQRT(SUMSQ(B43:C43))</f>
        <v>5914285.601925795</v>
      </c>
      <c r="F43" s="4"/>
      <c r="H43" s="6"/>
    </row>
    <row r="44" ht="12.75">
      <c r="A44" s="9" t="s">
        <v>22</v>
      </c>
    </row>
    <row r="45" spans="2:5" ht="12.75">
      <c r="B45" s="12" t="s">
        <v>423</v>
      </c>
      <c r="C45" s="12" t="s">
        <v>424</v>
      </c>
      <c r="D45" s="12" t="s">
        <v>425</v>
      </c>
      <c r="E45" s="12" t="s">
        <v>26</v>
      </c>
    </row>
    <row r="46" spans="2:7" ht="12.75">
      <c r="B46" s="8">
        <f>F20-F36</f>
        <v>9156878.69993733</v>
      </c>
      <c r="C46" s="8">
        <f>G20-G36</f>
        <v>9819550.199304288</v>
      </c>
      <c r="D46" s="8">
        <f>H20-H36</f>
        <v>0</v>
      </c>
      <c r="E46" s="2">
        <f>E20-E36</f>
        <v>0</v>
      </c>
      <c r="G46" s="2"/>
    </row>
    <row r="47" spans="2:6" ht="12.75">
      <c r="B47" s="12" t="s">
        <v>23</v>
      </c>
      <c r="C47" s="12" t="s">
        <v>24</v>
      </c>
      <c r="D47" s="12" t="s">
        <v>25</v>
      </c>
      <c r="E47" s="12" t="s">
        <v>105</v>
      </c>
      <c r="F47" s="10" t="s">
        <v>30</v>
      </c>
    </row>
    <row r="48" spans="2:5" ht="12.75">
      <c r="B48" s="2">
        <f>-SIN(D27)*COS(E27)*B46-SIN(D27)*SIN(E27)*C46+COS(D27)*D46</f>
        <v>-6352724.596116733</v>
      </c>
      <c r="C48" s="2">
        <f>-SIN(E27)*B46+COS(E27)*C46</f>
        <v>9493997.936644575</v>
      </c>
      <c r="D48" s="2">
        <f>COS(D27)*COS(E27)*B46+COS(D27)*SIN(E27)*C46+SIN(D27)*D46</f>
        <v>7055415.439710473</v>
      </c>
      <c r="E48" s="2">
        <f>SQRT(B48*B48+C48*C48+D48*D48)</f>
        <v>13426540.643144937</v>
      </c>
    </row>
    <row r="49" spans="2:8" ht="12.75">
      <c r="B49" s="12" t="s">
        <v>23</v>
      </c>
      <c r="C49" s="12" t="s">
        <v>24</v>
      </c>
      <c r="D49" s="12" t="s">
        <v>25</v>
      </c>
      <c r="E49" s="12" t="s">
        <v>105</v>
      </c>
      <c r="F49" s="10" t="s">
        <v>94</v>
      </c>
      <c r="H49" s="1"/>
    </row>
    <row r="50" spans="2:8" ht="12.75">
      <c r="B50" s="2">
        <f>F23-F39</f>
        <v>0</v>
      </c>
      <c r="C50" s="2">
        <f>G23-G39</f>
        <v>9493997.936644576</v>
      </c>
      <c r="D50" s="2">
        <f>H23-H39</f>
        <v>0</v>
      </c>
      <c r="E50" s="2">
        <f>SQRT(B50*B50+C50*C50+D50*D50)</f>
        <v>9493997.936644576</v>
      </c>
      <c r="G50" s="4"/>
      <c r="H50" s="26"/>
    </row>
    <row r="51" spans="7:8" ht="13.5" thickBot="1">
      <c r="G51" s="4"/>
      <c r="H51" s="26"/>
    </row>
    <row r="52" spans="1:8" ht="12.75">
      <c r="A52" s="182" t="s">
        <v>416</v>
      </c>
      <c r="B52" s="183"/>
      <c r="C52" s="183"/>
      <c r="D52" s="184"/>
      <c r="E52" s="183" t="s">
        <v>417</v>
      </c>
      <c r="F52" s="185"/>
      <c r="G52" s="186"/>
      <c r="H52" s="187"/>
    </row>
    <row r="53" spans="1:8" ht="15" thickBot="1">
      <c r="A53" s="188">
        <v>0</v>
      </c>
      <c r="B53" s="50" t="s">
        <v>17</v>
      </c>
      <c r="C53" s="51" t="s">
        <v>18</v>
      </c>
      <c r="D53" s="168">
        <v>0</v>
      </c>
      <c r="E53" s="167">
        <v>0</v>
      </c>
      <c r="F53" s="167">
        <v>0</v>
      </c>
      <c r="G53" s="50" t="s">
        <v>17</v>
      </c>
      <c r="H53" s="189" t="s">
        <v>18</v>
      </c>
    </row>
    <row r="54" spans="1:8" ht="13.5" thickBot="1">
      <c r="A54" s="190">
        <v>41</v>
      </c>
      <c r="B54" s="164">
        <v>49</v>
      </c>
      <c r="C54" s="157">
        <v>55.28462450056168</v>
      </c>
      <c r="D54" s="169">
        <f>A54+(B54+C54/60)/60</f>
        <v>41.83202350680571</v>
      </c>
      <c r="E54" s="165">
        <v>41.83202350680571</v>
      </c>
      <c r="F54" s="166">
        <f>ROUNDDOWN(E54,0)</f>
        <v>41</v>
      </c>
      <c r="G54" s="166">
        <f>ROUNDDOWN((E54-F54)*60,0)</f>
        <v>49</v>
      </c>
      <c r="H54" s="191">
        <f>((E54-F54)*60-G54)*60</f>
        <v>55.28462450056168</v>
      </c>
    </row>
    <row r="55" spans="1:8" ht="12.75">
      <c r="A55" s="192" t="s">
        <v>428</v>
      </c>
      <c r="B55" s="172"/>
      <c r="C55" s="44"/>
      <c r="D55" s="45"/>
      <c r="E55" s="173"/>
      <c r="F55" s="166"/>
      <c r="G55" s="166"/>
      <c r="H55" s="191"/>
    </row>
    <row r="56" spans="1:8" ht="13.5" thickBot="1">
      <c r="A56" s="193" t="s">
        <v>430</v>
      </c>
      <c r="B56" s="194"/>
      <c r="C56" s="194"/>
      <c r="D56" s="194"/>
      <c r="E56" s="194"/>
      <c r="F56" s="194"/>
      <c r="G56" s="195"/>
      <c r="H56" s="196"/>
    </row>
    <row r="57" spans="1:8" ht="13.5" thickBot="1">
      <c r="A57" s="45"/>
      <c r="B57" s="45"/>
      <c r="C57" s="45"/>
      <c r="D57" s="45"/>
      <c r="E57" s="45"/>
      <c r="F57" s="45"/>
      <c r="G57" s="51"/>
      <c r="H57" s="62"/>
    </row>
    <row r="58" spans="1:8" ht="12.75">
      <c r="A58" s="197" t="s">
        <v>448</v>
      </c>
      <c r="B58" s="198"/>
      <c r="C58" s="199"/>
      <c r="D58" s="45"/>
      <c r="E58" s="206"/>
      <c r="F58" s="207" t="s">
        <v>450</v>
      </c>
      <c r="G58" s="208"/>
      <c r="H58" s="62"/>
    </row>
    <row r="59" spans="1:8" ht="13.5" thickBot="1">
      <c r="A59" s="200" t="s">
        <v>449</v>
      </c>
      <c r="B59" s="45"/>
      <c r="C59" s="201"/>
      <c r="D59" s="45"/>
      <c r="E59" s="209"/>
      <c r="F59" s="47" t="s">
        <v>451</v>
      </c>
      <c r="G59" s="210" t="s">
        <v>452</v>
      </c>
      <c r="H59" s="62"/>
    </row>
    <row r="60" spans="1:8" ht="13.5" thickBot="1">
      <c r="A60" s="202" t="s">
        <v>432</v>
      </c>
      <c r="B60" s="47" t="s">
        <v>431</v>
      </c>
      <c r="C60" s="203" t="s">
        <v>433</v>
      </c>
      <c r="D60" s="45"/>
      <c r="E60" s="209">
        <v>1</v>
      </c>
      <c r="F60" s="180">
        <v>0</v>
      </c>
      <c r="G60" s="211">
        <v>0</v>
      </c>
      <c r="H60" s="62"/>
    </row>
    <row r="61" spans="1:8" ht="13.5" thickBot="1">
      <c r="A61" s="226">
        <v>1210</v>
      </c>
      <c r="B61" s="204">
        <v>-32</v>
      </c>
      <c r="C61" s="205">
        <f>$A61*12*0.0254+$B61</f>
        <v>336.808</v>
      </c>
      <c r="D61" s="45"/>
      <c r="E61" s="209">
        <v>2</v>
      </c>
      <c r="F61" s="180">
        <v>-10</v>
      </c>
      <c r="G61" s="211">
        <v>100</v>
      </c>
      <c r="H61" s="62"/>
    </row>
    <row r="62" spans="1:8" ht="13.5" thickBot="1">
      <c r="A62" s="172"/>
      <c r="B62" s="54"/>
      <c r="C62" s="48"/>
      <c r="D62" s="45"/>
      <c r="E62" s="212"/>
      <c r="F62" s="213">
        <f>F60+((G62-G60)*(F61-F60))/(G61-G60)</f>
        <v>7</v>
      </c>
      <c r="G62" s="181">
        <v>-70</v>
      </c>
      <c r="H62" s="62"/>
    </row>
    <row r="63" spans="7:8" ht="13.5" thickBot="1">
      <c r="G63" s="4"/>
      <c r="H63" s="26"/>
    </row>
    <row r="64" spans="2:8" ht="12.75">
      <c r="B64" s="214" t="s">
        <v>442</v>
      </c>
      <c r="C64" s="215"/>
      <c r="D64" s="215"/>
      <c r="E64" s="215"/>
      <c r="F64" s="216" t="s">
        <v>147</v>
      </c>
      <c r="G64" s="215"/>
      <c r="H64" s="217"/>
    </row>
    <row r="65" spans="2:8" ht="15" thickBot="1">
      <c r="B65" s="218"/>
      <c r="C65" s="45"/>
      <c r="D65" s="171" t="s">
        <v>426</v>
      </c>
      <c r="E65" s="45"/>
      <c r="F65" s="45"/>
      <c r="G65" s="45"/>
      <c r="H65" s="219"/>
    </row>
    <row r="66" spans="2:8" ht="15" thickBot="1">
      <c r="B66" s="218"/>
      <c r="C66" s="51" t="s">
        <v>411</v>
      </c>
      <c r="D66" s="36">
        <v>41.832023507247996</v>
      </c>
      <c r="E66" s="53" t="s">
        <v>443</v>
      </c>
      <c r="F66" s="161" t="s">
        <v>155</v>
      </c>
      <c r="G66" s="161" t="s">
        <v>139</v>
      </c>
      <c r="H66" s="220" t="s">
        <v>140</v>
      </c>
    </row>
    <row r="67" spans="2:8" ht="13.5" thickBot="1">
      <c r="B67" s="218"/>
      <c r="C67" s="48">
        <f>SQRT(F67*F67+G67*G67)/COS((D68*PI())/180)-$A$6/SQRT(1-$C$6*POWER(SIN((D68*PI())/180),2))</f>
        <v>153.96829725708812</v>
      </c>
      <c r="D67" s="163">
        <f>D68</f>
        <v>41.83202350680735</v>
      </c>
      <c r="E67" s="45">
        <f>(180/PI())*ATAN2(F67,G67)</f>
        <v>-88.26555873341539</v>
      </c>
      <c r="F67" s="157">
        <v>144058.55234079924</v>
      </c>
      <c r="G67" s="157">
        <v>-4757396.9876393</v>
      </c>
      <c r="H67" s="221">
        <v>4231823.074484399</v>
      </c>
    </row>
    <row r="68" spans="2:8" ht="14.25">
      <c r="B68" s="218"/>
      <c r="C68" s="53" t="s">
        <v>427</v>
      </c>
      <c r="D68" s="49">
        <f>(180/PI())*ATAN(H67/(SQRT(F67*F67+G67*G67))*(1+$C$6*$A$6*SIN((D66*PI())/180)/(H67*SQRT(1-$C$6*POWER(SIN((D66*PI())/180),2)))))</f>
        <v>41.83202350680735</v>
      </c>
      <c r="E68" s="160">
        <v>0</v>
      </c>
      <c r="F68" s="45"/>
      <c r="G68" s="45"/>
      <c r="H68" s="219"/>
    </row>
    <row r="69" spans="2:8" ht="14.25">
      <c r="B69" s="218"/>
      <c r="C69" s="53" t="s">
        <v>429</v>
      </c>
      <c r="D69" s="45">
        <f>(180/PI())*ATAN(H67/((1-$C$6)*SQRT(F67*F67+G67*G67)))</f>
        <v>41.83202813209218</v>
      </c>
      <c r="E69" s="174" t="s">
        <v>437</v>
      </c>
      <c r="F69" s="45"/>
      <c r="G69" s="45"/>
      <c r="H69" s="219"/>
    </row>
    <row r="70" spans="2:8" ht="12.75">
      <c r="B70" s="218" t="s">
        <v>412</v>
      </c>
      <c r="C70" s="45"/>
      <c r="D70" s="45"/>
      <c r="E70" s="45" t="s">
        <v>438</v>
      </c>
      <c r="F70" s="45"/>
      <c r="G70" s="45"/>
      <c r="H70" s="219"/>
    </row>
    <row r="71" spans="2:8" ht="12.75">
      <c r="B71" s="218" t="s">
        <v>413</v>
      </c>
      <c r="C71" s="45"/>
      <c r="D71" s="45"/>
      <c r="E71" s="45" t="s">
        <v>439</v>
      </c>
      <c r="F71" s="45"/>
      <c r="G71" s="56"/>
      <c r="H71" s="219"/>
    </row>
    <row r="72" spans="2:8" ht="12.75">
      <c r="B72" s="218" t="s">
        <v>414</v>
      </c>
      <c r="C72" s="45"/>
      <c r="D72" s="45"/>
      <c r="E72" s="162" t="s">
        <v>440</v>
      </c>
      <c r="F72" s="45"/>
      <c r="G72" s="45"/>
      <c r="H72" s="219"/>
    </row>
    <row r="73" spans="2:8" ht="13.5" thickBot="1">
      <c r="B73" s="222" t="s">
        <v>415</v>
      </c>
      <c r="C73" s="223"/>
      <c r="D73" s="223"/>
      <c r="E73" s="224" t="s">
        <v>441</v>
      </c>
      <c r="F73" s="223"/>
      <c r="G73" s="223"/>
      <c r="H73" s="225"/>
    </row>
    <row r="74" spans="3:8" ht="12.75">
      <c r="C74" s="45"/>
      <c r="D74" s="45"/>
      <c r="E74" s="45"/>
      <c r="F74" s="45"/>
      <c r="G74" s="45"/>
      <c r="H74" s="45"/>
    </row>
  </sheetData>
  <printOptions/>
  <pageMargins left="0.25" right="0.2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1:J86"/>
  <sheetViews>
    <sheetView tabSelected="1" workbookViewId="0" topLeftCell="A1">
      <selection activeCell="C27" sqref="C27:E27"/>
    </sheetView>
  </sheetViews>
  <sheetFormatPr defaultColWidth="9.140625" defaultRowHeight="12.75"/>
  <cols>
    <col min="1" max="1" width="11.28125" style="0" customWidth="1"/>
    <col min="2" max="2" width="12.57421875" style="0" customWidth="1"/>
    <col min="3" max="3" width="13.140625" style="0" customWidth="1"/>
    <col min="4" max="5" width="12.421875" style="0" customWidth="1"/>
    <col min="6" max="6" width="13.00390625" style="0" customWidth="1"/>
    <col min="7" max="7" width="13.28125" style="0" customWidth="1"/>
    <col min="8" max="8" width="13.421875" style="0" customWidth="1"/>
    <col min="10" max="10" width="10.140625" style="0" bestFit="1" customWidth="1"/>
  </cols>
  <sheetData>
    <row r="1" spans="2:3" ht="12.75">
      <c r="B1" s="10"/>
      <c r="C1" s="10" t="s">
        <v>409</v>
      </c>
    </row>
    <row r="2" spans="2:3" ht="13.5" thickBot="1">
      <c r="B2" s="10"/>
      <c r="C2" s="10" t="s">
        <v>410</v>
      </c>
    </row>
    <row r="3" spans="1:2" ht="13.5" thickBot="1">
      <c r="A3" s="159" t="s">
        <v>401</v>
      </c>
      <c r="B3" s="10"/>
    </row>
    <row r="4" ht="12.75">
      <c r="A4" s="10" t="s">
        <v>453</v>
      </c>
    </row>
    <row r="5" spans="1:6" ht="14.25">
      <c r="A5" s="1" t="s">
        <v>0</v>
      </c>
      <c r="B5" s="1" t="s">
        <v>1</v>
      </c>
      <c r="C5" s="1" t="s">
        <v>6</v>
      </c>
      <c r="D5" s="1" t="s">
        <v>21</v>
      </c>
      <c r="F5" s="10" t="s">
        <v>20</v>
      </c>
    </row>
    <row r="6" spans="1:5" ht="12.75">
      <c r="A6">
        <v>6378137</v>
      </c>
      <c r="B6" s="2">
        <v>6356752.31414</v>
      </c>
      <c r="C6">
        <f>1-(B6*B6)/(A6*A6)</f>
        <v>0.0066943800230119255</v>
      </c>
      <c r="D6" s="7">
        <f>$A$6/($A$6-$B$6)</f>
        <v>298.2572220960422</v>
      </c>
      <c r="E6" t="s">
        <v>260</v>
      </c>
    </row>
    <row r="8" spans="1:7" ht="12.75">
      <c r="A8" s="10" t="s">
        <v>405</v>
      </c>
      <c r="C8" s="2"/>
      <c r="D8" s="12" t="s">
        <v>403</v>
      </c>
      <c r="G8" s="12" t="s">
        <v>407</v>
      </c>
    </row>
    <row r="9" spans="1:8" ht="15" thickBot="1">
      <c r="A9" s="10" t="s">
        <v>404</v>
      </c>
      <c r="C9" t="s">
        <v>4</v>
      </c>
      <c r="D9" s="4" t="s">
        <v>454</v>
      </c>
      <c r="E9" s="4" t="s">
        <v>455</v>
      </c>
      <c r="F9" s="12" t="s">
        <v>157</v>
      </c>
      <c r="G9" s="12" t="s">
        <v>158</v>
      </c>
      <c r="H9" s="12" t="s">
        <v>159</v>
      </c>
    </row>
    <row r="10" spans="1:8" ht="13.5" thickBot="1">
      <c r="A10" s="155" t="s">
        <v>608</v>
      </c>
      <c r="B10" s="179" t="s">
        <v>607</v>
      </c>
      <c r="C10" s="155">
        <v>4492.266248839907</v>
      </c>
      <c r="D10" s="156">
        <v>48.42219556229679</v>
      </c>
      <c r="E10" s="156">
        <v>-92.69715063659909</v>
      </c>
      <c r="F10" s="2">
        <f>E12*COS(D11)*COS(E11)</f>
        <v>-199694.65247689188</v>
      </c>
      <c r="G10" s="2">
        <f>E12*COS(D11)*SIN(E11)</f>
        <v>-4238994.993714033</v>
      </c>
      <c r="H10" s="2">
        <f>($C12*(1-$C$6)+C10)*SIN(D11)</f>
        <v>4751520.837418249</v>
      </c>
    </row>
    <row r="11" spans="2:8" ht="12.75">
      <c r="B11" s="125"/>
      <c r="C11" s="4" t="s">
        <v>436</v>
      </c>
      <c r="D11" s="154">
        <f>D10*PI()/180</f>
        <v>0.845126743606666</v>
      </c>
      <c r="E11" s="154">
        <f>E10*PI()/180</f>
        <v>-1.6178704858258117</v>
      </c>
      <c r="H11" s="6"/>
    </row>
    <row r="12" spans="2:8" ht="12.75">
      <c r="B12" s="4" t="s">
        <v>434</v>
      </c>
      <c r="C12" s="2">
        <f>$A$6/SQRT(1-$C$6*(SIN(D11))*(SIN(D11)))</f>
        <v>6390117.193030668</v>
      </c>
      <c r="D12" s="4" t="s">
        <v>435</v>
      </c>
      <c r="E12" s="2">
        <f>C12+C10</f>
        <v>6394609.459279508</v>
      </c>
      <c r="H12" s="6"/>
    </row>
    <row r="13" ht="13.5" thickBot="1">
      <c r="A13" s="10" t="s">
        <v>406</v>
      </c>
    </row>
    <row r="14" spans="1:10" ht="13.5" thickBot="1">
      <c r="A14" s="155" t="s">
        <v>608</v>
      </c>
      <c r="B14" s="179" t="s">
        <v>600</v>
      </c>
      <c r="C14" s="155">
        <v>4493.266248839907</v>
      </c>
      <c r="D14" s="156">
        <v>48.42219556229679</v>
      </c>
      <c r="E14" s="156">
        <v>-92.69715063659909</v>
      </c>
      <c r="F14" s="2">
        <f>E16*COS(D15)*COS(E15)</f>
        <v>-199694.6837054843</v>
      </c>
      <c r="G14" s="2">
        <f>E16*COS(D15)*SIN(E15)</f>
        <v>-4238995.656615344</v>
      </c>
      <c r="H14" s="2">
        <f>($C16*(1-$C$6)+C14)*SIN(D15)</f>
        <v>4751521.585473479</v>
      </c>
      <c r="I14" s="13"/>
      <c r="J14" s="13"/>
    </row>
    <row r="15" spans="2:5" ht="12.75">
      <c r="B15" s="1"/>
      <c r="C15" s="4" t="s">
        <v>436</v>
      </c>
      <c r="D15">
        <f>D14*PI()/180</f>
        <v>0.845126743606666</v>
      </c>
      <c r="E15">
        <f>E14*PI()/180</f>
        <v>-1.6178704858258117</v>
      </c>
    </row>
    <row r="16" spans="2:8" ht="12.75">
      <c r="B16" s="4" t="s">
        <v>434</v>
      </c>
      <c r="C16" s="2">
        <f>$A$6/SQRT(1-$C$6*(SIN(D15))*(SIN(D15)))</f>
        <v>6390117.193030668</v>
      </c>
      <c r="D16" s="4" t="s">
        <v>435</v>
      </c>
      <c r="E16" s="2">
        <f>C16+C14</f>
        <v>6394610.459279508</v>
      </c>
      <c r="H16" s="2">
        <f>C10+1</f>
        <v>4493.266248839907</v>
      </c>
    </row>
    <row r="17" spans="3:5" ht="14.25">
      <c r="C17" s="3"/>
      <c r="D17" s="21"/>
      <c r="E17" s="21"/>
    </row>
    <row r="18" spans="2:8" ht="12.75">
      <c r="B18" s="10" t="s">
        <v>408</v>
      </c>
      <c r="E18" s="12" t="s">
        <v>14</v>
      </c>
      <c r="F18" s="12" t="s">
        <v>398</v>
      </c>
      <c r="G18" s="12" t="s">
        <v>399</v>
      </c>
      <c r="H18" s="12" t="s">
        <v>400</v>
      </c>
    </row>
    <row r="19" spans="2:8" ht="12.75">
      <c r="B19" s="1" t="s">
        <v>102</v>
      </c>
      <c r="C19" s="1" t="s">
        <v>103</v>
      </c>
      <c r="E19" s="2">
        <f>SQRT(F19*F19+G19*G19+H19*H19)</f>
        <v>1.000000000161689</v>
      </c>
      <c r="F19" s="2">
        <f>F14-F10</f>
        <v>-0.031228592415573075</v>
      </c>
      <c r="G19" s="2">
        <f>G14-G10</f>
        <v>-0.6629013111814857</v>
      </c>
      <c r="H19" s="2">
        <f>H14-H10</f>
        <v>0.7480552298948169</v>
      </c>
    </row>
    <row r="20" spans="2:4" ht="12.75">
      <c r="B20" s="7">
        <f>ATAN2(F23,G23)</f>
        <v>3.050426332874141</v>
      </c>
      <c r="C20" s="7">
        <f>ASIN(H23/E19)</f>
        <v>1.5707963267948966</v>
      </c>
      <c r="D20" s="14" t="s">
        <v>104</v>
      </c>
    </row>
    <row r="21" spans="2:6" ht="12.75">
      <c r="B21">
        <f>IF($B20&gt;0,DEGREES($B20),DEGREES($B20)+360)</f>
        <v>174.77655458925705</v>
      </c>
      <c r="C21" s="21">
        <f>C20*180/PI()</f>
        <v>90</v>
      </c>
      <c r="D21" s="14" t="s">
        <v>95</v>
      </c>
      <c r="F21" s="10" t="s">
        <v>402</v>
      </c>
    </row>
    <row r="22" spans="2:8" ht="12.75">
      <c r="B22" s="21"/>
      <c r="C22" s="21"/>
      <c r="D22" s="14"/>
      <c r="F22" s="1" t="s">
        <v>15</v>
      </c>
      <c r="G22" s="1" t="s">
        <v>16</v>
      </c>
      <c r="H22" s="1" t="s">
        <v>11</v>
      </c>
    </row>
    <row r="23" spans="2:8" ht="12.75">
      <c r="B23" s="6"/>
      <c r="C23" s="6"/>
      <c r="D23" s="158"/>
      <c r="F23" s="2">
        <f>-SIN(D11)*COS(E11)*F19-SIN(D11)*SIN(E11)*G19+COS(D11)*H19</f>
        <v>-1.3535622622740107E-10</v>
      </c>
      <c r="G23" s="2">
        <f>-SIN(E11)*F19+COS(E11)*G19</f>
        <v>1.2374230112799367E-11</v>
      </c>
      <c r="H23" s="2">
        <f>COS(D11)*COS(E11)*F19+COS(D11)*SIN(E11)*G19+SIN(D11)*H19</f>
        <v>1.000000000161689</v>
      </c>
    </row>
    <row r="24" spans="2:4" ht="12.75">
      <c r="B24" s="6"/>
      <c r="C24" s="6"/>
      <c r="D24" s="14"/>
    </row>
    <row r="26" spans="1:7" ht="12.75">
      <c r="A26" s="10" t="s">
        <v>418</v>
      </c>
      <c r="C26" s="2"/>
      <c r="D26" s="12" t="s">
        <v>403</v>
      </c>
      <c r="G26" s="12" t="s">
        <v>407</v>
      </c>
    </row>
    <row r="27" spans="1:8" ht="15" thickBot="1">
      <c r="A27" s="10" t="s">
        <v>419</v>
      </c>
      <c r="C27" t="s">
        <v>4</v>
      </c>
      <c r="D27" s="4" t="s">
        <v>454</v>
      </c>
      <c r="E27" s="4" t="s">
        <v>455</v>
      </c>
      <c r="F27" s="12" t="s">
        <v>157</v>
      </c>
      <c r="G27" s="12" t="s">
        <v>158</v>
      </c>
      <c r="H27" s="12" t="s">
        <v>159</v>
      </c>
    </row>
    <row r="28" spans="1:8" ht="13.5" thickBot="1">
      <c r="A28" s="155" t="s">
        <v>608</v>
      </c>
      <c r="B28" s="179" t="s">
        <v>607</v>
      </c>
      <c r="C28" s="155">
        <v>4492.266248839907</v>
      </c>
      <c r="D28" s="156">
        <v>48.42219556229679</v>
      </c>
      <c r="E28" s="156">
        <v>-92.69715063659909</v>
      </c>
      <c r="F28" s="2">
        <f>E30*COS(D29)*COS(E29)</f>
        <v>-199694.65247689188</v>
      </c>
      <c r="G28" s="2">
        <f>E30*COS(D29)*SIN(E29)</f>
        <v>-4238994.993714033</v>
      </c>
      <c r="H28" s="2">
        <f>($C30*(1-$C$6)+C28)*SIN(D29)</f>
        <v>4751520.837418249</v>
      </c>
    </row>
    <row r="29" spans="2:8" ht="12.75">
      <c r="B29" s="1"/>
      <c r="C29" s="4" t="s">
        <v>436</v>
      </c>
      <c r="D29" s="154">
        <f>D28*PI()/180</f>
        <v>0.845126743606666</v>
      </c>
      <c r="E29" s="154">
        <f>E28*PI()/180</f>
        <v>-1.6178704858258117</v>
      </c>
      <c r="F29" s="5"/>
      <c r="G29" s="269"/>
      <c r="H29" s="8"/>
    </row>
    <row r="30" spans="2:8" ht="12.75">
      <c r="B30" s="4" t="s">
        <v>434</v>
      </c>
      <c r="C30" s="2">
        <f>$A$6/SQRT(1-$C$6*(SIN(D29))*(SIN(D29)))</f>
        <v>6390117.193030668</v>
      </c>
      <c r="D30" s="4" t="s">
        <v>435</v>
      </c>
      <c r="E30" s="2">
        <f>C30+C28</f>
        <v>6394609.459279508</v>
      </c>
      <c r="H30" s="6"/>
    </row>
    <row r="31" spans="1:8" ht="13.5" thickBot="1">
      <c r="A31" s="10" t="s">
        <v>420</v>
      </c>
      <c r="C31" s="2"/>
      <c r="D31" s="1"/>
      <c r="E31" s="2"/>
      <c r="H31" s="6"/>
    </row>
    <row r="32" spans="1:8" ht="13.5" thickBot="1">
      <c r="A32" s="155" t="s">
        <v>610</v>
      </c>
      <c r="B32" s="179" t="s">
        <v>609</v>
      </c>
      <c r="C32" s="155">
        <v>346</v>
      </c>
      <c r="D32" s="156">
        <v>48.3789</v>
      </c>
      <c r="E32" s="156">
        <v>-92.8327</v>
      </c>
      <c r="F32" s="2">
        <f>E34*COS(D33)*COS(E33)</f>
        <v>-209764.5727987513</v>
      </c>
      <c r="G32" s="2">
        <f>E34*COS(D33)*SIN(E33)</f>
        <v>-4239358.4602880245</v>
      </c>
      <c r="H32" s="2">
        <f>($C34*(1-$C$6)+C32)*SIN(D33)</f>
        <v>4745222.666020074</v>
      </c>
    </row>
    <row r="33" spans="2:8" ht="14.25">
      <c r="B33" s="125"/>
      <c r="C33" s="4" t="s">
        <v>436</v>
      </c>
      <c r="D33">
        <f>D32*PI()/180</f>
        <v>0.8443710934930847</v>
      </c>
      <c r="E33">
        <f>E32*PI()/180</f>
        <v>-1.62023626851614</v>
      </c>
      <c r="F33" s="3"/>
      <c r="G33" s="5"/>
      <c r="H33" s="4"/>
    </row>
    <row r="34" spans="2:8" ht="12.75">
      <c r="B34" s="4" t="s">
        <v>434</v>
      </c>
      <c r="C34" s="2">
        <f>$A$6/SQRT(1-$C$6*(SIN(D33))*(SIN(D33)))</f>
        <v>6390101.083926489</v>
      </c>
      <c r="D34" s="4" t="s">
        <v>435</v>
      </c>
      <c r="E34" s="2">
        <f>C34+C32</f>
        <v>6390447.083926489</v>
      </c>
      <c r="H34" s="6"/>
    </row>
    <row r="35" spans="1:7" ht="12.75">
      <c r="A35" s="1"/>
      <c r="B35" s="2"/>
      <c r="C35" s="1"/>
      <c r="D35" s="2"/>
      <c r="G35" s="6"/>
    </row>
    <row r="36" spans="1:8" ht="12.75">
      <c r="A36" s="1"/>
      <c r="B36" s="10" t="s">
        <v>421</v>
      </c>
      <c r="E36" s="12" t="s">
        <v>14</v>
      </c>
      <c r="F36" s="12" t="s">
        <v>398</v>
      </c>
      <c r="G36" s="12" t="s">
        <v>399</v>
      </c>
      <c r="H36" s="12" t="s">
        <v>400</v>
      </c>
    </row>
    <row r="37" spans="1:8" ht="12.75">
      <c r="A37" s="1"/>
      <c r="B37" s="1" t="s">
        <v>102</v>
      </c>
      <c r="C37" s="1" t="s">
        <v>103</v>
      </c>
      <c r="E37" s="2">
        <f>SQRT(F37*F37+G37*G37+H37*H37)</f>
        <v>11882.860185990394</v>
      </c>
      <c r="F37" s="2">
        <f>F32-F28</f>
        <v>-10069.92032185942</v>
      </c>
      <c r="G37" s="2">
        <f>G32-G28</f>
        <v>-363.46657399181277</v>
      </c>
      <c r="H37" s="2">
        <f>H32-H28</f>
        <v>-6298.171398174949</v>
      </c>
    </row>
    <row r="38" spans="1:7" ht="12.75">
      <c r="A38" s="1"/>
      <c r="B38" s="7">
        <f>ATAN2(F41,G41)</f>
        <v>-2.017163328236956</v>
      </c>
      <c r="C38" s="7">
        <f>ASIN(H41/E37)</f>
        <v>-0.3572986491310037</v>
      </c>
      <c r="D38" s="14" t="s">
        <v>104</v>
      </c>
      <c r="G38" s="6"/>
    </row>
    <row r="39" spans="2:8" ht="12.75">
      <c r="B39">
        <f>IF($B38&gt;0,DEGREES($B38),DEGREES($B38)+360)</f>
        <v>244.4250547034601</v>
      </c>
      <c r="C39" s="21">
        <f>C38*180/PI()</f>
        <v>-20.47170462093215</v>
      </c>
      <c r="D39" s="14" t="s">
        <v>95</v>
      </c>
      <c r="F39" s="10" t="s">
        <v>422</v>
      </c>
      <c r="H39" s="6"/>
    </row>
    <row r="40" spans="1:8" ht="12.75">
      <c r="A40" s="1"/>
      <c r="B40" s="21"/>
      <c r="C40" s="21"/>
      <c r="D40" s="14"/>
      <c r="F40" s="12" t="s">
        <v>15</v>
      </c>
      <c r="G40" s="12" t="s">
        <v>16</v>
      </c>
      <c r="H40" s="12" t="s">
        <v>11</v>
      </c>
    </row>
    <row r="41" spans="1:8" ht="12.75">
      <c r="A41" s="1"/>
      <c r="B41" s="6"/>
      <c r="C41" s="6"/>
      <c r="D41" s="158"/>
      <c r="F41" s="2">
        <f>-SIN(D29)*COS(E29)*F37-SIN(D29)*SIN(E29)*G37+COS(D29)*H37</f>
        <v>-4805.7600855146875</v>
      </c>
      <c r="G41" s="2">
        <f>-SIN(E29)*F37+COS(E29)*G37</f>
        <v>-10041.661464117396</v>
      </c>
      <c r="H41" s="2">
        <f>COS(D29)*COS(E29)*F37+COS(D29)*SIN(E29)*G37+SIN(D29)*H37</f>
        <v>-4155.968147174519</v>
      </c>
    </row>
    <row r="42" spans="1:7" ht="12.75">
      <c r="A42" s="1"/>
      <c r="B42" s="6"/>
      <c r="C42" s="6"/>
      <c r="D42" s="14"/>
      <c r="G42" s="6"/>
    </row>
    <row r="43" spans="1:7" ht="12.75">
      <c r="A43" s="1"/>
      <c r="B43" s="2"/>
      <c r="C43" s="1"/>
      <c r="D43" s="2"/>
      <c r="G43" s="6"/>
    </row>
    <row r="44" spans="1:8" ht="12.75" hidden="1">
      <c r="A44" s="25">
        <f>F41+32.8658</f>
        <v>-4772.894285514688</v>
      </c>
      <c r="B44" s="25">
        <f>G41-5.1943</f>
        <v>-10046.855764117396</v>
      </c>
      <c r="C44" s="25">
        <f>H41-0.5534</f>
        <v>-4156.521547174519</v>
      </c>
      <c r="D44" s="25">
        <f>SQRT(SUMSQ(B44:C44))</f>
        <v>10872.717329035322</v>
      </c>
      <c r="F44" s="4"/>
      <c r="H44" s="6"/>
    </row>
    <row r="45" ht="12.75">
      <c r="A45" s="9" t="s">
        <v>22</v>
      </c>
    </row>
    <row r="46" spans="2:5" ht="12.75">
      <c r="B46" s="12" t="s">
        <v>423</v>
      </c>
      <c r="C46" s="12" t="s">
        <v>424</v>
      </c>
      <c r="D46" s="12" t="s">
        <v>425</v>
      </c>
      <c r="E46" s="12" t="s">
        <v>26</v>
      </c>
    </row>
    <row r="47" spans="2:7" ht="12.75">
      <c r="B47" s="8">
        <f>F19-F37</f>
        <v>10069.889093267004</v>
      </c>
      <c r="C47" s="8">
        <f>G19-G37</f>
        <v>362.8036726806313</v>
      </c>
      <c r="D47" s="8">
        <f>H19-H37</f>
        <v>6298.919453404844</v>
      </c>
      <c r="E47" s="2">
        <f>E19-E37</f>
        <v>-11881.860185990232</v>
      </c>
      <c r="G47" s="2"/>
    </row>
    <row r="48" spans="2:6" ht="12.75">
      <c r="B48" s="12" t="s">
        <v>23</v>
      </c>
      <c r="C48" s="12" t="s">
        <v>24</v>
      </c>
      <c r="D48" s="12" t="s">
        <v>25</v>
      </c>
      <c r="E48" s="12" t="s">
        <v>105</v>
      </c>
      <c r="F48" s="10" t="s">
        <v>30</v>
      </c>
    </row>
    <row r="49" spans="2:5" ht="12.75">
      <c r="B49" s="2">
        <f>-SIN(D29)*COS(E29)*B47-SIN(D29)*SIN(E29)*C47+COS(D29)*D47</f>
        <v>4805.760085514552</v>
      </c>
      <c r="C49" s="2">
        <f>-SIN(E29)*B47+COS(E29)*C47</f>
        <v>10041.661464117407</v>
      </c>
      <c r="D49" s="2">
        <f>COS(D29)*COS(E29)*B47+COS(D29)*SIN(E29)*C47+SIN(D29)*D47</f>
        <v>4156.968147174681</v>
      </c>
      <c r="E49" s="2">
        <f>SQRT(B49*B49+C49*C49+D49*D49)</f>
        <v>11883.20996768509</v>
      </c>
    </row>
    <row r="50" spans="2:8" ht="12.75">
      <c r="B50" s="12" t="s">
        <v>23</v>
      </c>
      <c r="C50" s="12" t="s">
        <v>24</v>
      </c>
      <c r="D50" s="12" t="s">
        <v>25</v>
      </c>
      <c r="E50" s="12" t="s">
        <v>105</v>
      </c>
      <c r="F50" s="10" t="s">
        <v>94</v>
      </c>
      <c r="H50" s="1"/>
    </row>
    <row r="51" spans="2:8" ht="12.75">
      <c r="B51" s="2">
        <f>F23-F41</f>
        <v>4805.760085514552</v>
      </c>
      <c r="C51" s="2">
        <f>G23-G41</f>
        <v>10041.66146411741</v>
      </c>
      <c r="D51" s="2">
        <f>H23-H41</f>
        <v>4156.968147174681</v>
      </c>
      <c r="E51" s="2">
        <f>SQRT(B51*B51+C51*C51+D51*D51)</f>
        <v>11883.209967685092</v>
      </c>
      <c r="G51" s="4"/>
      <c r="H51" s="26"/>
    </row>
    <row r="52" spans="7:8" ht="12.75">
      <c r="G52" s="4"/>
      <c r="H52" s="26"/>
    </row>
    <row r="53" spans="1:7" ht="12.75">
      <c r="A53" s="10" t="s">
        <v>458</v>
      </c>
      <c r="C53" s="2"/>
      <c r="D53" s="12" t="s">
        <v>403</v>
      </c>
      <c r="G53" s="12" t="s">
        <v>407</v>
      </c>
    </row>
    <row r="54" spans="1:8" ht="14.25">
      <c r="A54" s="10" t="s">
        <v>459</v>
      </c>
      <c r="C54" t="s">
        <v>4</v>
      </c>
      <c r="D54" s="4" t="s">
        <v>454</v>
      </c>
      <c r="E54" s="4" t="s">
        <v>455</v>
      </c>
      <c r="F54" s="12" t="s">
        <v>157</v>
      </c>
      <c r="G54" s="12" t="s">
        <v>158</v>
      </c>
      <c r="H54" s="12" t="s">
        <v>159</v>
      </c>
    </row>
    <row r="55" spans="1:8" ht="12.75">
      <c r="A55" s="10"/>
      <c r="B55" s="1" t="s">
        <v>108</v>
      </c>
      <c r="C55" s="2">
        <v>153.96829709410667</v>
      </c>
      <c r="D55" s="137">
        <v>41.83202350680571</v>
      </c>
      <c r="E55" s="13">
        <v>-88.26555873341539</v>
      </c>
      <c r="F55">
        <v>144058.55234079924</v>
      </c>
      <c r="G55" s="2">
        <v>-4757396.9876393</v>
      </c>
      <c r="H55" s="2">
        <v>4231823.074484399</v>
      </c>
    </row>
    <row r="56" spans="1:8" ht="12.75">
      <c r="A56" s="10"/>
      <c r="B56" s="1" t="s">
        <v>136</v>
      </c>
      <c r="C56" s="2">
        <v>-248.3991527</v>
      </c>
      <c r="D56" s="13">
        <v>47.820266534666665</v>
      </c>
      <c r="E56" s="13">
        <v>-92.24141201908333</v>
      </c>
      <c r="F56" s="2">
        <v>-167796.99235646756</v>
      </c>
      <c r="G56" s="2">
        <v>-4287098.721551998</v>
      </c>
      <c r="H56" s="2">
        <v>4703296.872157471</v>
      </c>
    </row>
    <row r="57" spans="1:8" ht="15.75">
      <c r="A57" s="115" t="s">
        <v>473</v>
      </c>
      <c r="B57" s="115" t="s">
        <v>474</v>
      </c>
      <c r="D57" s="4"/>
      <c r="E57" s="4"/>
      <c r="F57" s="12"/>
      <c r="G57" s="12"/>
      <c r="H57" s="12"/>
    </row>
    <row r="58" spans="1:8" ht="12.75">
      <c r="A58" s="47">
        <f>ATAN2(G56-G55,F56-F55)</f>
        <v>-0.5855304354159501</v>
      </c>
      <c r="B58" s="66">
        <f>ASIN((H56-H55)/SQRT(SUMSQ(F56-F55,G56-G55,H56-H55)))</f>
        <v>0.6960169166663005</v>
      </c>
      <c r="C58" t="s">
        <v>19</v>
      </c>
      <c r="D58" t="s">
        <v>598</v>
      </c>
      <c r="E58" s="4" t="s">
        <v>599</v>
      </c>
      <c r="F58" s="12"/>
      <c r="G58" s="12"/>
      <c r="H58" s="12"/>
    </row>
    <row r="59" spans="1:8" ht="12.75">
      <c r="A59">
        <f>DEGREES(A58)</f>
        <v>-33.54842272579136</v>
      </c>
      <c r="B59">
        <f>DEGREES(B58)</f>
        <v>39.87883179468775</v>
      </c>
      <c r="C59" t="s">
        <v>461</v>
      </c>
      <c r="D59" s="4">
        <f>SQRT(SUMSQ(F56-F55,G56-G55,H56-H55))</f>
        <v>735337.9370979177</v>
      </c>
      <c r="E59" s="4" t="s">
        <v>601</v>
      </c>
      <c r="F59" s="104">
        <f>(F56-F55)/$D59</f>
        <v>-0.42409826688397834</v>
      </c>
      <c r="G59" s="104">
        <f>(G56-G55)/$D59</f>
        <v>0.6395675272016831</v>
      </c>
      <c r="H59" s="104">
        <f>(H56-H55)/$D59</f>
        <v>0.6411661548889884</v>
      </c>
    </row>
    <row r="60" spans="5:8" ht="12.75">
      <c r="E60" s="4" t="s">
        <v>602</v>
      </c>
      <c r="F60" s="268">
        <f>F19</f>
        <v>-0.031228592415573075</v>
      </c>
      <c r="G60" s="268">
        <f>G19</f>
        <v>-0.6629013111814857</v>
      </c>
      <c r="H60" s="268">
        <f>H19</f>
        <v>0.7480552298948169</v>
      </c>
    </row>
    <row r="61" spans="5:8" ht="12.75">
      <c r="E61" s="4" t="s">
        <v>603</v>
      </c>
      <c r="F61" s="268">
        <f>G59*H60-H59*G60</f>
        <v>0.9034617183552165</v>
      </c>
      <c r="G61" s="268">
        <f>H59*F60-F59*H60</f>
        <v>0.2972262100101994</v>
      </c>
      <c r="H61" s="268">
        <f>F59*G60-G59*F60</f>
        <v>0.3011080908164022</v>
      </c>
    </row>
    <row r="62" spans="5:8" ht="12.75">
      <c r="E62" s="4" t="s">
        <v>604</v>
      </c>
      <c r="F62" s="8">
        <f>F10+F61</f>
        <v>-199693.74901517353</v>
      </c>
      <c r="G62" s="8">
        <f>G10+G61</f>
        <v>-4238994.696487823</v>
      </c>
      <c r="H62" s="8">
        <f>H10+H61</f>
        <v>4751521.13852634</v>
      </c>
    </row>
    <row r="63" spans="7:8" ht="13.5" thickBot="1">
      <c r="G63" s="4"/>
      <c r="H63" s="26"/>
    </row>
    <row r="64" spans="1:8" ht="12.75">
      <c r="A64" s="182" t="s">
        <v>416</v>
      </c>
      <c r="B64" s="183"/>
      <c r="C64" s="183"/>
      <c r="D64" s="184"/>
      <c r="E64" s="183" t="s">
        <v>417</v>
      </c>
      <c r="F64" s="185"/>
      <c r="G64" s="186"/>
      <c r="H64" s="187"/>
    </row>
    <row r="65" spans="1:8" ht="15" thickBot="1">
      <c r="A65" s="188">
        <v>0</v>
      </c>
      <c r="B65" s="50" t="s">
        <v>17</v>
      </c>
      <c r="C65" s="51" t="s">
        <v>18</v>
      </c>
      <c r="D65" s="168">
        <v>0</v>
      </c>
      <c r="E65" s="167">
        <v>0</v>
      </c>
      <c r="F65" s="167">
        <v>0</v>
      </c>
      <c r="G65" s="50" t="s">
        <v>17</v>
      </c>
      <c r="H65" s="189" t="s">
        <v>18</v>
      </c>
    </row>
    <row r="66" spans="1:8" ht="13.5" thickBot="1">
      <c r="A66" s="190">
        <v>41</v>
      </c>
      <c r="B66" s="164">
        <v>49</v>
      </c>
      <c r="C66" s="157">
        <v>55.28462450056168</v>
      </c>
      <c r="D66" s="169">
        <f>A66+(B66+C66/60)/60</f>
        <v>41.83202350680571</v>
      </c>
      <c r="E66" s="165">
        <v>41.83202350680571</v>
      </c>
      <c r="F66" s="166">
        <f>ROUNDDOWN(E66,0)</f>
        <v>41</v>
      </c>
      <c r="G66" s="166">
        <f>ROUNDDOWN((E66-F66)*60,0)</f>
        <v>49</v>
      </c>
      <c r="H66" s="191">
        <f>((E66-F66)*60-G66)*60</f>
        <v>55.28462450056168</v>
      </c>
    </row>
    <row r="67" spans="1:8" ht="12.75">
      <c r="A67" s="192" t="s">
        <v>486</v>
      </c>
      <c r="B67" s="172"/>
      <c r="C67" s="44"/>
      <c r="D67" s="45"/>
      <c r="E67" s="173"/>
      <c r="F67" s="166"/>
      <c r="G67" s="166"/>
      <c r="H67" s="191"/>
    </row>
    <row r="68" spans="1:8" ht="13.5" thickBot="1">
      <c r="A68" s="193" t="s">
        <v>430</v>
      </c>
      <c r="B68" s="194"/>
      <c r="C68" s="194"/>
      <c r="D68" s="194"/>
      <c r="E68" s="194"/>
      <c r="F68" s="194"/>
      <c r="G68" s="195"/>
      <c r="H68" s="196"/>
    </row>
    <row r="69" spans="1:8" ht="13.5" thickBot="1">
      <c r="A69" s="45"/>
      <c r="B69" s="45"/>
      <c r="C69" s="45"/>
      <c r="D69" s="45"/>
      <c r="E69" s="45"/>
      <c r="F69" s="45"/>
      <c r="G69" s="51"/>
      <c r="H69" s="62"/>
    </row>
    <row r="70" spans="1:8" ht="12.75">
      <c r="A70" s="197" t="s">
        <v>448</v>
      </c>
      <c r="B70" s="198"/>
      <c r="C70" s="199"/>
      <c r="D70" s="45"/>
      <c r="E70" s="206"/>
      <c r="F70" s="207" t="s">
        <v>450</v>
      </c>
      <c r="G70" s="208"/>
      <c r="H70" s="62"/>
    </row>
    <row r="71" spans="1:8" ht="13.5" thickBot="1">
      <c r="A71" s="200" t="s">
        <v>449</v>
      </c>
      <c r="B71" s="45"/>
      <c r="C71" s="201"/>
      <c r="D71" s="45"/>
      <c r="E71" s="209"/>
      <c r="F71" s="47" t="s">
        <v>451</v>
      </c>
      <c r="G71" s="210" t="s">
        <v>452</v>
      </c>
      <c r="H71" s="62"/>
    </row>
    <row r="72" spans="1:8" ht="13.5" thickBot="1">
      <c r="A72" s="202" t="s">
        <v>432</v>
      </c>
      <c r="B72" s="47" t="s">
        <v>431</v>
      </c>
      <c r="C72" s="203" t="s">
        <v>433</v>
      </c>
      <c r="D72" s="45"/>
      <c r="E72" s="209">
        <v>1</v>
      </c>
      <c r="F72" s="180">
        <v>0</v>
      </c>
      <c r="G72" s="211">
        <v>0</v>
      </c>
      <c r="H72" s="62"/>
    </row>
    <row r="73" spans="1:8" ht="13.5" thickBot="1">
      <c r="A73" s="226">
        <v>1240</v>
      </c>
      <c r="B73" s="204">
        <v>-32</v>
      </c>
      <c r="C73" s="205">
        <f>$A73*12*0.0254+$B73</f>
        <v>345.952</v>
      </c>
      <c r="D73" s="45"/>
      <c r="E73" s="209">
        <v>2</v>
      </c>
      <c r="F73" s="180">
        <v>-10</v>
      </c>
      <c r="G73" s="211">
        <v>100</v>
      </c>
      <c r="H73" s="62"/>
    </row>
    <row r="74" spans="1:8" ht="13.5" thickBot="1">
      <c r="A74" s="172"/>
      <c r="B74" s="54"/>
      <c r="C74" s="48"/>
      <c r="D74" s="45"/>
      <c r="E74" s="247" t="s">
        <v>487</v>
      </c>
      <c r="F74" s="213">
        <f>F72+((G74-G72)*(F73-F72))/(G73-G72)</f>
        <v>7</v>
      </c>
      <c r="G74" s="181">
        <v>-70</v>
      </c>
      <c r="H74" s="62"/>
    </row>
    <row r="75" spans="7:8" ht="13.5" thickBot="1">
      <c r="G75" s="4"/>
      <c r="H75" s="26"/>
    </row>
    <row r="76" spans="2:8" ht="12.75">
      <c r="B76" s="214" t="s">
        <v>442</v>
      </c>
      <c r="C76" s="215"/>
      <c r="D76" s="215"/>
      <c r="E76" s="215"/>
      <c r="F76" s="216" t="s">
        <v>147</v>
      </c>
      <c r="G76" s="215"/>
      <c r="H76" s="217"/>
    </row>
    <row r="77" spans="2:8" ht="15" thickBot="1">
      <c r="B77" s="218"/>
      <c r="C77" s="45"/>
      <c r="D77" s="171" t="s">
        <v>426</v>
      </c>
      <c r="E77" s="45"/>
      <c r="F77" s="45"/>
      <c r="G77" s="45"/>
      <c r="H77" s="219"/>
    </row>
    <row r="78" spans="2:8" ht="15" thickBot="1">
      <c r="B78" s="218"/>
      <c r="C78" s="51" t="s">
        <v>411</v>
      </c>
      <c r="D78" s="36">
        <v>48.422195562300274</v>
      </c>
      <c r="E78" s="53" t="s">
        <v>443</v>
      </c>
      <c r="F78" s="161" t="s">
        <v>155</v>
      </c>
      <c r="G78" s="161" t="s">
        <v>139</v>
      </c>
      <c r="H78" s="220" t="s">
        <v>140</v>
      </c>
    </row>
    <row r="79" spans="2:8" ht="13.5" thickBot="1">
      <c r="B79" s="218"/>
      <c r="C79" s="48">
        <f>SQRT(F79*F79+G79*G79)/COS((D80*PI())/180)-$A$6/SQRT(1-$C$6*POWER(SIN((D80*PI())/180),2))</f>
        <v>4492.266248839907</v>
      </c>
      <c r="D79" s="163">
        <f>D80</f>
        <v>48.42219556229679</v>
      </c>
      <c r="E79" s="45">
        <f>(180/PI())*ATAN2(F79,G79)</f>
        <v>-92.69715063659909</v>
      </c>
      <c r="F79" s="157">
        <v>-199694.65247689257</v>
      </c>
      <c r="G79" s="157">
        <v>-4238994.993714032</v>
      </c>
      <c r="H79" s="221">
        <v>4751520.837418248</v>
      </c>
    </row>
    <row r="80" spans="2:8" ht="14.25">
      <c r="B80" s="218"/>
      <c r="C80" s="53" t="s">
        <v>427</v>
      </c>
      <c r="D80" s="49">
        <f>(180/PI())*ATAN(H79/(SQRT(F79*F79+G79*G79))*(1+$C$6*$A$6*SIN((D78*PI())/180)/(H79*SQRT(1-$C$6*POWER(SIN((D78*PI())/180),2)))))</f>
        <v>48.42219556229679</v>
      </c>
      <c r="E80" s="160">
        <v>0</v>
      </c>
      <c r="F80" s="45"/>
      <c r="G80" s="45"/>
      <c r="H80" s="219"/>
    </row>
    <row r="81" spans="2:8" ht="14.25">
      <c r="B81" s="218"/>
      <c r="C81" s="53" t="s">
        <v>429</v>
      </c>
      <c r="D81" s="45">
        <f>(180/PI())*ATAN(H79/((1-$C$6)*SQRT(F79*F79+G79*G79)))</f>
        <v>48.42233023027082</v>
      </c>
      <c r="E81" s="174" t="s">
        <v>437</v>
      </c>
      <c r="F81" s="45"/>
      <c r="G81" s="45"/>
      <c r="H81" s="219"/>
    </row>
    <row r="82" spans="2:8" ht="12.75">
      <c r="B82" s="218" t="s">
        <v>412</v>
      </c>
      <c r="C82" s="45"/>
      <c r="D82" s="45"/>
      <c r="E82" s="45" t="s">
        <v>438</v>
      </c>
      <c r="F82" s="45"/>
      <c r="G82" s="45"/>
      <c r="H82" s="219"/>
    </row>
    <row r="83" spans="2:8" ht="12.75">
      <c r="B83" s="218" t="s">
        <v>413</v>
      </c>
      <c r="C83" s="45"/>
      <c r="D83" s="45"/>
      <c r="E83" s="45" t="s">
        <v>439</v>
      </c>
      <c r="F83" s="45"/>
      <c r="G83" s="56"/>
      <c r="H83" s="219"/>
    </row>
    <row r="84" spans="2:8" ht="12.75">
      <c r="B84" s="218" t="s">
        <v>414</v>
      </c>
      <c r="C84" s="45"/>
      <c r="D84" s="45"/>
      <c r="E84" s="162" t="s">
        <v>440</v>
      </c>
      <c r="F84" s="45"/>
      <c r="G84" s="45"/>
      <c r="H84" s="219"/>
    </row>
    <row r="85" spans="2:8" ht="13.5" thickBot="1">
      <c r="B85" s="222" t="s">
        <v>415</v>
      </c>
      <c r="C85" s="223"/>
      <c r="D85" s="223"/>
      <c r="E85" s="224" t="s">
        <v>441</v>
      </c>
      <c r="F85" s="223"/>
      <c r="G85" s="223"/>
      <c r="H85" s="225"/>
    </row>
    <row r="86" spans="3:8" ht="12.75">
      <c r="C86" s="45"/>
      <c r="D86" s="45"/>
      <c r="E86" s="45"/>
      <c r="F86" s="45"/>
      <c r="G86" s="45"/>
      <c r="H86" s="45"/>
    </row>
  </sheetData>
  <printOptions/>
  <pageMargins left="0.25" right="0.25" top="1" bottom="1" header="0.5" footer="0.5"/>
  <pageSetup horizontalDpi="600" verticalDpi="600" orientation="portrait" r:id="rId1"/>
  <headerFooter alignWithMargins="0">
    <oddHeader>&amp;L&amp;D&amp;C&amp;Z&amp;F&amp;R&amp;A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0"/>
  <dimension ref="A1:J138"/>
  <sheetViews>
    <sheetView workbookViewId="0" topLeftCell="A21">
      <selection activeCell="H48" sqref="H48"/>
    </sheetView>
  </sheetViews>
  <sheetFormatPr defaultColWidth="9.140625" defaultRowHeight="12.75"/>
  <cols>
    <col min="1" max="1" width="11.7109375" style="0" customWidth="1"/>
    <col min="2" max="2" width="12.28125" style="0" customWidth="1"/>
    <col min="3" max="3" width="13.140625" style="0" customWidth="1"/>
    <col min="4" max="4" width="12.7109375" style="0" customWidth="1"/>
    <col min="5" max="6" width="12.421875" style="0" customWidth="1"/>
    <col min="7" max="7" width="13.28125" style="0" customWidth="1"/>
    <col min="8" max="8" width="12.7109375" style="0" customWidth="1"/>
    <col min="9" max="9" width="15.00390625" style="0" customWidth="1"/>
    <col min="10" max="10" width="10.57421875" style="0" bestFit="1" customWidth="1"/>
  </cols>
  <sheetData>
    <row r="1" spans="2:9" ht="12.75">
      <c r="B1" s="10"/>
      <c r="C1" s="10" t="s">
        <v>462</v>
      </c>
      <c r="I1" s="170"/>
    </row>
    <row r="2" spans="2:9" ht="13.5" thickBot="1">
      <c r="B2" s="10"/>
      <c r="C2" s="10" t="s">
        <v>463</v>
      </c>
      <c r="I2" s="170"/>
    </row>
    <row r="3" spans="1:2" ht="13.5" thickBot="1">
      <c r="A3" s="159" t="s">
        <v>401</v>
      </c>
      <c r="B3" s="10"/>
    </row>
    <row r="4" ht="12.75">
      <c r="A4" s="10" t="s">
        <v>453</v>
      </c>
    </row>
    <row r="5" spans="1:6" ht="14.25">
      <c r="A5" s="1" t="s">
        <v>0</v>
      </c>
      <c r="B5" s="1" t="s">
        <v>1</v>
      </c>
      <c r="C5" s="1" t="s">
        <v>6</v>
      </c>
      <c r="D5" s="1" t="s">
        <v>21</v>
      </c>
      <c r="F5" s="10" t="s">
        <v>20</v>
      </c>
    </row>
    <row r="6" spans="1:5" ht="12.75">
      <c r="A6">
        <v>6378137</v>
      </c>
      <c r="B6" s="2">
        <v>6356752.31414</v>
      </c>
      <c r="C6">
        <f>1-(B6*B6)/(A6*A6)</f>
        <v>0.0066943800230119255</v>
      </c>
      <c r="D6" s="7">
        <f>$A$6/($A$6-$B$6)</f>
        <v>298.2572220960422</v>
      </c>
      <c r="E6" t="s">
        <v>260</v>
      </c>
    </row>
    <row r="8" spans="1:7" ht="12.75">
      <c r="A8" s="10" t="s">
        <v>405</v>
      </c>
      <c r="C8" s="2"/>
      <c r="D8" s="12" t="s">
        <v>403</v>
      </c>
      <c r="G8" s="12" t="s">
        <v>407</v>
      </c>
    </row>
    <row r="9" spans="1:8" ht="15" thickBot="1">
      <c r="A9" s="10" t="s">
        <v>404</v>
      </c>
      <c r="C9" t="s">
        <v>4</v>
      </c>
      <c r="D9" s="4" t="s">
        <v>454</v>
      </c>
      <c r="E9" s="4" t="s">
        <v>455</v>
      </c>
      <c r="F9" s="12" t="s">
        <v>157</v>
      </c>
      <c r="G9" s="12" t="s">
        <v>158</v>
      </c>
      <c r="H9" s="12" t="s">
        <v>159</v>
      </c>
    </row>
    <row r="10" spans="1:8" ht="13.5" thickBot="1">
      <c r="A10" s="155" t="s">
        <v>108</v>
      </c>
      <c r="B10" s="179" t="s">
        <v>260</v>
      </c>
      <c r="C10" s="155">
        <v>153.96829709410667</v>
      </c>
      <c r="D10" s="156">
        <v>41.83202350680571</v>
      </c>
      <c r="E10" s="156">
        <v>-88.26555873341539</v>
      </c>
      <c r="F10" s="2">
        <f>E12*COS(D11)*COS(E11)</f>
        <v>144058.55234079924</v>
      </c>
      <c r="G10" s="2">
        <f>E12*COS(D11)*SIN(E11)</f>
        <v>-4757396.9876393</v>
      </c>
      <c r="H10" s="2">
        <f>($C12*(1-$C$6)+C10)*SIN(D11)</f>
        <v>4231823.074484399</v>
      </c>
    </row>
    <row r="11" spans="2:8" ht="12.75">
      <c r="B11" s="125"/>
      <c r="C11" s="4" t="s">
        <v>436</v>
      </c>
      <c r="D11" s="154">
        <f>D10*PI()/180</f>
        <v>0.7301065429654242</v>
      </c>
      <c r="E11" s="154">
        <f>E10*PI()/180</f>
        <v>-1.5405246160105344</v>
      </c>
      <c r="H11" s="6"/>
    </row>
    <row r="12" spans="2:8" ht="12.75">
      <c r="B12" s="4" t="s">
        <v>434</v>
      </c>
      <c r="C12" s="2">
        <f>$A$6/SQRT(1-$C$6*(SIN(D11))*(SIN(D11)))</f>
        <v>6387654.672386314</v>
      </c>
      <c r="D12" s="4" t="s">
        <v>435</v>
      </c>
      <c r="E12" s="2">
        <f>C12+C10</f>
        <v>6387808.640683408</v>
      </c>
      <c r="H12" s="6"/>
    </row>
    <row r="13" spans="1:8" ht="13.5" thickBot="1">
      <c r="A13" s="10" t="s">
        <v>406</v>
      </c>
      <c r="C13" s="2"/>
      <c r="D13" s="21"/>
      <c r="E13" s="21"/>
      <c r="F13" s="2"/>
      <c r="G13" s="2"/>
      <c r="H13" s="2"/>
    </row>
    <row r="14" spans="1:8" ht="13.5" thickBot="1">
      <c r="A14" s="155" t="s">
        <v>549</v>
      </c>
      <c r="B14" s="179" t="s">
        <v>447</v>
      </c>
      <c r="C14" s="155">
        <v>388.62399999999997</v>
      </c>
      <c r="D14" s="156">
        <v>48.0823</v>
      </c>
      <c r="E14" s="156">
        <v>-92.61271</v>
      </c>
      <c r="F14" s="2">
        <f>E16*COS(D15)*COS(E15)</f>
        <v>-194608.47774733507</v>
      </c>
      <c r="G14" s="2">
        <f>E16*COS(D15)*SIN(E15)</f>
        <v>-4264734.612921603</v>
      </c>
      <c r="H14" s="2">
        <f>($C16*(1-$C$6)+C14)*SIN(D15)</f>
        <v>4723283.854722849</v>
      </c>
    </row>
    <row r="15" spans="2:9" ht="12.75">
      <c r="B15" s="1"/>
      <c r="C15" s="4" t="s">
        <v>436</v>
      </c>
      <c r="D15">
        <f>D14*PI()/180</f>
        <v>0.8391944469316694</v>
      </c>
      <c r="E15">
        <f>E14*PI()/180</f>
        <v>-1.6163967186946775</v>
      </c>
      <c r="I15" s="13" t="s">
        <v>269</v>
      </c>
    </row>
    <row r="16" spans="2:5" ht="12.75">
      <c r="B16" s="4" t="s">
        <v>434</v>
      </c>
      <c r="C16" s="2">
        <f>$A$6/SQRT(1-$C$6*(SIN(D15))*(SIN(D15)))</f>
        <v>6389990.654740762</v>
      </c>
      <c r="D16" s="4" t="s">
        <v>435</v>
      </c>
      <c r="E16" s="2">
        <f>C16+C14</f>
        <v>6390379.278740762</v>
      </c>
    </row>
    <row r="17" ht="14.25">
      <c r="C17" s="3"/>
    </row>
    <row r="18" spans="2:8" ht="12.75">
      <c r="B18" s="10" t="s">
        <v>408</v>
      </c>
      <c r="E18" s="12" t="s">
        <v>14</v>
      </c>
      <c r="F18" s="12" t="s">
        <v>398</v>
      </c>
      <c r="G18" s="12" t="s">
        <v>399</v>
      </c>
      <c r="H18" s="12" t="s">
        <v>400</v>
      </c>
    </row>
    <row r="19" spans="2:8" ht="12.75">
      <c r="B19" s="1" t="s">
        <v>102</v>
      </c>
      <c r="C19" s="1" t="s">
        <v>103</v>
      </c>
      <c r="E19" s="2">
        <f>SQRT(F19*F19+G19*G19+H19*H19)</f>
        <v>773915.545291464</v>
      </c>
      <c r="F19" s="2">
        <f>F14-F10</f>
        <v>-338667.03008813434</v>
      </c>
      <c r="G19" s="2">
        <f>G14-G10</f>
        <v>492662.37471769657</v>
      </c>
      <c r="H19" s="2">
        <f>H14-H10</f>
        <v>491460.7802384505</v>
      </c>
    </row>
    <row r="20" spans="2:4" ht="12.75">
      <c r="B20" s="7">
        <f>ATAN2(F23,G23)</f>
        <v>-0.4322333548666893</v>
      </c>
      <c r="C20" s="7">
        <f>ASIN(H23/E19)</f>
        <v>-0.06047571407964568</v>
      </c>
      <c r="D20" s="14" t="s">
        <v>104</v>
      </c>
    </row>
    <row r="21" spans="2:6" ht="12.75">
      <c r="B21">
        <f>IF($B20&gt;0,DEGREES($B20),DEGREES($B20)+360)</f>
        <v>335.2348530013583</v>
      </c>
      <c r="C21" s="21">
        <f>C20*180/PI()</f>
        <v>-3.465003179803587</v>
      </c>
      <c r="D21" s="14" t="s">
        <v>95</v>
      </c>
      <c r="F21" s="10" t="s">
        <v>402</v>
      </c>
    </row>
    <row r="22" spans="2:9" ht="12.75">
      <c r="B22" s="21"/>
      <c r="C22" s="21"/>
      <c r="D22" s="14"/>
      <c r="F22" s="1" t="s">
        <v>15</v>
      </c>
      <c r="G22" s="1" t="s">
        <v>16</v>
      </c>
      <c r="H22" s="1" t="s">
        <v>11</v>
      </c>
      <c r="I22" s="13"/>
    </row>
    <row r="23" spans="2:8" ht="12.75">
      <c r="B23" s="6"/>
      <c r="C23" s="6"/>
      <c r="D23" s="158"/>
      <c r="F23" s="2">
        <f>-SIN(D11)*COS(E11)*F19-SIN(D11)*SIN(E11)*G19+COS(D11)*H19</f>
        <v>701455.7599242884</v>
      </c>
      <c r="G23" s="2">
        <f>-SIN(E11)*F19+COS(E11)*G19</f>
        <v>-323600.41342762863</v>
      </c>
      <c r="H23" s="2">
        <f>COS(D11)*COS(E11)*F19+COS(D11)*SIN(E11)*G19+SIN(D11)*H19</f>
        <v>-46774.57153508562</v>
      </c>
    </row>
    <row r="24" spans="2:4" ht="12.75">
      <c r="B24" s="6"/>
      <c r="C24" s="6"/>
      <c r="D24" s="14"/>
    </row>
    <row r="26" spans="1:9" ht="12.75">
      <c r="A26" s="10" t="s">
        <v>458</v>
      </c>
      <c r="C26" s="2"/>
      <c r="D26" s="12" t="s">
        <v>403</v>
      </c>
      <c r="G26" s="12" t="s">
        <v>407</v>
      </c>
      <c r="I26" s="2"/>
    </row>
    <row r="27" spans="1:8" ht="14.25">
      <c r="A27" s="10" t="s">
        <v>459</v>
      </c>
      <c r="C27" t="s">
        <v>4</v>
      </c>
      <c r="D27" s="4" t="s">
        <v>454</v>
      </c>
      <c r="E27" s="4" t="s">
        <v>455</v>
      </c>
      <c r="F27" s="12" t="s">
        <v>157</v>
      </c>
      <c r="G27" s="12" t="s">
        <v>158</v>
      </c>
      <c r="H27" s="12" t="s">
        <v>159</v>
      </c>
    </row>
    <row r="28" spans="1:8" ht="12.75">
      <c r="A28" s="10"/>
      <c r="B28" s="1" t="s">
        <v>108</v>
      </c>
      <c r="C28" s="2">
        <v>153.96829709410667</v>
      </c>
      <c r="D28" s="137">
        <v>41.83202350680571</v>
      </c>
      <c r="E28" s="13">
        <v>-88.26555873341539</v>
      </c>
      <c r="F28">
        <v>144058.55234079924</v>
      </c>
      <c r="G28" s="2">
        <v>-4757396.9876393</v>
      </c>
      <c r="H28" s="2">
        <v>4231823.074484399</v>
      </c>
    </row>
    <row r="29" spans="1:8" ht="12.75">
      <c r="A29" s="10"/>
      <c r="B29" s="1" t="s">
        <v>136</v>
      </c>
      <c r="C29" s="2">
        <v>-248.3991527</v>
      </c>
      <c r="D29" s="13">
        <v>47.820266534666665</v>
      </c>
      <c r="E29" s="13">
        <v>-92.24141201908333</v>
      </c>
      <c r="F29" s="2">
        <v>-167796.99235646756</v>
      </c>
      <c r="G29" s="2">
        <v>-4287098.721551998</v>
      </c>
      <c r="H29" s="2">
        <v>4703296.872157471</v>
      </c>
    </row>
    <row r="30" spans="1:8" ht="15.75">
      <c r="A30" s="115" t="s">
        <v>473</v>
      </c>
      <c r="B30" s="115" t="s">
        <v>474</v>
      </c>
      <c r="D30" s="4"/>
      <c r="E30" s="4"/>
      <c r="F30" s="12"/>
      <c r="G30" s="12"/>
      <c r="H30" s="12"/>
    </row>
    <row r="31" spans="1:8" ht="12.75">
      <c r="A31" s="47">
        <f>ATAN2('Trans oa'!G29-'Trans oa'!G28,'Trans oa'!F29-'Trans oa'!F28)</f>
        <v>-0.5855304354159501</v>
      </c>
      <c r="B31" s="66">
        <f>ASIN(('Trans oa'!H29-'Trans oa'!H28)/SQRT(SUMSQ('Trans oa'!F29-'Trans oa'!F28,'Trans oa'!G29-'Trans oa'!G28,'Trans oa'!H29-'Trans oa'!H28)))</f>
        <v>0.6960169166663005</v>
      </c>
      <c r="C31" t="s">
        <v>19</v>
      </c>
      <c r="D31" s="4"/>
      <c r="E31" s="4"/>
      <c r="F31" s="12"/>
      <c r="G31" s="12"/>
      <c r="H31" s="12"/>
    </row>
    <row r="32" spans="1:8" ht="12.75">
      <c r="A32">
        <f>DEGREES(A31)</f>
        <v>-33.54842272579136</v>
      </c>
      <c r="B32">
        <f>DEGREES(B31)</f>
        <v>39.87883179468775</v>
      </c>
      <c r="C32" t="s">
        <v>461</v>
      </c>
      <c r="D32" s="4"/>
      <c r="E32" s="4"/>
      <c r="F32" s="12"/>
      <c r="G32" s="12"/>
      <c r="H32" s="12"/>
    </row>
    <row r="33" spans="1:5" ht="12.75">
      <c r="A33" s="10"/>
      <c r="B33" t="s">
        <v>345</v>
      </c>
      <c r="E33" t="s">
        <v>345</v>
      </c>
    </row>
    <row r="34" spans="1:8" ht="12.75">
      <c r="A34" s="10"/>
      <c r="B34" s="1" t="s">
        <v>343</v>
      </c>
      <c r="C34" s="1" t="s">
        <v>346</v>
      </c>
      <c r="D34" s="1" t="s">
        <v>464</v>
      </c>
      <c r="F34" t="s">
        <v>344</v>
      </c>
      <c r="G34" t="s">
        <v>344</v>
      </c>
      <c r="H34" s="1" t="s">
        <v>464</v>
      </c>
    </row>
    <row r="35" spans="1:8" ht="12.75">
      <c r="A35" s="10"/>
      <c r="B35" s="1" t="s">
        <v>341</v>
      </c>
      <c r="C35" t="s">
        <v>344</v>
      </c>
      <c r="D35" s="1" t="s">
        <v>373</v>
      </c>
      <c r="F35" s="1" t="s">
        <v>229</v>
      </c>
      <c r="G35" s="1" t="s">
        <v>342</v>
      </c>
      <c r="H35" s="1" t="s">
        <v>373</v>
      </c>
    </row>
    <row r="36" spans="1:8" ht="12.75">
      <c r="A36" s="10"/>
      <c r="B36" s="1" t="s">
        <v>130</v>
      </c>
      <c r="C36" s="1" t="s">
        <v>130</v>
      </c>
      <c r="D36" s="1" t="s">
        <v>372</v>
      </c>
      <c r="F36" s="1" t="s">
        <v>130</v>
      </c>
      <c r="G36" s="1" t="s">
        <v>130</v>
      </c>
      <c r="H36" s="1" t="s">
        <v>392</v>
      </c>
    </row>
    <row r="37" ht="12.75">
      <c r="A37" s="10"/>
    </row>
    <row r="38" spans="1:8" ht="12.75">
      <c r="A38" s="1" t="s">
        <v>136</v>
      </c>
      <c r="B38" s="48">
        <f>E38*COS($B$31)+($H29-$H$28)*SIN($B$31)</f>
        <v>735337.9370979177</v>
      </c>
      <c r="C38" s="70">
        <f>SQRT(SUMSQ(F38,G38))</f>
        <v>0</v>
      </c>
      <c r="D38" s="6">
        <f>ATAN(C38/B38)</f>
        <v>0</v>
      </c>
      <c r="E38" s="48">
        <f>($F29-$F$28)*SIN($A$31)+($G29-$G$28)*COS($A$31)</f>
        <v>564299.8669529806</v>
      </c>
      <c r="F38" s="48">
        <f>($F29-$F$28)*COS($A$31)-($G29-$G$28)*SIN($A$31)</f>
        <v>0</v>
      </c>
      <c r="G38" s="48">
        <f>-E38*SIN($B$31)+($H29-$H$28)*COS($B$31)</f>
        <v>0</v>
      </c>
      <c r="H38" s="2">
        <f>DEGREES(D38)</f>
        <v>0</v>
      </c>
    </row>
    <row r="39" spans="1:8" ht="12.75">
      <c r="A39" s="10" t="s">
        <v>460</v>
      </c>
      <c r="B39" s="48"/>
      <c r="C39" s="70"/>
      <c r="D39" s="6"/>
      <c r="E39" s="48"/>
      <c r="F39" s="48"/>
      <c r="G39" s="48"/>
      <c r="H39" s="2"/>
    </row>
    <row r="40" spans="1:8" ht="12.75">
      <c r="A40" s="125" t="str">
        <f>A14</f>
        <v>JC 050705</v>
      </c>
      <c r="B40" s="48">
        <f>E40*COS($B$31)+($H14-$H$28)*SIN($B$31)</f>
        <v>773826.9759988575</v>
      </c>
      <c r="C40" s="70">
        <f>SQRT(SUMSQ(F40,G40))</f>
        <v>11708.221908020438</v>
      </c>
      <c r="D40" s="6">
        <f>ATAN(C40/B40)</f>
        <v>0.015129129581945549</v>
      </c>
      <c r="E40" s="48">
        <f>($F14-$F$28)*SIN($A$31)+($G14-$G$28)*COS($A$31)</f>
        <v>597755.6818446533</v>
      </c>
      <c r="F40" s="48">
        <f>($F14-$F$28)*COS($A$31)-($G14-$G$28)*SIN($A$31)</f>
        <v>-9985.867695444671</v>
      </c>
      <c r="G40" s="48">
        <f>-E40*SIN($B$31)+($H14-$H$28)*COS($B$31)</f>
        <v>-6112.684076289588</v>
      </c>
      <c r="H40" s="2">
        <f>DEGREES(D40)</f>
        <v>0.8668352727520036</v>
      </c>
    </row>
    <row r="41" spans="1:8" ht="14.25">
      <c r="A41" s="10"/>
      <c r="B41" s="4" t="s">
        <v>455</v>
      </c>
      <c r="C41" s="1" t="s">
        <v>465</v>
      </c>
      <c r="D41" s="4"/>
      <c r="E41" s="4"/>
      <c r="F41" s="12"/>
      <c r="G41" s="12"/>
      <c r="H41" s="12"/>
    </row>
    <row r="42" spans="1:8" ht="13.5" thickBot="1">
      <c r="A42" s="10"/>
      <c r="B42" s="21">
        <f>E14</f>
        <v>-92.61271</v>
      </c>
      <c r="C42" s="6">
        <f>D40</f>
        <v>0.015129129581945549</v>
      </c>
      <c r="D42" s="4"/>
      <c r="E42" s="4"/>
      <c r="F42" s="229">
        <v>0.87</v>
      </c>
      <c r="G42" s="230">
        <f>D40</f>
        <v>0.015129129581945549</v>
      </c>
      <c r="H42" s="12"/>
    </row>
    <row r="43" spans="1:8" ht="13.5" thickBot="1">
      <c r="A43" s="206"/>
      <c r="B43" s="227" t="s">
        <v>451</v>
      </c>
      <c r="C43" s="228" t="s">
        <v>452</v>
      </c>
      <c r="D43" s="4"/>
      <c r="E43" s="206"/>
      <c r="F43" s="227" t="s">
        <v>451</v>
      </c>
      <c r="G43" s="228" t="s">
        <v>452</v>
      </c>
      <c r="H43" s="12"/>
    </row>
    <row r="44" spans="1:8" ht="13.5" thickBot="1">
      <c r="A44" s="209">
        <v>1</v>
      </c>
      <c r="B44" s="232">
        <v>-92.61673326481444</v>
      </c>
      <c r="C44" s="231">
        <v>11799.995662486806</v>
      </c>
      <c r="D44" s="4"/>
      <c r="E44" s="209">
        <v>1</v>
      </c>
      <c r="F44" s="232">
        <v>0.8402842045468897</v>
      </c>
      <c r="G44" s="231">
        <v>0.010000178905145903</v>
      </c>
      <c r="H44" s="12"/>
    </row>
    <row r="45" spans="1:8" ht="13.5" thickBot="1">
      <c r="A45" s="209">
        <v>2</v>
      </c>
      <c r="B45" s="232">
        <v>-92.616</v>
      </c>
      <c r="C45" s="231">
        <v>11751.602922036222</v>
      </c>
      <c r="D45" s="4"/>
      <c r="E45" s="209">
        <v>2</v>
      </c>
      <c r="F45" s="232">
        <v>0.85</v>
      </c>
      <c r="G45" s="231">
        <v>0.009436665694803142</v>
      </c>
      <c r="H45" s="12"/>
    </row>
    <row r="46" spans="1:8" ht="13.5" thickBot="1">
      <c r="A46" s="212"/>
      <c r="B46" s="213">
        <f>B44+((C46-C44)*(B45-B44))/(C45-C44)</f>
        <v>-92.61673333053805</v>
      </c>
      <c r="C46" s="233">
        <v>11800</v>
      </c>
      <c r="D46" s="4"/>
      <c r="E46" s="212"/>
      <c r="F46" s="213">
        <f>F44+((G46-G44)*(F45-F44))/(G45-G44)</f>
        <v>0.8402872891343868</v>
      </c>
      <c r="G46" s="233">
        <v>0.01</v>
      </c>
      <c r="H46" s="12"/>
    </row>
    <row r="47" spans="1:8" ht="14.25">
      <c r="A47" t="s">
        <v>466</v>
      </c>
      <c r="B47" s="4" t="s">
        <v>454</v>
      </c>
      <c r="C47" s="4" t="s">
        <v>455</v>
      </c>
      <c r="D47" s="4" t="s">
        <v>467</v>
      </c>
      <c r="E47" s="65" t="s">
        <v>468</v>
      </c>
      <c r="F47" s="65" t="s">
        <v>469</v>
      </c>
      <c r="G47" s="65" t="s">
        <v>470</v>
      </c>
      <c r="H47" s="65" t="s">
        <v>471</v>
      </c>
    </row>
    <row r="48" spans="1:10" ht="13.5" thickBot="1">
      <c r="A48" s="238">
        <f>C14</f>
        <v>388.62399999999997</v>
      </c>
      <c r="B48" s="255">
        <f>D14</f>
        <v>48.0823</v>
      </c>
      <c r="C48" s="255">
        <f>E14</f>
        <v>-92.61271</v>
      </c>
      <c r="D48" s="234">
        <f>E19</f>
        <v>773915.545291464</v>
      </c>
      <c r="E48" s="234">
        <f>B40</f>
        <v>773826.9759988575</v>
      </c>
      <c r="F48" s="234">
        <f>C40</f>
        <v>11708.221908020438</v>
      </c>
      <c r="G48" s="235">
        <f>D40</f>
        <v>0.015129129581945549</v>
      </c>
      <c r="H48" s="234">
        <f>H40</f>
        <v>0.8668352727520036</v>
      </c>
      <c r="I48" s="21">
        <f>C48</f>
        <v>-92.61271</v>
      </c>
      <c r="J48" s="2">
        <f>F48</f>
        <v>11708.221908020438</v>
      </c>
    </row>
    <row r="49" spans="1:8" ht="12.75">
      <c r="A49" s="238">
        <v>373.38399999999996</v>
      </c>
      <c r="B49" s="255">
        <v>48.08945</v>
      </c>
      <c r="C49" s="255">
        <v>-92.61937654177434</v>
      </c>
      <c r="D49" s="238">
        <v>774847.8836222468</v>
      </c>
      <c r="E49" s="238">
        <v>774758.0285177361</v>
      </c>
      <c r="F49" s="238">
        <v>11800.00005024268</v>
      </c>
      <c r="G49" s="239">
        <v>0.015229384307765695</v>
      </c>
      <c r="H49" s="238">
        <v>0.8725794454177391</v>
      </c>
    </row>
    <row r="50" spans="1:8" ht="12.75">
      <c r="A50" s="238">
        <v>373.38399999999996</v>
      </c>
      <c r="B50" s="239">
        <v>48.08589</v>
      </c>
      <c r="C50" s="239">
        <v>-92.61673333053805</v>
      </c>
      <c r="D50" s="238">
        <v>774406.6971421172</v>
      </c>
      <c r="E50" s="238">
        <v>774316.7908411649</v>
      </c>
      <c r="F50" s="238">
        <v>11800.000000108204</v>
      </c>
      <c r="G50" s="239">
        <v>0.015238061232034474</v>
      </c>
      <c r="H50" s="238">
        <v>0.8730765965574948</v>
      </c>
    </row>
    <row r="51" spans="1:8" ht="12.75">
      <c r="A51" s="238"/>
      <c r="B51" s="239"/>
      <c r="C51" s="239"/>
      <c r="D51" s="238"/>
      <c r="E51" s="238"/>
      <c r="F51" s="238"/>
      <c r="G51" s="239"/>
      <c r="H51" s="238"/>
    </row>
    <row r="52" spans="1:8" ht="12.75">
      <c r="A52" s="238"/>
      <c r="B52" s="239"/>
      <c r="C52" s="239"/>
      <c r="D52" s="238"/>
      <c r="E52" s="238"/>
      <c r="F52" s="238"/>
      <c r="G52" s="239"/>
      <c r="H52" s="238"/>
    </row>
    <row r="53" spans="1:8" ht="12.75">
      <c r="A53" s="238"/>
      <c r="B53" s="239"/>
      <c r="C53" s="239"/>
      <c r="D53" s="238"/>
      <c r="E53" s="238"/>
      <c r="F53" s="238"/>
      <c r="G53" s="239"/>
      <c r="H53" s="238"/>
    </row>
    <row r="54" spans="1:8" ht="12.75">
      <c r="A54" s="238">
        <v>305</v>
      </c>
      <c r="B54" s="239">
        <v>46.87516425560849</v>
      </c>
      <c r="C54" s="239">
        <v>-91.54936643500506</v>
      </c>
      <c r="D54" s="238">
        <v>618165.8180953283</v>
      </c>
      <c r="E54" s="238">
        <v>618134.9100621073</v>
      </c>
      <c r="F54" s="238">
        <v>6181.555142279014</v>
      </c>
      <c r="G54" s="239">
        <v>0.009999999981309814</v>
      </c>
      <c r="H54" s="238">
        <v>0.5729577940599544</v>
      </c>
    </row>
    <row r="55" spans="1:8" ht="12.75">
      <c r="A55" s="238">
        <v>305</v>
      </c>
      <c r="B55" s="239">
        <v>47.15</v>
      </c>
      <c r="C55" s="239">
        <v>-91.68427806036769</v>
      </c>
      <c r="D55" s="238">
        <v>650081.428172283</v>
      </c>
      <c r="E55" s="238">
        <v>650048.9243721918</v>
      </c>
      <c r="F55" s="238">
        <v>6500.705890256446</v>
      </c>
      <c r="G55" s="239">
        <v>0.009999999930615342</v>
      </c>
      <c r="H55" s="238">
        <v>0.5729577911553752</v>
      </c>
    </row>
    <row r="56" spans="1:8" ht="12.75">
      <c r="A56" s="238">
        <v>305</v>
      </c>
      <c r="B56" s="239">
        <v>47.45</v>
      </c>
      <c r="C56" s="239">
        <v>-91.87674382305293</v>
      </c>
      <c r="D56" s="238">
        <v>686392.9591152666</v>
      </c>
      <c r="E56" s="238">
        <v>686358.6397001843</v>
      </c>
      <c r="F56" s="238">
        <v>6863.820504964085</v>
      </c>
      <c r="G56" s="239">
        <v>0.010000007739490172</v>
      </c>
      <c r="H56" s="238">
        <v>0.5729582385709456</v>
      </c>
    </row>
    <row r="57" spans="1:8" ht="12.75">
      <c r="A57" s="238">
        <v>305</v>
      </c>
      <c r="B57" s="239">
        <v>47.75</v>
      </c>
      <c r="C57" s="239">
        <v>-92.0827146188615</v>
      </c>
      <c r="D57" s="238">
        <v>723107.1732770359</v>
      </c>
      <c r="E57" s="238">
        <v>723071.0182939967</v>
      </c>
      <c r="F57" s="238">
        <v>7230.9437826592075</v>
      </c>
      <c r="G57" s="239">
        <v>0.00999998972044054</v>
      </c>
      <c r="H57" s="238">
        <v>0.5729572061554509</v>
      </c>
    </row>
    <row r="58" spans="1:8" ht="12.75">
      <c r="A58" s="238">
        <v>305</v>
      </c>
      <c r="B58" s="239">
        <v>48.05</v>
      </c>
      <c r="C58" s="239">
        <v>-92.30053981803911</v>
      </c>
      <c r="D58" s="238">
        <v>760165.7513535991</v>
      </c>
      <c r="E58" s="238">
        <v>760127.7434068372</v>
      </c>
      <c r="F58" s="238">
        <v>7601.52841284687</v>
      </c>
      <c r="G58" s="239">
        <v>0.009999996833386598</v>
      </c>
      <c r="H58" s="238">
        <v>0.57295761369724</v>
      </c>
    </row>
    <row r="59" spans="1:8" ht="12.75">
      <c r="A59" s="238">
        <v>305</v>
      </c>
      <c r="B59" s="239">
        <v>48.35</v>
      </c>
      <c r="C59" s="239">
        <v>-92.53205755166202</v>
      </c>
      <c r="D59" s="238">
        <v>797627.481877204</v>
      </c>
      <c r="E59" s="238">
        <v>797587.6007686148</v>
      </c>
      <c r="F59" s="238">
        <v>7976.148565218431</v>
      </c>
      <c r="G59" s="239">
        <v>0.01000000837988873</v>
      </c>
      <c r="H59" s="238">
        <v>0.5729582752630802</v>
      </c>
    </row>
    <row r="60" spans="1:8" ht="12.75">
      <c r="A60" s="238">
        <v>305</v>
      </c>
      <c r="B60" s="239">
        <v>48.65</v>
      </c>
      <c r="C60" s="239">
        <v>-92.78387926479257</v>
      </c>
      <c r="D60" s="238">
        <v>835711.1405887841</v>
      </c>
      <c r="E60" s="238">
        <v>835669.355383981</v>
      </c>
      <c r="F60" s="238">
        <v>8356.971719958223</v>
      </c>
      <c r="G60" s="239">
        <v>0.00999999951962347</v>
      </c>
      <c r="H60" s="238">
        <v>0.5729577676072755</v>
      </c>
    </row>
    <row r="61" spans="1:8" ht="12.75">
      <c r="A61" s="238">
        <v>305</v>
      </c>
      <c r="B61" s="239">
        <v>48.914737086301194</v>
      </c>
      <c r="C61" s="239">
        <v>-93.0792507670349</v>
      </c>
      <c r="D61" s="238">
        <v>871720.7705764407</v>
      </c>
      <c r="E61" s="238">
        <v>871677.1845570473</v>
      </c>
      <c r="F61" s="238">
        <v>8717.096826520481</v>
      </c>
      <c r="G61" s="239">
        <v>0.010000039471980384</v>
      </c>
      <c r="H61" s="238">
        <v>0.5729600567087083</v>
      </c>
    </row>
    <row r="62" spans="1:8" ht="12.75">
      <c r="A62" s="238">
        <v>305</v>
      </c>
      <c r="B62" s="239">
        <v>48.65</v>
      </c>
      <c r="C62" s="239">
        <v>-92.95601092853806</v>
      </c>
      <c r="D62" s="238">
        <v>841490.0270785125</v>
      </c>
      <c r="E62" s="238">
        <v>841447.9529424852</v>
      </c>
      <c r="F62" s="238">
        <v>8414.758552506191</v>
      </c>
      <c r="G62" s="239">
        <v>0.009999998252248017</v>
      </c>
      <c r="H62" s="238">
        <v>0.572957694992011</v>
      </c>
    </row>
    <row r="63" spans="1:8" ht="12.75">
      <c r="A63" s="238">
        <v>305</v>
      </c>
      <c r="B63" s="239">
        <v>48.35</v>
      </c>
      <c r="C63" s="239">
        <v>-92.74923806943202</v>
      </c>
      <c r="D63" s="238">
        <v>804922.0752145485</v>
      </c>
      <c r="E63" s="238">
        <v>804881.8295371187</v>
      </c>
      <c r="F63" s="238">
        <v>8049.077504656363</v>
      </c>
      <c r="G63" s="239">
        <v>0.009999988700849798</v>
      </c>
      <c r="H63" s="238">
        <v>0.5729571477372045</v>
      </c>
    </row>
    <row r="64" spans="1:8" ht="12.75">
      <c r="A64" s="238">
        <v>305</v>
      </c>
      <c r="B64" s="239">
        <v>48.05</v>
      </c>
      <c r="C64" s="239">
        <v>-92.52748199232502</v>
      </c>
      <c r="D64" s="238">
        <v>767791.3373665471</v>
      </c>
      <c r="E64" s="238">
        <v>767752.9481278015</v>
      </c>
      <c r="F64" s="238">
        <v>7677.784588023124</v>
      </c>
      <c r="G64" s="239">
        <v>0.009999998930568384</v>
      </c>
      <c r="H64" s="238">
        <v>0.5729577338569052</v>
      </c>
    </row>
    <row r="65" spans="1:8" ht="12.75">
      <c r="A65" s="238">
        <v>305</v>
      </c>
      <c r="B65" s="239">
        <v>47.75</v>
      </c>
      <c r="C65" s="239">
        <v>-92.29729678116469</v>
      </c>
      <c r="D65" s="238">
        <v>730320.0885966232</v>
      </c>
      <c r="E65" s="238">
        <v>730283.5729026843</v>
      </c>
      <c r="F65" s="238">
        <v>7303.078547386183</v>
      </c>
      <c r="G65" s="239">
        <v>0.009999999152145955</v>
      </c>
      <c r="H65" s="238">
        <v>0.5729577465523648</v>
      </c>
    </row>
    <row r="66" spans="1:8" ht="12.75">
      <c r="A66" s="238">
        <v>305</v>
      </c>
      <c r="B66" s="239">
        <v>47.45</v>
      </c>
      <c r="C66" s="239">
        <v>-92.06046283029796</v>
      </c>
      <c r="D66" s="238">
        <v>692570.4535912295</v>
      </c>
      <c r="E66" s="238">
        <v>692535.8255041076</v>
      </c>
      <c r="F66" s="238">
        <v>6925.574409800636</v>
      </c>
      <c r="G66" s="239">
        <v>0.009999978776145104</v>
      </c>
      <c r="H66" s="238">
        <v>0.5729565790935127</v>
      </c>
    </row>
    <row r="67" spans="1:8" ht="12.75">
      <c r="A67" s="238">
        <v>305</v>
      </c>
      <c r="B67" s="239">
        <v>47.15</v>
      </c>
      <c r="C67" s="239">
        <v>-91.8152726580014</v>
      </c>
      <c r="D67" s="238">
        <v>654487.3326862236</v>
      </c>
      <c r="E67" s="238">
        <v>654454.6085918935</v>
      </c>
      <c r="F67" s="238">
        <v>6544.76428597521</v>
      </c>
      <c r="G67" s="239">
        <v>0.010000000060798233</v>
      </c>
      <c r="H67" s="238">
        <v>0.5729577986143054</v>
      </c>
    </row>
    <row r="68" spans="1:8" ht="12.75">
      <c r="A68" s="238">
        <v>305</v>
      </c>
      <c r="B68" s="239">
        <v>46.87516425560849</v>
      </c>
      <c r="C68" s="239">
        <v>-91.54936643500506</v>
      </c>
      <c r="D68" s="238">
        <v>618165.8180953283</v>
      </c>
      <c r="E68" s="238">
        <v>618134.9100621073</v>
      </c>
      <c r="F68" s="238">
        <v>6181.555142279014</v>
      </c>
      <c r="G68" s="239">
        <v>0.009999999981309814</v>
      </c>
      <c r="H68" s="238">
        <v>0.5729577940599544</v>
      </c>
    </row>
    <row r="69" spans="1:8" ht="12.75">
      <c r="A69" s="238"/>
      <c r="B69" s="239"/>
      <c r="C69" s="239"/>
      <c r="D69" s="238"/>
      <c r="E69" s="238"/>
      <c r="F69" s="238"/>
      <c r="G69" s="239"/>
      <c r="H69" s="238"/>
    </row>
    <row r="70" spans="1:8" ht="12.75">
      <c r="A70" s="238">
        <v>305</v>
      </c>
      <c r="B70" s="239">
        <v>46.36320882501835</v>
      </c>
      <c r="C70" s="239">
        <v>-91.18582550048129</v>
      </c>
      <c r="D70" s="238">
        <v>554873.3035140133</v>
      </c>
      <c r="E70" s="238">
        <v>554810.881577753</v>
      </c>
      <c r="F70" s="238">
        <v>8322.778110148054</v>
      </c>
      <c r="G70" s="239">
        <v>0.0149999831837469</v>
      </c>
      <c r="H70" s="238">
        <v>0.8594357291959049</v>
      </c>
    </row>
    <row r="71" spans="1:8" ht="12.75">
      <c r="A71" s="112">
        <v>305</v>
      </c>
      <c r="B71" s="229">
        <v>46.4</v>
      </c>
      <c r="C71" s="229">
        <v>-91.18774539821926</v>
      </c>
      <c r="D71" s="112">
        <v>558614.5444248808</v>
      </c>
      <c r="E71" s="112">
        <v>558551.7014344642</v>
      </c>
      <c r="F71" s="112">
        <v>8378.906114897918</v>
      </c>
      <c r="G71" s="229">
        <v>0.01500000387729726</v>
      </c>
      <c r="H71" s="112">
        <v>0.8594369148490038</v>
      </c>
    </row>
    <row r="72" spans="1:8" ht="12.75">
      <c r="A72" s="112">
        <v>305</v>
      </c>
      <c r="B72" s="229">
        <v>46.7</v>
      </c>
      <c r="C72" s="229">
        <v>-91.34535186303994</v>
      </c>
      <c r="D72" s="112">
        <v>593874.1272787984</v>
      </c>
      <c r="E72" s="112">
        <v>593807.3176978282</v>
      </c>
      <c r="F72" s="112">
        <v>8907.777481783683</v>
      </c>
      <c r="G72" s="229">
        <v>0.01499999936518164</v>
      </c>
      <c r="H72" s="112">
        <v>0.859436656323822</v>
      </c>
    </row>
    <row r="73" spans="1:8" ht="12.75">
      <c r="A73" s="112">
        <v>305</v>
      </c>
      <c r="B73" s="229">
        <v>47</v>
      </c>
      <c r="C73" s="229">
        <v>-91.52885166379767</v>
      </c>
      <c r="D73" s="112">
        <v>629959.7929272695</v>
      </c>
      <c r="E73" s="112">
        <v>629888.9237687988</v>
      </c>
      <c r="F73" s="112">
        <v>9449.043250639505</v>
      </c>
      <c r="G73" s="229">
        <v>0.015000001119447439</v>
      </c>
      <c r="H73" s="112">
        <v>0.8594367568358484</v>
      </c>
    </row>
    <row r="74" spans="1:8" ht="12.75">
      <c r="A74" s="112">
        <v>305</v>
      </c>
      <c r="B74" s="229">
        <v>47.3</v>
      </c>
      <c r="C74" s="229">
        <v>-91.72264848927327</v>
      </c>
      <c r="D74" s="112">
        <v>666344.2067826038</v>
      </c>
      <c r="E74" s="112">
        <v>666269.2444645134</v>
      </c>
      <c r="F74" s="112">
        <v>9994.788313107729</v>
      </c>
      <c r="G74" s="229">
        <v>0.015000000038675507</v>
      </c>
      <c r="H74" s="112">
        <v>0.8594366949121781</v>
      </c>
    </row>
    <row r="75" spans="1:8" ht="12.75">
      <c r="A75" s="112">
        <v>305</v>
      </c>
      <c r="B75" s="229">
        <v>47.6</v>
      </c>
      <c r="C75" s="229">
        <v>-91.92474463804886</v>
      </c>
      <c r="D75" s="112">
        <v>702957.6346318063</v>
      </c>
      <c r="E75" s="112">
        <v>702878.5538023668</v>
      </c>
      <c r="F75" s="112">
        <v>10543.941001230061</v>
      </c>
      <c r="G75" s="229">
        <v>0.01499996000870166</v>
      </c>
      <c r="H75" s="112">
        <v>0.8594344013636227</v>
      </c>
    </row>
    <row r="76" spans="1:8" ht="12.75">
      <c r="A76" s="112">
        <v>305</v>
      </c>
      <c r="B76" s="229">
        <v>47.9</v>
      </c>
      <c r="C76" s="229">
        <v>-92.13504060311074</v>
      </c>
      <c r="D76" s="112">
        <v>739794.1071377274</v>
      </c>
      <c r="E76" s="112">
        <v>739710.8818438037</v>
      </c>
      <c r="F76" s="112">
        <v>11096.496634963702</v>
      </c>
      <c r="G76" s="229">
        <v>0.01500000156466749</v>
      </c>
      <c r="H76" s="112">
        <v>0.8594367823450784</v>
      </c>
    </row>
    <row r="77" spans="1:8" ht="12.75">
      <c r="A77" s="112">
        <v>305</v>
      </c>
      <c r="B77" s="229">
        <v>48.2</v>
      </c>
      <c r="C77" s="229">
        <v>-92.35431880158212</v>
      </c>
      <c r="D77" s="112">
        <v>776877.1716514555</v>
      </c>
      <c r="E77" s="112">
        <v>776789.7745968723</v>
      </c>
      <c r="F77" s="112">
        <v>11652.721351911958</v>
      </c>
      <c r="G77" s="229">
        <v>0.01500000098563737</v>
      </c>
      <c r="H77" s="112">
        <v>0.8594367491690963</v>
      </c>
    </row>
    <row r="78" spans="1:8" ht="12.75">
      <c r="A78" s="112">
        <v>305</v>
      </c>
      <c r="B78" s="229">
        <v>48.5</v>
      </c>
      <c r="C78" s="229">
        <v>-92.58422368247386</v>
      </c>
      <c r="D78" s="112">
        <v>814259.163274464</v>
      </c>
      <c r="E78" s="112">
        <v>814167.5607201551</v>
      </c>
      <c r="F78" s="112">
        <v>12213.437166610232</v>
      </c>
      <c r="G78" s="229">
        <v>0.015000009498192116</v>
      </c>
      <c r="H78" s="112">
        <v>0.8594372369025561</v>
      </c>
    </row>
    <row r="79" spans="1:8" ht="12.75">
      <c r="A79" s="112">
        <v>305</v>
      </c>
      <c r="B79" s="229">
        <v>48.8</v>
      </c>
      <c r="C79" s="229">
        <v>-92.82789754302138</v>
      </c>
      <c r="D79" s="112">
        <v>852042.460390065</v>
      </c>
      <c r="E79" s="112">
        <v>851946.6072929001</v>
      </c>
      <c r="F79" s="112">
        <v>12780.165479075373</v>
      </c>
      <c r="G79" s="229">
        <v>0.015000009204469502</v>
      </c>
      <c r="H79" s="112">
        <v>0.85943722007349</v>
      </c>
    </row>
    <row r="80" spans="1:8" ht="12.75">
      <c r="A80" s="112">
        <v>305</v>
      </c>
      <c r="B80" s="229">
        <v>49.1</v>
      </c>
      <c r="C80" s="229">
        <v>-93.09261349207851</v>
      </c>
      <c r="D80" s="112">
        <v>890467.6608592767</v>
      </c>
      <c r="E80" s="112">
        <v>890367.4851385951</v>
      </c>
      <c r="F80" s="112">
        <v>13356.513173922633</v>
      </c>
      <c r="G80" s="229">
        <v>0.014999999037990203</v>
      </c>
      <c r="H80" s="112">
        <v>0.8594366375771336</v>
      </c>
    </row>
    <row r="81" spans="1:8" ht="12.75">
      <c r="A81" s="112">
        <v>305</v>
      </c>
      <c r="B81" s="229">
        <v>49.4</v>
      </c>
      <c r="C81" s="229">
        <v>-93.41844912290105</v>
      </c>
      <c r="D81" s="112">
        <v>930874.5816429408</v>
      </c>
      <c r="E81" s="112">
        <v>930769.8601329828</v>
      </c>
      <c r="F81" s="112">
        <v>13962.60065129022</v>
      </c>
      <c r="G81" s="229">
        <v>0.01500000594959921</v>
      </c>
      <c r="H81" s="112">
        <v>0.8594370335831594</v>
      </c>
    </row>
    <row r="82" spans="1:8" ht="12.75">
      <c r="A82" s="112">
        <v>305</v>
      </c>
      <c r="B82" s="229">
        <v>49.421891281038654</v>
      </c>
      <c r="C82" s="229">
        <v>-93.48172797586204</v>
      </c>
      <c r="D82" s="112">
        <v>935144.7686621714</v>
      </c>
      <c r="E82" s="112">
        <v>935039.5667925351</v>
      </c>
      <c r="F82" s="112">
        <v>14026.649231171985</v>
      </c>
      <c r="G82" s="229">
        <v>0.015000003972296186</v>
      </c>
      <c r="H82" s="112">
        <v>0.8594369202920412</v>
      </c>
    </row>
    <row r="83" spans="1:8" ht="12.75">
      <c r="A83" s="112">
        <v>305</v>
      </c>
      <c r="B83" s="229">
        <v>49.4</v>
      </c>
      <c r="C83" s="229">
        <v>-93.49360801443889</v>
      </c>
      <c r="D83" s="112">
        <v>933394.7054725905</v>
      </c>
      <c r="E83" s="112">
        <v>933289.7005238436</v>
      </c>
      <c r="F83" s="112">
        <v>14000.396436462219</v>
      </c>
      <c r="G83" s="229">
        <v>0.015000000946103428</v>
      </c>
      <c r="H83" s="112">
        <v>0.8594367469039682</v>
      </c>
    </row>
    <row r="84" spans="1:8" ht="12.75">
      <c r="A84" s="112">
        <v>305</v>
      </c>
      <c r="B84" s="229">
        <v>49.1</v>
      </c>
      <c r="C84" s="229">
        <v>-93.34719248429474</v>
      </c>
      <c r="D84" s="112">
        <v>899008.6919969608</v>
      </c>
      <c r="E84" s="112">
        <v>898907.5553697692</v>
      </c>
      <c r="F84" s="112">
        <v>13484.62773796877</v>
      </c>
      <c r="G84" s="229">
        <v>0.015000003387127609</v>
      </c>
      <c r="H84" s="112">
        <v>0.8594368867643515</v>
      </c>
    </row>
    <row r="85" spans="1:8" ht="12.75">
      <c r="A85" s="112">
        <v>305</v>
      </c>
      <c r="B85" s="229">
        <v>48.8</v>
      </c>
      <c r="C85" s="229">
        <v>-93.14511674496802</v>
      </c>
      <c r="D85" s="112">
        <v>862690.5839159157</v>
      </c>
      <c r="E85" s="112">
        <v>862593.5335027132</v>
      </c>
      <c r="F85" s="112">
        <v>12939.842985419447</v>
      </c>
      <c r="G85" s="229">
        <v>0.014999964623749374</v>
      </c>
      <c r="H85" s="112">
        <v>0.859434665786379</v>
      </c>
    </row>
    <row r="86" spans="1:8" ht="12.75">
      <c r="A86" s="112">
        <v>305</v>
      </c>
      <c r="B86" s="229">
        <v>48.5</v>
      </c>
      <c r="C86" s="229">
        <v>-92.92740714267596</v>
      </c>
      <c r="D86" s="112">
        <v>825784.3001502048</v>
      </c>
      <c r="E86" s="112">
        <v>825691.4011561049</v>
      </c>
      <c r="F86" s="112">
        <v>12386.300151046797</v>
      </c>
      <c r="G86" s="229">
        <v>0.015000000178319551</v>
      </c>
      <c r="H86" s="112">
        <v>0.8594367029131925</v>
      </c>
    </row>
    <row r="87" spans="1:8" ht="12.75">
      <c r="A87" s="112">
        <v>305</v>
      </c>
      <c r="B87" s="229">
        <v>48.2</v>
      </c>
      <c r="C87" s="229">
        <v>-92.701279640929</v>
      </c>
      <c r="D87" s="112">
        <v>788534.1777309036</v>
      </c>
      <c r="E87" s="112">
        <v>788445.469299006</v>
      </c>
      <c r="F87" s="112">
        <v>11827.56913411958</v>
      </c>
      <c r="G87" s="229">
        <v>0.015000000017301238</v>
      </c>
      <c r="H87" s="112">
        <v>0.8594366936875227</v>
      </c>
    </row>
    <row r="88" spans="1:8" ht="12.75">
      <c r="A88" s="112">
        <v>305</v>
      </c>
      <c r="B88" s="229">
        <v>47.9</v>
      </c>
      <c r="C88" s="229">
        <v>-92.46982068541278</v>
      </c>
      <c r="D88" s="112">
        <v>751046.2226502895</v>
      </c>
      <c r="E88" s="112">
        <v>750961.7315057144</v>
      </c>
      <c r="F88" s="112">
        <v>11265.272797750384</v>
      </c>
      <c r="G88" s="229">
        <v>0.015000002552385176</v>
      </c>
      <c r="H88" s="112">
        <v>0.8594368389371331</v>
      </c>
    </row>
    <row r="89" spans="1:8" ht="12.75">
      <c r="A89" s="112">
        <v>305</v>
      </c>
      <c r="B89" s="229">
        <v>47.6</v>
      </c>
      <c r="C89" s="229">
        <v>-92.23461805820945</v>
      </c>
      <c r="D89" s="112">
        <v>713376.2157725423</v>
      </c>
      <c r="E89" s="112">
        <v>713295.9624524972</v>
      </c>
      <c r="F89" s="112">
        <v>10700.242002802492</v>
      </c>
      <c r="G89" s="229">
        <v>0.015000000050219574</v>
      </c>
      <c r="H89" s="112">
        <v>0.8594366955736045</v>
      </c>
    </row>
    <row r="90" spans="1:8" ht="12.75">
      <c r="A90" s="112">
        <v>305</v>
      </c>
      <c r="B90" s="229">
        <v>47.3</v>
      </c>
      <c r="C90" s="229">
        <v>-91.99639503625285</v>
      </c>
      <c r="D90" s="112">
        <v>675550.9208180307</v>
      </c>
      <c r="E90" s="112">
        <v>675474.9227830004</v>
      </c>
      <c r="F90" s="112">
        <v>10132.88258043411</v>
      </c>
      <c r="G90" s="229">
        <v>0.014999998166151997</v>
      </c>
      <c r="H90" s="112">
        <v>0.859436587624484</v>
      </c>
    </row>
    <row r="91" spans="1:8" ht="12.75">
      <c r="A91" s="112">
        <v>305</v>
      </c>
      <c r="B91" s="229">
        <v>47</v>
      </c>
      <c r="C91" s="229">
        <v>-91.7549946478198</v>
      </c>
      <c r="D91" s="112">
        <v>637567.4937943381</v>
      </c>
      <c r="E91" s="112">
        <v>637495.7690015866</v>
      </c>
      <c r="F91" s="112">
        <v>9563.14008415226</v>
      </c>
      <c r="G91" s="229">
        <v>0.014999978517375636</v>
      </c>
      <c r="H91" s="112">
        <v>0.859435461832526</v>
      </c>
    </row>
    <row r="92" spans="1:8" ht="12.75">
      <c r="A92" s="112">
        <v>305</v>
      </c>
      <c r="B92" s="229">
        <v>46.7</v>
      </c>
      <c r="C92" s="229">
        <v>-91.50836016257173</v>
      </c>
      <c r="D92" s="112">
        <v>599359.1358254843</v>
      </c>
      <c r="E92" s="112">
        <v>599291.7093866515</v>
      </c>
      <c r="F92" s="112">
        <v>8990.036590388365</v>
      </c>
      <c r="G92" s="229">
        <v>0.0149999777883248</v>
      </c>
      <c r="H92" s="112">
        <v>0.85943542006099</v>
      </c>
    </row>
    <row r="93" spans="1:8" ht="12.75">
      <c r="A93" s="112">
        <v>305</v>
      </c>
      <c r="B93" s="229">
        <v>46.4</v>
      </c>
      <c r="C93" s="229">
        <v>-91.24083652854601</v>
      </c>
      <c r="D93" s="112">
        <v>560401.3210984813</v>
      </c>
      <c r="E93" s="112">
        <v>560338.2769776646</v>
      </c>
      <c r="F93" s="112">
        <v>8405.714878889085</v>
      </c>
      <c r="G93" s="229">
        <v>0.015000018354285499</v>
      </c>
      <c r="H93" s="112">
        <v>0.85943774431933</v>
      </c>
    </row>
    <row r="94" spans="1:8" ht="12.75">
      <c r="A94" s="238">
        <v>305</v>
      </c>
      <c r="B94" s="239">
        <v>46.36320882501835</v>
      </c>
      <c r="C94" s="239">
        <v>-91.18582550048129</v>
      </c>
      <c r="D94" s="238">
        <v>554873.3035140133</v>
      </c>
      <c r="E94" s="238">
        <v>554810.881577753</v>
      </c>
      <c r="F94" s="238">
        <v>8322.778110148054</v>
      </c>
      <c r="G94" s="239">
        <v>0.0149999831837469</v>
      </c>
      <c r="H94" s="238">
        <v>0.8594357291959049</v>
      </c>
    </row>
    <row r="95" spans="1:8" ht="12.75">
      <c r="A95" s="112"/>
      <c r="B95" s="229"/>
      <c r="C95" s="229"/>
      <c r="D95" s="112"/>
      <c r="E95" s="112"/>
      <c r="F95" s="112"/>
      <c r="G95" s="229"/>
      <c r="H95" s="112"/>
    </row>
    <row r="96" spans="1:8" ht="12.75">
      <c r="A96" s="112"/>
      <c r="B96" s="229"/>
      <c r="C96" s="229"/>
      <c r="D96" s="112"/>
      <c r="E96" s="112"/>
      <c r="F96" s="112"/>
      <c r="G96" s="229"/>
      <c r="H96" s="112"/>
    </row>
    <row r="97" spans="1:8" ht="12.75">
      <c r="A97" s="112"/>
      <c r="B97" s="229"/>
      <c r="C97" s="229"/>
      <c r="D97" s="112"/>
      <c r="E97" s="112"/>
      <c r="F97" s="112"/>
      <c r="G97" s="229"/>
      <c r="H97" s="112"/>
    </row>
    <row r="98" spans="1:8" ht="12.75">
      <c r="A98" s="112"/>
      <c r="B98" s="229"/>
      <c r="C98" s="229"/>
      <c r="D98" s="112"/>
      <c r="E98" s="112"/>
      <c r="F98" s="112"/>
      <c r="G98" s="229"/>
      <c r="H98" s="112"/>
    </row>
    <row r="99" spans="1:8" ht="13.5" thickBot="1">
      <c r="A99" s="112"/>
      <c r="B99" s="229"/>
      <c r="C99" s="229"/>
      <c r="D99" s="112"/>
      <c r="E99" s="112"/>
      <c r="F99" s="112"/>
      <c r="G99" s="229"/>
      <c r="H99" s="112"/>
    </row>
    <row r="100" spans="1:8" ht="12.75">
      <c r="A100" s="182" t="s">
        <v>416</v>
      </c>
      <c r="B100" s="183"/>
      <c r="C100" s="183"/>
      <c r="D100" s="184"/>
      <c r="E100" s="183" t="s">
        <v>417</v>
      </c>
      <c r="F100" s="185"/>
      <c r="G100" s="186"/>
      <c r="H100" s="187"/>
    </row>
    <row r="101" spans="1:8" ht="15" thickBot="1">
      <c r="A101" s="188">
        <v>0</v>
      </c>
      <c r="B101" s="50" t="s">
        <v>17</v>
      </c>
      <c r="C101" s="51" t="s">
        <v>18</v>
      </c>
      <c r="D101" s="168">
        <v>0</v>
      </c>
      <c r="E101" s="167">
        <v>0</v>
      </c>
      <c r="F101" s="167">
        <v>0</v>
      </c>
      <c r="G101" s="50" t="s">
        <v>17</v>
      </c>
      <c r="H101" s="189" t="s">
        <v>18</v>
      </c>
    </row>
    <row r="102" spans="1:8" ht="13.5" thickBot="1">
      <c r="A102" s="190">
        <v>41</v>
      </c>
      <c r="B102" s="164">
        <v>49</v>
      </c>
      <c r="C102" s="157">
        <v>55.28462450056168</v>
      </c>
      <c r="D102" s="169">
        <f>A102+(B102+C102/60)/60</f>
        <v>41.83202350680571</v>
      </c>
      <c r="E102" s="165">
        <v>41.83202350680571</v>
      </c>
      <c r="F102" s="166">
        <f>ROUNDDOWN(E102,0)</f>
        <v>41</v>
      </c>
      <c r="G102" s="166">
        <f>ROUNDDOWN((E102-F102)*60,0)</f>
        <v>49</v>
      </c>
      <c r="H102" s="191">
        <f>((E102-F102)*60-G102)*60</f>
        <v>55.28462450056168</v>
      </c>
    </row>
    <row r="103" spans="1:8" ht="12.75">
      <c r="A103" s="192" t="s">
        <v>428</v>
      </c>
      <c r="B103" s="172"/>
      <c r="C103" s="44"/>
      <c r="D103" s="45"/>
      <c r="E103" s="173"/>
      <c r="F103" s="166"/>
      <c r="G103" s="166"/>
      <c r="H103" s="191"/>
    </row>
    <row r="104" spans="1:8" ht="13.5" thickBot="1">
      <c r="A104" s="193" t="s">
        <v>430</v>
      </c>
      <c r="B104" s="194"/>
      <c r="C104" s="194"/>
      <c r="D104" s="194"/>
      <c r="E104" s="194"/>
      <c r="F104" s="194"/>
      <c r="G104" s="195"/>
      <c r="H104" s="196"/>
    </row>
    <row r="105" spans="1:8" ht="13.5" thickBot="1">
      <c r="A105" s="45"/>
      <c r="B105" s="45"/>
      <c r="C105" s="45"/>
      <c r="D105" s="45"/>
      <c r="E105" s="45"/>
      <c r="F105" s="45"/>
      <c r="G105" s="51"/>
      <c r="H105" s="62"/>
    </row>
    <row r="106" spans="1:8" ht="12.75">
      <c r="A106" s="197" t="s">
        <v>448</v>
      </c>
      <c r="B106" s="198"/>
      <c r="C106" s="199"/>
      <c r="D106" s="45"/>
      <c r="E106" s="206"/>
      <c r="F106" s="207" t="s">
        <v>450</v>
      </c>
      <c r="G106" s="208"/>
      <c r="H106" s="62"/>
    </row>
    <row r="107" spans="1:8" ht="13.5" thickBot="1">
      <c r="A107" s="200" t="s">
        <v>449</v>
      </c>
      <c r="B107" s="45"/>
      <c r="C107" s="201"/>
      <c r="D107" s="45"/>
      <c r="E107" s="209"/>
      <c r="F107" s="47" t="s">
        <v>451</v>
      </c>
      <c r="G107" s="210" t="s">
        <v>452</v>
      </c>
      <c r="H107" s="62"/>
    </row>
    <row r="108" spans="1:8" ht="13.5" thickBot="1">
      <c r="A108" s="202" t="s">
        <v>432</v>
      </c>
      <c r="B108" s="47" t="s">
        <v>431</v>
      </c>
      <c r="C108" s="203" t="s">
        <v>433</v>
      </c>
      <c r="D108" s="45"/>
      <c r="E108" s="209">
        <v>1</v>
      </c>
      <c r="F108" s="180">
        <v>1106</v>
      </c>
      <c r="G108" s="211">
        <v>305.1088</v>
      </c>
      <c r="H108" s="62"/>
    </row>
    <row r="109" spans="1:8" ht="13.5" thickBot="1">
      <c r="A109" s="237">
        <v>1380</v>
      </c>
      <c r="B109" s="204">
        <v>-32</v>
      </c>
      <c r="C109" s="205">
        <f>$A109*12*0.0254+$B109</f>
        <v>388.62399999999997</v>
      </c>
      <c r="D109" s="45"/>
      <c r="E109" s="209">
        <v>2</v>
      </c>
      <c r="F109" s="180">
        <v>1105</v>
      </c>
      <c r="G109" s="236">
        <v>304.804</v>
      </c>
      <c r="H109" s="62"/>
    </row>
    <row r="110" spans="1:8" ht="13.5" thickBot="1">
      <c r="A110" s="172"/>
      <c r="B110" s="54"/>
      <c r="C110" s="48"/>
      <c r="D110" s="45"/>
      <c r="E110" s="212"/>
      <c r="F110" s="213">
        <f>F108+((G110-G108)*(F109-F108))/(G109-G108)</f>
        <v>1105.6430446194227</v>
      </c>
      <c r="G110" s="181">
        <v>305</v>
      </c>
      <c r="H110" s="62"/>
    </row>
    <row r="111" spans="7:8" ht="13.5" thickBot="1">
      <c r="G111" s="4"/>
      <c r="H111" s="26"/>
    </row>
    <row r="112" spans="2:9" ht="12.75">
      <c r="B112" s="214" t="s">
        <v>442</v>
      </c>
      <c r="C112" s="215"/>
      <c r="D112" s="215"/>
      <c r="E112" s="215"/>
      <c r="F112" s="216" t="s">
        <v>147</v>
      </c>
      <c r="G112" s="215"/>
      <c r="H112" s="217"/>
      <c r="I112" s="62"/>
    </row>
    <row r="113" spans="2:9" ht="15" thickBot="1">
      <c r="B113" s="218"/>
      <c r="C113" s="45"/>
      <c r="D113" s="171" t="s">
        <v>426</v>
      </c>
      <c r="E113" s="45"/>
      <c r="F113" s="45"/>
      <c r="G113" s="45"/>
      <c r="H113" s="219"/>
      <c r="I113" s="45"/>
    </row>
    <row r="114" spans="2:9" ht="15" thickBot="1">
      <c r="B114" s="218"/>
      <c r="C114" s="51" t="s">
        <v>411</v>
      </c>
      <c r="D114" s="36">
        <v>44.814108483677764</v>
      </c>
      <c r="E114" s="53" t="s">
        <v>443</v>
      </c>
      <c r="F114" s="161" t="s">
        <v>155</v>
      </c>
      <c r="G114" s="161" t="s">
        <v>139</v>
      </c>
      <c r="H114" s="220" t="s">
        <v>140</v>
      </c>
      <c r="I114" s="45"/>
    </row>
    <row r="115" spans="2:9" ht="13.5" thickBot="1">
      <c r="B115" s="218"/>
      <c r="C115" s="48">
        <f>SQRT(F115*F115+G115*G115)/COS((D116*PI())/180)-$A$6/SQRT(1-$C$6*POWER(SIN((D116*PI())/180),2))</f>
        <v>-10661.952543674968</v>
      </c>
      <c r="D115" s="163">
        <f>D116</f>
        <v>44.81410848367912</v>
      </c>
      <c r="E115" s="45">
        <f>(180/PI())*ATAN2(F115,G115)</f>
        <v>-90.13055634596189</v>
      </c>
      <c r="F115" s="157">
        <v>-10309.942284347824</v>
      </c>
      <c r="G115" s="157">
        <v>-4524599.3459260855</v>
      </c>
      <c r="H115" s="221">
        <v>4465202.60433257</v>
      </c>
      <c r="I115" s="45"/>
    </row>
    <row r="116" spans="2:9" ht="14.25">
      <c r="B116" s="218"/>
      <c r="C116" s="53" t="s">
        <v>427</v>
      </c>
      <c r="D116" s="49">
        <f>(180/PI())*ATAN(H115/(SQRT(F115*F115+G115*G115))*(1+$C$6*$A$6*SIN((D114*PI())/180)/(H115*SQRT(1-$C$6*POWER(SIN((D114*PI())/180),2)))))</f>
        <v>44.81410848367912</v>
      </c>
      <c r="E116" s="160">
        <v>0</v>
      </c>
      <c r="F116" s="45"/>
      <c r="G116" s="45"/>
      <c r="H116" s="219"/>
      <c r="I116" s="45"/>
    </row>
    <row r="117" spans="2:9" ht="14.25">
      <c r="B117" s="218"/>
      <c r="C117" s="53" t="s">
        <v>429</v>
      </c>
      <c r="D117" s="45">
        <f>(180/PI())*ATAN(H115/((1-$C$6)*SQRT(F115*F115+G115*G115)))</f>
        <v>44.813785739545395</v>
      </c>
      <c r="E117" s="174" t="s">
        <v>437</v>
      </c>
      <c r="F117" s="45"/>
      <c r="G117" s="45"/>
      <c r="H117" s="219"/>
      <c r="I117" s="45"/>
    </row>
    <row r="118" spans="2:9" ht="12.75">
      <c r="B118" s="218" t="s">
        <v>412</v>
      </c>
      <c r="C118" s="45"/>
      <c r="D118" s="45"/>
      <c r="E118" s="45" t="s">
        <v>438</v>
      </c>
      <c r="F118" s="45"/>
      <c r="G118" s="45"/>
      <c r="H118" s="219"/>
      <c r="I118" s="45"/>
    </row>
    <row r="119" spans="2:9" ht="12.75">
      <c r="B119" s="218" t="s">
        <v>413</v>
      </c>
      <c r="C119" s="45"/>
      <c r="D119" s="45"/>
      <c r="E119" s="45" t="s">
        <v>439</v>
      </c>
      <c r="F119" s="45"/>
      <c r="G119" s="56"/>
      <c r="H119" s="219"/>
      <c r="I119" s="45"/>
    </row>
    <row r="120" spans="2:9" ht="12.75">
      <c r="B120" s="218" t="s">
        <v>414</v>
      </c>
      <c r="C120" s="45"/>
      <c r="D120" s="45"/>
      <c r="E120" s="162" t="s">
        <v>440</v>
      </c>
      <c r="F120" s="45"/>
      <c r="G120" s="45"/>
      <c r="H120" s="219"/>
      <c r="I120" s="45"/>
    </row>
    <row r="121" spans="2:9" ht="13.5" thickBot="1">
      <c r="B121" s="222" t="s">
        <v>415</v>
      </c>
      <c r="C121" s="223"/>
      <c r="D121" s="223"/>
      <c r="E121" s="224" t="s">
        <v>441</v>
      </c>
      <c r="F121" s="223"/>
      <c r="G121" s="223"/>
      <c r="H121" s="225"/>
      <c r="I121" s="45"/>
    </row>
    <row r="122" spans="3:8" ht="12.75">
      <c r="C122" s="45"/>
      <c r="D122" s="45"/>
      <c r="E122" s="45"/>
      <c r="F122" s="45"/>
      <c r="G122" s="45"/>
      <c r="H122" s="45"/>
    </row>
    <row r="123" spans="1:8" ht="12.75">
      <c r="A123" t="s">
        <v>108</v>
      </c>
      <c r="B123" t="s">
        <v>260</v>
      </c>
      <c r="C123">
        <v>153.96829709410667</v>
      </c>
      <c r="D123">
        <v>41.83202350680571</v>
      </c>
      <c r="E123" s="45">
        <v>-88.26555873341539</v>
      </c>
      <c r="F123" s="45">
        <v>144058.55234079924</v>
      </c>
      <c r="G123">
        <v>-4757396.9876393</v>
      </c>
      <c r="H123">
        <v>4231823.074484399</v>
      </c>
    </row>
    <row r="124" spans="2:10" ht="12.75">
      <c r="B124">
        <v>0.495</v>
      </c>
      <c r="C124">
        <v>-10661.952543240972</v>
      </c>
      <c r="D124">
        <v>44.814108483683064</v>
      </c>
      <c r="E124">
        <v>-90.13055634596189</v>
      </c>
      <c r="F124">
        <v>-10309.942284347824</v>
      </c>
      <c r="G124">
        <v>-4524599.3459260855</v>
      </c>
      <c r="H124">
        <v>4465202.60433257</v>
      </c>
      <c r="I124">
        <v>363992.27886346926</v>
      </c>
      <c r="J124">
        <v>279328.4341417251</v>
      </c>
    </row>
    <row r="126" spans="1:3" ht="12.75">
      <c r="A126" t="s">
        <v>478</v>
      </c>
      <c r="B126" t="s">
        <v>479</v>
      </c>
      <c r="C126" t="s">
        <v>269</v>
      </c>
    </row>
    <row r="127" spans="1:2" ht="12.75">
      <c r="A127">
        <v>0.9071876779605503</v>
      </c>
      <c r="B127">
        <v>1.3354525379439366</v>
      </c>
    </row>
    <row r="129" spans="1:2" ht="12.75">
      <c r="A129" s="2">
        <v>47.45</v>
      </c>
      <c r="B129">
        <v>-95</v>
      </c>
    </row>
    <row r="130" spans="1:2" ht="12.75">
      <c r="A130" s="2">
        <f>A129-A127</f>
        <v>46.54281232203945</v>
      </c>
      <c r="B130">
        <v>-95</v>
      </c>
    </row>
    <row r="132" spans="1:2" ht="12.75">
      <c r="A132" s="2">
        <v>46.5</v>
      </c>
      <c r="B132">
        <v>-94</v>
      </c>
    </row>
    <row r="133" spans="1:2" ht="12.75">
      <c r="A133" s="2">
        <v>46.5</v>
      </c>
      <c r="B133" s="2">
        <f>B132+B127</f>
        <v>-92.66454746205606</v>
      </c>
    </row>
    <row r="134" spans="1:2" ht="12.75">
      <c r="A134" s="2">
        <v>46.55</v>
      </c>
      <c r="B134" s="2">
        <v>-92.66454746205606</v>
      </c>
    </row>
    <row r="135" spans="1:2" ht="12.75">
      <c r="A135" s="2">
        <v>46.45</v>
      </c>
      <c r="B135" s="2">
        <v>-92.66454746205606</v>
      </c>
    </row>
    <row r="136" spans="1:2" ht="12.75">
      <c r="A136" s="2">
        <v>46.5</v>
      </c>
      <c r="B136">
        <v>-94</v>
      </c>
    </row>
    <row r="137" spans="1:2" ht="12.75">
      <c r="A137" s="2">
        <v>46.55</v>
      </c>
      <c r="B137">
        <v>-94</v>
      </c>
    </row>
    <row r="138" spans="1:2" ht="12.75">
      <c r="A138" s="2">
        <v>46.45</v>
      </c>
      <c r="B138">
        <v>-94</v>
      </c>
    </row>
  </sheetData>
  <printOptions/>
  <pageMargins left="0.5" right="0.2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/>
  <dimension ref="A1:J134"/>
  <sheetViews>
    <sheetView workbookViewId="0" topLeftCell="A93">
      <selection activeCell="A31" sqref="A31"/>
    </sheetView>
  </sheetViews>
  <sheetFormatPr defaultColWidth="9.140625" defaultRowHeight="12.75"/>
  <cols>
    <col min="1" max="1" width="11.7109375" style="0" customWidth="1"/>
    <col min="2" max="2" width="12.28125" style="0" customWidth="1"/>
    <col min="3" max="3" width="13.140625" style="0" customWidth="1"/>
    <col min="4" max="4" width="12.7109375" style="0" customWidth="1"/>
    <col min="5" max="6" width="12.421875" style="0" customWidth="1"/>
    <col min="7" max="7" width="13.28125" style="0" customWidth="1"/>
    <col min="8" max="8" width="12.7109375" style="0" customWidth="1"/>
    <col min="9" max="9" width="15.00390625" style="0" customWidth="1"/>
  </cols>
  <sheetData>
    <row r="1" spans="2:9" ht="12.75">
      <c r="B1" s="10"/>
      <c r="C1" s="10" t="s">
        <v>462</v>
      </c>
      <c r="I1" s="170"/>
    </row>
    <row r="2" spans="2:9" ht="13.5" thickBot="1">
      <c r="B2" s="10"/>
      <c r="C2" s="10" t="s">
        <v>463</v>
      </c>
      <c r="I2" s="170"/>
    </row>
    <row r="3" spans="1:2" ht="13.5" thickBot="1">
      <c r="A3" s="159" t="s">
        <v>401</v>
      </c>
      <c r="B3" s="10"/>
    </row>
    <row r="4" ht="12.75">
      <c r="A4" s="10" t="s">
        <v>453</v>
      </c>
    </row>
    <row r="5" spans="1:6" ht="14.25">
      <c r="A5" s="1" t="s">
        <v>0</v>
      </c>
      <c r="B5" s="1" t="s">
        <v>1</v>
      </c>
      <c r="C5" s="1" t="s">
        <v>6</v>
      </c>
      <c r="D5" s="1" t="s">
        <v>21</v>
      </c>
      <c r="F5" s="10" t="s">
        <v>20</v>
      </c>
    </row>
    <row r="6" spans="1:5" ht="12.75">
      <c r="A6">
        <v>6378137</v>
      </c>
      <c r="B6" s="2">
        <v>6356752.31414</v>
      </c>
      <c r="C6">
        <f>1-(B6*B6)/(A6*A6)</f>
        <v>0.0066943800230119255</v>
      </c>
      <c r="D6" s="7">
        <f>$A$6/($A$6-$B$6)</f>
        <v>298.2572220960422</v>
      </c>
      <c r="E6" t="s">
        <v>260</v>
      </c>
    </row>
    <row r="8" spans="1:8" ht="12.75">
      <c r="A8" s="10"/>
      <c r="C8" s="12" t="s">
        <v>482</v>
      </c>
      <c r="D8" s="12" t="s">
        <v>483</v>
      </c>
      <c r="F8" s="12" t="s">
        <v>484</v>
      </c>
      <c r="G8" s="12" t="s">
        <v>485</v>
      </c>
      <c r="H8" s="12" t="s">
        <v>483</v>
      </c>
    </row>
    <row r="9" spans="1:8" ht="15" thickBot="1">
      <c r="A9" s="10" t="s">
        <v>404</v>
      </c>
      <c r="C9" t="s">
        <v>4</v>
      </c>
      <c r="D9" s="4" t="s">
        <v>454</v>
      </c>
      <c r="E9" s="4" t="s">
        <v>455</v>
      </c>
      <c r="F9" s="12" t="s">
        <v>157</v>
      </c>
      <c r="G9" s="12" t="s">
        <v>158</v>
      </c>
      <c r="H9" s="12" t="s">
        <v>159</v>
      </c>
    </row>
    <row r="10" spans="1:8" ht="12.75" customHeight="1" thickBot="1">
      <c r="A10" s="155" t="s">
        <v>108</v>
      </c>
      <c r="B10" s="179" t="s">
        <v>260</v>
      </c>
      <c r="C10" s="155">
        <v>153.96829709410667</v>
      </c>
      <c r="D10" s="156">
        <v>41.83202350680571</v>
      </c>
      <c r="E10" s="156">
        <v>-88.26555873341539</v>
      </c>
      <c r="F10" s="2">
        <f>E12*COS(D11)*COS(E11)</f>
        <v>144058.55234079924</v>
      </c>
      <c r="G10" s="2">
        <f>E12*COS(D11)*SIN(E11)</f>
        <v>-4757396.9876393</v>
      </c>
      <c r="H10" s="2">
        <f>($C12*(1-$C$6)+C10)*SIN(D11)</f>
        <v>4231823.074484399</v>
      </c>
    </row>
    <row r="11" spans="2:8" ht="0.75" customHeight="1" hidden="1">
      <c r="B11" s="125"/>
      <c r="C11" s="4" t="s">
        <v>436</v>
      </c>
      <c r="D11" s="154">
        <f>D10*PI()/180</f>
        <v>0.7301065429654242</v>
      </c>
      <c r="E11" s="154">
        <f>E10*PI()/180</f>
        <v>-1.5405246160105344</v>
      </c>
      <c r="H11" s="6"/>
    </row>
    <row r="12" spans="2:8" ht="12.75" hidden="1">
      <c r="B12" s="4" t="s">
        <v>434</v>
      </c>
      <c r="C12" s="2">
        <f>$A$6/SQRT(1-$C$6*(SIN(D11))*(SIN(D11)))</f>
        <v>6387654.672386314</v>
      </c>
      <c r="D12" s="4" t="s">
        <v>435</v>
      </c>
      <c r="E12" s="2">
        <f>C12+C10</f>
        <v>6387808.640683408</v>
      </c>
      <c r="H12" s="6"/>
    </row>
    <row r="13" spans="1:8" ht="13.5" thickBot="1">
      <c r="A13" s="10" t="s">
        <v>406</v>
      </c>
      <c r="C13" s="2"/>
      <c r="D13" s="21"/>
      <c r="E13" s="21"/>
      <c r="F13" s="2"/>
      <c r="G13" s="2"/>
      <c r="H13" s="2"/>
    </row>
    <row r="14" spans="1:8" ht="12" customHeight="1" thickBot="1">
      <c r="A14" s="155" t="s">
        <v>477</v>
      </c>
      <c r="B14" s="179" t="s">
        <v>447</v>
      </c>
      <c r="C14" s="155">
        <v>305</v>
      </c>
      <c r="D14" s="156">
        <v>47.15</v>
      </c>
      <c r="E14" s="156">
        <v>-91.8152726580014</v>
      </c>
      <c r="F14" s="2">
        <f>E16*COS(D15)*COS(E15)</f>
        <v>-137659.04438548026</v>
      </c>
      <c r="G14" s="2">
        <f>E16*COS(D15)*SIN(E15)</f>
        <v>-4343503.446762411</v>
      </c>
      <c r="H14" s="2">
        <f>($C16*(1-$C$6)+C14)*SIN(D15)</f>
        <v>4653345.317268677</v>
      </c>
    </row>
    <row r="15" spans="2:9" ht="12.75" hidden="1">
      <c r="B15" s="1"/>
      <c r="C15" s="4" t="s">
        <v>436</v>
      </c>
      <c r="D15">
        <f>D14*PI()/180</f>
        <v>0.8229227423153264</v>
      </c>
      <c r="E15">
        <f>E14*PI()/180</f>
        <v>-1.60247881149845</v>
      </c>
      <c r="I15" s="13" t="s">
        <v>269</v>
      </c>
    </row>
    <row r="16" spans="2:5" ht="12.75" hidden="1">
      <c r="B16" s="4" t="s">
        <v>434</v>
      </c>
      <c r="C16" s="2">
        <f>$A$6/SQRT(1-$C$6*(SIN(D15))*(SIN(D15)))</f>
        <v>6389642.831695386</v>
      </c>
      <c r="D16" s="4" t="s">
        <v>435</v>
      </c>
      <c r="E16" s="2">
        <f>C16+C14</f>
        <v>6389947.831695386</v>
      </c>
    </row>
    <row r="17" ht="14.25" hidden="1">
      <c r="C17" s="3"/>
    </row>
    <row r="18" spans="2:8" ht="12.75">
      <c r="B18" s="10" t="s">
        <v>408</v>
      </c>
      <c r="E18" s="12" t="s">
        <v>14</v>
      </c>
      <c r="F18" s="12" t="s">
        <v>398</v>
      </c>
      <c r="G18" s="12" t="s">
        <v>399</v>
      </c>
      <c r="H18" s="12" t="s">
        <v>400</v>
      </c>
    </row>
    <row r="19" spans="2:8" ht="12.75">
      <c r="B19" s="1" t="s">
        <v>102</v>
      </c>
      <c r="C19" s="1" t="s">
        <v>103</v>
      </c>
      <c r="E19" s="2">
        <f>SQRT(F19*F19+G19*G19+H19*H19)</f>
        <v>654487.3326862236</v>
      </c>
      <c r="F19" s="2">
        <f>F14-F10</f>
        <v>-281717.5967262795</v>
      </c>
      <c r="G19" s="2">
        <f>G14-G10</f>
        <v>413893.54087688867</v>
      </c>
      <c r="H19" s="2">
        <f>H14-H10</f>
        <v>421522.24278427847</v>
      </c>
    </row>
    <row r="20" spans="2:4" ht="12.75">
      <c r="B20" s="7">
        <f>ATAN2(F23,G23)</f>
        <v>-0.4242538117143473</v>
      </c>
      <c r="C20" s="7">
        <f>ASIN(H23/E19)</f>
        <v>-0.05116410199824227</v>
      </c>
      <c r="D20" s="14" t="s">
        <v>104</v>
      </c>
    </row>
    <row r="21" spans="2:6" ht="12.75">
      <c r="B21">
        <f>IF($B20&gt;0,DEGREES($B20),DEGREES($B20)+360)</f>
        <v>335.69204714643</v>
      </c>
      <c r="C21" s="21">
        <f>C20*180/PI()</f>
        <v>-2.931487107076144</v>
      </c>
      <c r="D21" s="14" t="s">
        <v>95</v>
      </c>
      <c r="F21" s="10" t="s">
        <v>402</v>
      </c>
    </row>
    <row r="22" spans="2:9" ht="12.75">
      <c r="B22" s="21"/>
      <c r="C22" s="21"/>
      <c r="D22" s="14"/>
      <c r="F22" s="1" t="s">
        <v>15</v>
      </c>
      <c r="G22" s="1" t="s">
        <v>16</v>
      </c>
      <c r="H22" s="1" t="s">
        <v>11</v>
      </c>
      <c r="I22" s="13"/>
    </row>
    <row r="23" spans="2:8" ht="11.25" customHeight="1">
      <c r="B23" s="6"/>
      <c r="C23" s="6"/>
      <c r="D23" s="158"/>
      <c r="F23" s="2">
        <f>-SIN(D11)*COS(E11)*F19-SIN(D11)*SIN(E11)*G19+COS(D11)*H19</f>
        <v>595683.9779445594</v>
      </c>
      <c r="G23" s="2">
        <f>-SIN(E11)*F19+COS(E11)*G19</f>
        <v>-269061.17482891056</v>
      </c>
      <c r="H23" s="2">
        <f>COS(D11)*COS(E11)*F19+COS(D11)*SIN(E11)*G19+SIN(D11)*H19</f>
        <v>-33471.64869795728</v>
      </c>
    </row>
    <row r="24" spans="2:4" ht="0.75" customHeight="1">
      <c r="B24" s="6"/>
      <c r="C24" s="6"/>
      <c r="D24" s="14"/>
    </row>
    <row r="26" spans="1:9" ht="12.75">
      <c r="A26" s="10" t="s">
        <v>458</v>
      </c>
      <c r="C26" s="2"/>
      <c r="D26" s="12" t="s">
        <v>403</v>
      </c>
      <c r="G26" s="12" t="s">
        <v>407</v>
      </c>
      <c r="I26" s="2"/>
    </row>
    <row r="27" spans="1:8" ht="14.25">
      <c r="A27" s="10" t="s">
        <v>459</v>
      </c>
      <c r="C27" t="s">
        <v>4</v>
      </c>
      <c r="D27" s="4" t="s">
        <v>454</v>
      </c>
      <c r="E27" s="4" t="s">
        <v>455</v>
      </c>
      <c r="F27" s="12" t="s">
        <v>157</v>
      </c>
      <c r="G27" s="12" t="s">
        <v>158</v>
      </c>
      <c r="H27" s="12" t="s">
        <v>159</v>
      </c>
    </row>
    <row r="28" spans="1:8" ht="12.75">
      <c r="A28" s="10"/>
      <c r="B28" s="1" t="s">
        <v>108</v>
      </c>
      <c r="C28" s="2">
        <v>153.96829709410667</v>
      </c>
      <c r="D28" s="137">
        <v>41.83202350680571</v>
      </c>
      <c r="E28" s="13">
        <v>-88.26555873341539</v>
      </c>
      <c r="F28">
        <v>144058.55234079924</v>
      </c>
      <c r="G28" s="2">
        <v>-4757396.9876393</v>
      </c>
      <c r="H28" s="2">
        <v>4231823.074484399</v>
      </c>
    </row>
    <row r="29" spans="1:8" ht="12.75">
      <c r="A29" s="10"/>
      <c r="B29" s="1" t="s">
        <v>136</v>
      </c>
      <c r="C29" s="2">
        <v>-248.3991527</v>
      </c>
      <c r="D29" s="13">
        <v>47.820266534666665</v>
      </c>
      <c r="E29" s="13">
        <v>-92.24141201908333</v>
      </c>
      <c r="F29" s="2">
        <v>-167796.99235646756</v>
      </c>
      <c r="G29" s="2">
        <v>-4287098.721551998</v>
      </c>
      <c r="H29" s="2">
        <v>4703296.872157471</v>
      </c>
    </row>
    <row r="30" spans="1:8" ht="15.75">
      <c r="A30" s="115" t="s">
        <v>473</v>
      </c>
      <c r="B30" s="115" t="s">
        <v>474</v>
      </c>
      <c r="D30" s="4"/>
      <c r="E30" s="4"/>
      <c r="F30" s="12"/>
      <c r="G30" s="12"/>
      <c r="H30" s="12"/>
    </row>
    <row r="31" spans="1:8" ht="12.75">
      <c r="A31" s="47">
        <f>ATAN2('Trans oa ang'!G29-'Trans oa ang'!G28,'Trans oa ang'!F29-'Trans oa ang'!F28)</f>
        <v>-0.5855304354159501</v>
      </c>
      <c r="B31" s="66">
        <f>ASIN(('Trans oa ang'!H29-'Trans oa ang'!H28)/SQRT(SUMSQ('Trans oa ang'!F29-'Trans oa ang'!F28,'Trans oa ang'!G29-'Trans oa ang'!G28,'Trans oa ang'!H29-'Trans oa ang'!H28)))</f>
        <v>0.6960169166663005</v>
      </c>
      <c r="C31" t="s">
        <v>19</v>
      </c>
      <c r="D31" s="4"/>
      <c r="E31" s="4"/>
      <c r="F31" s="12"/>
      <c r="G31" s="12"/>
      <c r="H31" s="12"/>
    </row>
    <row r="32" spans="1:8" ht="12.75">
      <c r="A32">
        <f>DEGREES(A31)</f>
        <v>-33.54842272579136</v>
      </c>
      <c r="B32">
        <f>DEGREES(B31)</f>
        <v>39.87883179468775</v>
      </c>
      <c r="C32" t="s">
        <v>461</v>
      </c>
      <c r="D32" s="4"/>
      <c r="E32" s="4"/>
      <c r="F32" s="12"/>
      <c r="G32" s="12"/>
      <c r="H32" s="12"/>
    </row>
    <row r="33" spans="1:5" ht="12.75">
      <c r="A33" s="10"/>
      <c r="B33" t="s">
        <v>345</v>
      </c>
      <c r="E33" t="s">
        <v>345</v>
      </c>
    </row>
    <row r="34" spans="1:8" ht="12.75">
      <c r="A34" s="10"/>
      <c r="B34" s="1" t="s">
        <v>343</v>
      </c>
      <c r="C34" s="1" t="s">
        <v>346</v>
      </c>
      <c r="D34" s="1" t="s">
        <v>464</v>
      </c>
      <c r="F34" t="s">
        <v>344</v>
      </c>
      <c r="G34" t="s">
        <v>344</v>
      </c>
      <c r="H34" s="1" t="s">
        <v>464</v>
      </c>
    </row>
    <row r="35" spans="1:8" ht="12.75">
      <c r="A35" s="10"/>
      <c r="B35" s="1" t="s">
        <v>341</v>
      </c>
      <c r="C35" t="s">
        <v>344</v>
      </c>
      <c r="D35" s="1" t="s">
        <v>373</v>
      </c>
      <c r="F35" s="1" t="s">
        <v>229</v>
      </c>
      <c r="G35" s="1" t="s">
        <v>342</v>
      </c>
      <c r="H35" s="1" t="s">
        <v>373</v>
      </c>
    </row>
    <row r="36" spans="1:8" ht="12" customHeight="1">
      <c r="A36" s="10"/>
      <c r="B36" s="1" t="s">
        <v>130</v>
      </c>
      <c r="C36" s="1" t="s">
        <v>130</v>
      </c>
      <c r="D36" s="1" t="s">
        <v>372</v>
      </c>
      <c r="F36" s="1" t="s">
        <v>130</v>
      </c>
      <c r="G36" s="1" t="s">
        <v>130</v>
      </c>
      <c r="H36" s="1" t="s">
        <v>392</v>
      </c>
    </row>
    <row r="37" ht="12.75">
      <c r="A37" s="10"/>
    </row>
    <row r="38" spans="1:8" ht="12.75">
      <c r="A38" s="1" t="s">
        <v>136</v>
      </c>
      <c r="B38" s="48">
        <f>E38*COS($B$31)+($H29-$H$28)*SIN($B$31)</f>
        <v>735337.9370979177</v>
      </c>
      <c r="C38" s="70">
        <f>SQRT(SUMSQ(F38,G38))</f>
        <v>0</v>
      </c>
      <c r="D38" s="6">
        <f>ATAN(C38/B38)</f>
        <v>0</v>
      </c>
      <c r="E38" s="48">
        <f>($F29-$F$28)*SIN($A$31)+($G29-$G$28)*COS($A$31)</f>
        <v>564299.8669529806</v>
      </c>
      <c r="F38" s="48">
        <f>($F29-$F$28)*COS($A$31)-($G29-$G$28)*SIN($A$31)</f>
        <v>0</v>
      </c>
      <c r="G38" s="48">
        <f>-E38*SIN($B$31)+($H29-$H$28)*COS($B$31)</f>
        <v>0</v>
      </c>
      <c r="H38" s="2">
        <f>DEGREES(D38)</f>
        <v>0</v>
      </c>
    </row>
    <row r="39" spans="1:8" ht="12.75">
      <c r="A39" s="1"/>
      <c r="B39" s="48" t="s">
        <v>488</v>
      </c>
      <c r="C39" s="70" t="s">
        <v>489</v>
      </c>
      <c r="D39" s="6" t="s">
        <v>490</v>
      </c>
      <c r="E39" s="48"/>
      <c r="F39" s="48"/>
      <c r="G39" s="48"/>
      <c r="H39" s="6" t="s">
        <v>491</v>
      </c>
    </row>
    <row r="40" spans="1:8" ht="12.75">
      <c r="A40" s="10" t="s">
        <v>460</v>
      </c>
      <c r="B40" s="48"/>
      <c r="C40" s="70"/>
      <c r="D40" s="6"/>
      <c r="E40" s="48"/>
      <c r="F40" s="48"/>
      <c r="G40" s="48"/>
      <c r="H40" s="2"/>
    </row>
    <row r="41" spans="1:8" ht="12.75">
      <c r="A41" s="125" t="str">
        <f>A14</f>
        <v>10 mrad</v>
      </c>
      <c r="B41" s="48">
        <f>E41*COS($B$31)+($H14-$H$28)*SIN($B$31)</f>
        <v>654454.6085918935</v>
      </c>
      <c r="C41" s="70">
        <f>SQRT(SUMSQ(F41,G41))</f>
        <v>6544.76428597521</v>
      </c>
      <c r="D41" s="6">
        <f>ATAN(C41/B41)</f>
        <v>0.010000000060798233</v>
      </c>
      <c r="E41" s="48">
        <f>($F14-$F$28)*SIN($A$31)+($G14-$G$28)*COS($A$31)</f>
        <v>500635.6119175782</v>
      </c>
      <c r="F41" s="48">
        <f>($F14-$F$28)*COS($A$31)-($G14-$G$28)*SIN($A$31)</f>
        <v>-6054.053580156382</v>
      </c>
      <c r="G41" s="48">
        <f>-E41*SIN($B$31)+($H14-$H$28)*COS($B$31)</f>
        <v>2486.438176905329</v>
      </c>
      <c r="H41" s="2">
        <f>DEGREES(D41)</f>
        <v>0.5729577986143054</v>
      </c>
    </row>
    <row r="42" spans="1:8" ht="14.25">
      <c r="A42" s="10"/>
      <c r="B42" s="4" t="s">
        <v>455</v>
      </c>
      <c r="C42" s="1" t="s">
        <v>465</v>
      </c>
      <c r="D42" s="4"/>
      <c r="E42" s="4"/>
      <c r="F42" s="12"/>
      <c r="G42" s="12"/>
      <c r="H42" s="12"/>
    </row>
    <row r="43" spans="1:8" ht="13.5" thickBot="1">
      <c r="A43" s="10"/>
      <c r="B43" s="21">
        <f>E14</f>
        <v>-91.8152726580014</v>
      </c>
      <c r="C43" s="6">
        <f>D41</f>
        <v>0.010000000060798233</v>
      </c>
      <c r="D43" s="4"/>
      <c r="E43" s="4"/>
      <c r="F43" s="229"/>
      <c r="G43" s="230"/>
      <c r="H43" s="12"/>
    </row>
    <row r="44" spans="1:8" ht="13.5" thickBot="1">
      <c r="A44" s="206"/>
      <c r="B44" s="227" t="s">
        <v>451</v>
      </c>
      <c r="C44" s="228" t="s">
        <v>452</v>
      </c>
      <c r="D44" s="4"/>
      <c r="E44" s="45"/>
      <c r="F44" s="47"/>
      <c r="G44" s="47"/>
      <c r="H44" s="12"/>
    </row>
    <row r="45" spans="1:8" ht="13.5" thickBot="1">
      <c r="A45" s="209">
        <v>1</v>
      </c>
      <c r="B45" s="232">
        <v>-91.81527186874213</v>
      </c>
      <c r="C45" s="231">
        <v>0.009999944368125862</v>
      </c>
      <c r="D45" s="4"/>
      <c r="E45" s="45"/>
      <c r="F45" s="56"/>
      <c r="G45" s="248"/>
      <c r="H45" s="12"/>
    </row>
    <row r="46" spans="1:8" ht="13.5" thickBot="1">
      <c r="A46" s="209">
        <v>2</v>
      </c>
      <c r="B46" s="232">
        <v>-91.815</v>
      </c>
      <c r="C46" s="231">
        <v>0.009980781377961621</v>
      </c>
      <c r="D46" s="4"/>
      <c r="E46" s="45"/>
      <c r="F46" s="56"/>
      <c r="G46" s="248"/>
      <c r="H46" s="12"/>
    </row>
    <row r="47" spans="1:8" ht="13.5" thickBot="1">
      <c r="A47" s="247" t="s">
        <v>487</v>
      </c>
      <c r="B47" s="213">
        <f>B45+((C47-C45)*(B46-B45))/(C46-C45)</f>
        <v>-91.8152726580014</v>
      </c>
      <c r="C47" s="233">
        <v>0.01</v>
      </c>
      <c r="D47" s="4"/>
      <c r="E47" s="45"/>
      <c r="F47" s="10" t="s">
        <v>20</v>
      </c>
      <c r="G47" s="248"/>
      <c r="H47" s="12"/>
    </row>
    <row r="48" spans="1:8" ht="14.25">
      <c r="A48" t="s">
        <v>466</v>
      </c>
      <c r="B48" s="4" t="s">
        <v>454</v>
      </c>
      <c r="C48" s="4" t="s">
        <v>455</v>
      </c>
      <c r="D48" s="4" t="s">
        <v>467</v>
      </c>
      <c r="E48" s="65" t="s">
        <v>468</v>
      </c>
      <c r="F48" s="65" t="s">
        <v>469</v>
      </c>
      <c r="G48" s="65" t="s">
        <v>470</v>
      </c>
      <c r="H48" s="65" t="s">
        <v>471</v>
      </c>
    </row>
    <row r="49" spans="1:8" ht="13.5" thickBot="1">
      <c r="A49" s="234">
        <f>C14</f>
        <v>305</v>
      </c>
      <c r="B49" s="235">
        <f>D14</f>
        <v>47.15</v>
      </c>
      <c r="C49" s="235">
        <f>E14</f>
        <v>-91.8152726580014</v>
      </c>
      <c r="D49" s="234">
        <f>E19</f>
        <v>654487.3326862236</v>
      </c>
      <c r="E49" s="234">
        <f>B41</f>
        <v>654454.6085918935</v>
      </c>
      <c r="F49" s="234">
        <f>C41</f>
        <v>6544.76428597521</v>
      </c>
      <c r="G49" s="235">
        <f>D41</f>
        <v>0.010000000060798233</v>
      </c>
      <c r="H49" s="234">
        <f>H41</f>
        <v>0.5729577986143054</v>
      </c>
    </row>
    <row r="50" spans="1:8" ht="12.75">
      <c r="A50" s="238">
        <v>305</v>
      </c>
      <c r="B50" s="239">
        <v>46.87516425560849</v>
      </c>
      <c r="C50" s="239">
        <v>-91.54936643500506</v>
      </c>
      <c r="D50" s="238">
        <v>618165.8180953283</v>
      </c>
      <c r="E50" s="238">
        <v>618134.9100621073</v>
      </c>
      <c r="F50" s="238">
        <v>6181.555142279014</v>
      </c>
      <c r="G50" s="239">
        <v>0.009999999981309814</v>
      </c>
      <c r="H50" s="238">
        <v>0.5729577940599544</v>
      </c>
    </row>
    <row r="51" spans="1:8" ht="12.75">
      <c r="A51" s="238">
        <v>305</v>
      </c>
      <c r="B51" s="239">
        <v>47.15</v>
      </c>
      <c r="C51" s="239">
        <v>-91.68427806036769</v>
      </c>
      <c r="D51" s="238">
        <v>650081.428172283</v>
      </c>
      <c r="E51" s="238">
        <v>650048.9243721918</v>
      </c>
      <c r="F51" s="238">
        <v>6500.705890256446</v>
      </c>
      <c r="G51" s="239">
        <v>0.009999999930615342</v>
      </c>
      <c r="H51" s="238">
        <v>0.5729577911553752</v>
      </c>
    </row>
    <row r="52" spans="1:8" ht="12.75">
      <c r="A52" s="238">
        <v>305</v>
      </c>
      <c r="B52" s="239">
        <v>47.45</v>
      </c>
      <c r="C52" s="239">
        <v>-91.87674382305293</v>
      </c>
      <c r="D52" s="238">
        <v>686392.9591152666</v>
      </c>
      <c r="E52" s="238">
        <v>686358.6397001843</v>
      </c>
      <c r="F52" s="238">
        <v>6863.820504964085</v>
      </c>
      <c r="G52" s="239">
        <v>0.010000007739490172</v>
      </c>
      <c r="H52" s="238">
        <v>0.5729582385709456</v>
      </c>
    </row>
    <row r="53" spans="1:8" ht="12.75">
      <c r="A53" s="238">
        <v>305</v>
      </c>
      <c r="B53" s="239">
        <v>47.75</v>
      </c>
      <c r="C53" s="239">
        <v>-92.0827146188615</v>
      </c>
      <c r="D53" s="238">
        <v>723107.1732770359</v>
      </c>
      <c r="E53" s="238">
        <v>723071.0182939967</v>
      </c>
      <c r="F53" s="238">
        <v>7230.9437826592075</v>
      </c>
      <c r="G53" s="239">
        <v>0.00999998972044054</v>
      </c>
      <c r="H53" s="238">
        <v>0.5729572061554509</v>
      </c>
    </row>
    <row r="54" spans="1:8" ht="12.75">
      <c r="A54" s="238">
        <v>305</v>
      </c>
      <c r="B54" s="239">
        <v>48.05</v>
      </c>
      <c r="C54" s="239">
        <v>-92.30053981803911</v>
      </c>
      <c r="D54" s="238">
        <v>760165.7513535991</v>
      </c>
      <c r="E54" s="238">
        <v>760127.7434068372</v>
      </c>
      <c r="F54" s="238">
        <v>7601.52841284687</v>
      </c>
      <c r="G54" s="239">
        <v>0.009999996833386598</v>
      </c>
      <c r="H54" s="238">
        <v>0.57295761369724</v>
      </c>
    </row>
    <row r="55" spans="1:8" ht="12.75">
      <c r="A55" s="238">
        <v>305</v>
      </c>
      <c r="B55" s="239">
        <v>48.35</v>
      </c>
      <c r="C55" s="239">
        <v>-92.53205755166202</v>
      </c>
      <c r="D55" s="238">
        <v>797627.481877204</v>
      </c>
      <c r="E55" s="238">
        <v>797587.6007686148</v>
      </c>
      <c r="F55" s="238">
        <v>7976.148565218431</v>
      </c>
      <c r="G55" s="239">
        <v>0.01000000837988873</v>
      </c>
      <c r="H55" s="238">
        <v>0.5729582752630802</v>
      </c>
    </row>
    <row r="56" spans="1:8" ht="12.75">
      <c r="A56" s="238">
        <v>305</v>
      </c>
      <c r="B56" s="239">
        <v>48.65</v>
      </c>
      <c r="C56" s="239">
        <v>-92.78387926479257</v>
      </c>
      <c r="D56" s="238">
        <v>835711.1405887841</v>
      </c>
      <c r="E56" s="238">
        <v>835669.355383981</v>
      </c>
      <c r="F56" s="238">
        <v>8356.971719958223</v>
      </c>
      <c r="G56" s="239">
        <v>0.00999999951962347</v>
      </c>
      <c r="H56" s="238">
        <v>0.5729577676072755</v>
      </c>
    </row>
    <row r="57" spans="1:8" ht="12.75">
      <c r="A57" s="238">
        <v>305</v>
      </c>
      <c r="B57" s="239">
        <v>48.914737086301194</v>
      </c>
      <c r="C57" s="239">
        <v>-93.0792507670349</v>
      </c>
      <c r="D57" s="238">
        <v>871720.7705764407</v>
      </c>
      <c r="E57" s="238">
        <v>871677.1845570473</v>
      </c>
      <c r="F57" s="238">
        <v>8717.096826520481</v>
      </c>
      <c r="G57" s="239">
        <v>0.010000039471980384</v>
      </c>
      <c r="H57" s="238">
        <v>0.5729600567087083</v>
      </c>
    </row>
    <row r="58" spans="1:8" ht="12.75">
      <c r="A58" s="238">
        <v>305</v>
      </c>
      <c r="B58" s="239">
        <v>48.65</v>
      </c>
      <c r="C58" s="239">
        <v>-92.95601092853806</v>
      </c>
      <c r="D58" s="238">
        <v>841490.0270785125</v>
      </c>
      <c r="E58" s="238">
        <v>841447.9529424852</v>
      </c>
      <c r="F58" s="238">
        <v>8414.758552506191</v>
      </c>
      <c r="G58" s="239">
        <v>0.009999998252248017</v>
      </c>
      <c r="H58" s="238">
        <v>0.572957694992011</v>
      </c>
    </row>
    <row r="59" spans="1:8" ht="12.75">
      <c r="A59" s="238">
        <v>305</v>
      </c>
      <c r="B59" s="239">
        <v>48.35</v>
      </c>
      <c r="C59" s="239">
        <v>-92.74923806943202</v>
      </c>
      <c r="D59" s="238">
        <v>804922.0752145485</v>
      </c>
      <c r="E59" s="238">
        <v>804881.8295371187</v>
      </c>
      <c r="F59" s="238">
        <v>8049.077504656363</v>
      </c>
      <c r="G59" s="239">
        <v>0.009999988700849798</v>
      </c>
      <c r="H59" s="238">
        <v>0.5729571477372045</v>
      </c>
    </row>
    <row r="60" spans="1:8" ht="12.75">
      <c r="A60" s="238">
        <v>305</v>
      </c>
      <c r="B60" s="239">
        <v>48.05</v>
      </c>
      <c r="C60" s="239">
        <v>-92.52748199232502</v>
      </c>
      <c r="D60" s="238">
        <v>767791.3373665471</v>
      </c>
      <c r="E60" s="238">
        <v>767752.9481278015</v>
      </c>
      <c r="F60" s="238">
        <v>7677.784588023124</v>
      </c>
      <c r="G60" s="239">
        <v>0.009999998930568384</v>
      </c>
      <c r="H60" s="238">
        <v>0.5729577338569052</v>
      </c>
    </row>
    <row r="61" spans="1:8" ht="12.75">
      <c r="A61" s="238">
        <v>305</v>
      </c>
      <c r="B61" s="239">
        <v>47.75</v>
      </c>
      <c r="C61" s="239">
        <v>-92.29729678116469</v>
      </c>
      <c r="D61" s="238">
        <v>730320.0885966232</v>
      </c>
      <c r="E61" s="238">
        <v>730283.5729026843</v>
      </c>
      <c r="F61" s="238">
        <v>7303.078547386183</v>
      </c>
      <c r="G61" s="239">
        <v>0.009999999152145955</v>
      </c>
      <c r="H61" s="238">
        <v>0.5729577465523648</v>
      </c>
    </row>
    <row r="62" spans="1:8" ht="12.75">
      <c r="A62" s="238">
        <v>305</v>
      </c>
      <c r="B62" s="239">
        <v>47.45</v>
      </c>
      <c r="C62" s="239">
        <v>-92.06046283029796</v>
      </c>
      <c r="D62" s="238">
        <v>692570.4535912295</v>
      </c>
      <c r="E62" s="238">
        <v>692535.8255041076</v>
      </c>
      <c r="F62" s="238">
        <v>6925.574409800636</v>
      </c>
      <c r="G62" s="239">
        <v>0.009999978776145104</v>
      </c>
      <c r="H62" s="238">
        <v>0.5729565790935127</v>
      </c>
    </row>
    <row r="63" spans="1:8" ht="12.75">
      <c r="A63" s="238">
        <v>305</v>
      </c>
      <c r="B63" s="239">
        <v>47.15</v>
      </c>
      <c r="C63" s="239">
        <v>-91.8152726580014</v>
      </c>
      <c r="D63" s="238">
        <v>654487.3326862236</v>
      </c>
      <c r="E63" s="238">
        <v>654454.6085918935</v>
      </c>
      <c r="F63" s="238">
        <v>6544.76428597521</v>
      </c>
      <c r="G63" s="239">
        <v>0.010000000060798233</v>
      </c>
      <c r="H63" s="238">
        <v>0.5729577986143054</v>
      </c>
    </row>
    <row r="64" spans="1:8" ht="12.75">
      <c r="A64" s="238">
        <v>305</v>
      </c>
      <c r="B64" s="239">
        <v>46.87516425560849</v>
      </c>
      <c r="C64" s="239">
        <v>-91.54936643500506</v>
      </c>
      <c r="D64" s="238">
        <v>618165.8180953283</v>
      </c>
      <c r="E64" s="238">
        <v>618134.9100621073</v>
      </c>
      <c r="F64" s="238">
        <v>6181.555142279014</v>
      </c>
      <c r="G64" s="239">
        <v>0.009999999981309814</v>
      </c>
      <c r="H64" s="238">
        <v>0.5729577940599544</v>
      </c>
    </row>
    <row r="65" spans="1:8" ht="12.75">
      <c r="A65" s="238"/>
      <c r="B65" s="239"/>
      <c r="C65" s="239"/>
      <c r="D65" s="238"/>
      <c r="E65" s="238"/>
      <c r="F65" s="238"/>
      <c r="G65" s="239"/>
      <c r="H65" s="238"/>
    </row>
    <row r="66" spans="1:8" ht="12.75">
      <c r="A66" s="238">
        <v>305</v>
      </c>
      <c r="B66" s="239">
        <v>46.36320882501835</v>
      </c>
      <c r="C66" s="239">
        <v>-91.18582550048129</v>
      </c>
      <c r="D66" s="238">
        <v>554873.3035140133</v>
      </c>
      <c r="E66" s="238">
        <v>554810.881577753</v>
      </c>
      <c r="F66" s="238">
        <v>8322.778110148054</v>
      </c>
      <c r="G66" s="239">
        <v>0.0149999831837469</v>
      </c>
      <c r="H66" s="238">
        <v>0.8594357291959049</v>
      </c>
    </row>
    <row r="67" spans="1:8" ht="12.75">
      <c r="A67" s="112">
        <v>305</v>
      </c>
      <c r="B67" s="229">
        <v>46.4</v>
      </c>
      <c r="C67" s="229">
        <v>-91.18774539821926</v>
      </c>
      <c r="D67" s="112">
        <v>558614.5444248808</v>
      </c>
      <c r="E67" s="112">
        <v>558551.7014344642</v>
      </c>
      <c r="F67" s="112">
        <v>8378.906114897918</v>
      </c>
      <c r="G67" s="229">
        <v>0.01500000387729726</v>
      </c>
      <c r="H67" s="112">
        <v>0.8594369148490038</v>
      </c>
    </row>
    <row r="68" spans="1:8" ht="12.75">
      <c r="A68" s="112">
        <v>305</v>
      </c>
      <c r="B68" s="229">
        <v>46.7</v>
      </c>
      <c r="C68" s="229">
        <v>-91.34535186303994</v>
      </c>
      <c r="D68" s="112">
        <v>593874.1272787984</v>
      </c>
      <c r="E68" s="112">
        <v>593807.3176978282</v>
      </c>
      <c r="F68" s="112">
        <v>8907.777481783683</v>
      </c>
      <c r="G68" s="229">
        <v>0.01499999936518164</v>
      </c>
      <c r="H68" s="112">
        <v>0.859436656323822</v>
      </c>
    </row>
    <row r="69" spans="1:8" ht="12.75">
      <c r="A69" s="112">
        <v>305</v>
      </c>
      <c r="B69" s="229">
        <v>47</v>
      </c>
      <c r="C69" s="229">
        <v>-91.52885166379767</v>
      </c>
      <c r="D69" s="112">
        <v>629959.7929272695</v>
      </c>
      <c r="E69" s="112">
        <v>629888.9237687988</v>
      </c>
      <c r="F69" s="112">
        <v>9449.043250639505</v>
      </c>
      <c r="G69" s="229">
        <v>0.015000001119447439</v>
      </c>
      <c r="H69" s="112">
        <v>0.8594367568358484</v>
      </c>
    </row>
    <row r="70" spans="1:8" ht="12.75">
      <c r="A70" s="112">
        <v>305</v>
      </c>
      <c r="B70" s="229">
        <v>47.3</v>
      </c>
      <c r="C70" s="229">
        <v>-91.72264848927327</v>
      </c>
      <c r="D70" s="112">
        <v>666344.2067826038</v>
      </c>
      <c r="E70" s="112">
        <v>666269.2444645134</v>
      </c>
      <c r="F70" s="112">
        <v>9994.788313107729</v>
      </c>
      <c r="G70" s="229">
        <v>0.015000000038675507</v>
      </c>
      <c r="H70" s="112">
        <v>0.8594366949121781</v>
      </c>
    </row>
    <row r="71" spans="1:8" ht="12.75">
      <c r="A71" s="112">
        <v>305</v>
      </c>
      <c r="B71" s="229">
        <v>47.6</v>
      </c>
      <c r="C71" s="229">
        <v>-91.92474463804886</v>
      </c>
      <c r="D71" s="112">
        <v>702957.6346318063</v>
      </c>
      <c r="E71" s="112">
        <v>702878.5538023668</v>
      </c>
      <c r="F71" s="112">
        <v>10543.941001230061</v>
      </c>
      <c r="G71" s="229">
        <v>0.01499996000870166</v>
      </c>
      <c r="H71" s="112">
        <v>0.8594344013636227</v>
      </c>
    </row>
    <row r="72" spans="1:8" ht="12.75">
      <c r="A72" s="112">
        <v>305</v>
      </c>
      <c r="B72" s="229">
        <v>47.9</v>
      </c>
      <c r="C72" s="229">
        <v>-92.13504060311074</v>
      </c>
      <c r="D72" s="112">
        <v>739794.1071377274</v>
      </c>
      <c r="E72" s="112">
        <v>739710.8818438037</v>
      </c>
      <c r="F72" s="112">
        <v>11096.496634963702</v>
      </c>
      <c r="G72" s="229">
        <v>0.01500000156466749</v>
      </c>
      <c r="H72" s="112">
        <v>0.8594367823450784</v>
      </c>
    </row>
    <row r="73" spans="1:8" ht="12.75">
      <c r="A73" s="112">
        <v>305</v>
      </c>
      <c r="B73" s="229">
        <v>48.2</v>
      </c>
      <c r="C73" s="229">
        <v>-92.35431880158212</v>
      </c>
      <c r="D73" s="112">
        <v>776877.1716514555</v>
      </c>
      <c r="E73" s="112">
        <v>776789.7745968723</v>
      </c>
      <c r="F73" s="112">
        <v>11652.721351911958</v>
      </c>
      <c r="G73" s="229">
        <v>0.01500000098563737</v>
      </c>
      <c r="H73" s="112">
        <v>0.8594367491690963</v>
      </c>
    </row>
    <row r="74" spans="1:8" ht="12.75">
      <c r="A74" s="112">
        <v>305</v>
      </c>
      <c r="B74" s="229">
        <v>48.5</v>
      </c>
      <c r="C74" s="229">
        <v>-92.58422368247386</v>
      </c>
      <c r="D74" s="112">
        <v>814259.163274464</v>
      </c>
      <c r="E74" s="112">
        <v>814167.5607201551</v>
      </c>
      <c r="F74" s="112">
        <v>12213.437166610232</v>
      </c>
      <c r="G74" s="229">
        <v>0.015000009498192116</v>
      </c>
      <c r="H74" s="112">
        <v>0.8594372369025561</v>
      </c>
    </row>
    <row r="75" spans="1:8" ht="12.75">
      <c r="A75" s="112">
        <v>305</v>
      </c>
      <c r="B75" s="229">
        <v>48.8</v>
      </c>
      <c r="C75" s="229">
        <v>-92.82789754302138</v>
      </c>
      <c r="D75" s="112">
        <v>852042.460390065</v>
      </c>
      <c r="E75" s="112">
        <v>851946.6072929001</v>
      </c>
      <c r="F75" s="112">
        <v>12780.165479075373</v>
      </c>
      <c r="G75" s="229">
        <v>0.015000009204469502</v>
      </c>
      <c r="H75" s="112">
        <v>0.85943722007349</v>
      </c>
    </row>
    <row r="76" spans="1:8" ht="12.75">
      <c r="A76" s="112">
        <v>305</v>
      </c>
      <c r="B76" s="229">
        <v>49.1</v>
      </c>
      <c r="C76" s="229">
        <v>-93.09261349207851</v>
      </c>
      <c r="D76" s="112">
        <v>890467.6608592767</v>
      </c>
      <c r="E76" s="112">
        <v>890367.4851385951</v>
      </c>
      <c r="F76" s="112">
        <v>13356.513173922633</v>
      </c>
      <c r="G76" s="229">
        <v>0.014999999037990203</v>
      </c>
      <c r="H76" s="112">
        <v>0.8594366375771336</v>
      </c>
    </row>
    <row r="77" spans="1:8" ht="12.75">
      <c r="A77" s="112">
        <v>305</v>
      </c>
      <c r="B77" s="229">
        <v>49.4</v>
      </c>
      <c r="C77" s="229">
        <v>-93.41844912290105</v>
      </c>
      <c r="D77" s="112">
        <v>930874.5816429408</v>
      </c>
      <c r="E77" s="112">
        <v>930769.8601329828</v>
      </c>
      <c r="F77" s="112">
        <v>13962.60065129022</v>
      </c>
      <c r="G77" s="229">
        <v>0.01500000594959921</v>
      </c>
      <c r="H77" s="112">
        <v>0.8594370335831594</v>
      </c>
    </row>
    <row r="78" spans="1:8" ht="12.75">
      <c r="A78" s="112">
        <v>305</v>
      </c>
      <c r="B78" s="229">
        <v>49.421891281038654</v>
      </c>
      <c r="C78" s="229">
        <v>-93.48172797586204</v>
      </c>
      <c r="D78" s="112">
        <v>935144.7686621714</v>
      </c>
      <c r="E78" s="112">
        <v>935039.5667925351</v>
      </c>
      <c r="F78" s="112">
        <v>14026.649231171985</v>
      </c>
      <c r="G78" s="229">
        <v>0.015000003972296186</v>
      </c>
      <c r="H78" s="112">
        <v>0.8594369202920412</v>
      </c>
    </row>
    <row r="79" spans="1:8" ht="12.75">
      <c r="A79" s="112">
        <v>305</v>
      </c>
      <c r="B79" s="229">
        <v>49.4</v>
      </c>
      <c r="C79" s="229">
        <v>-93.49360801443889</v>
      </c>
      <c r="D79" s="112">
        <v>933394.7054725905</v>
      </c>
      <c r="E79" s="112">
        <v>933289.7005238436</v>
      </c>
      <c r="F79" s="112">
        <v>14000.396436462219</v>
      </c>
      <c r="G79" s="229">
        <v>0.015000000946103428</v>
      </c>
      <c r="H79" s="112">
        <v>0.8594367469039682</v>
      </c>
    </row>
    <row r="80" spans="1:8" ht="12.75">
      <c r="A80" s="112">
        <v>305</v>
      </c>
      <c r="B80" s="229">
        <v>49.1</v>
      </c>
      <c r="C80" s="229">
        <v>-93.34719248429474</v>
      </c>
      <c r="D80" s="112">
        <v>899008.6919969608</v>
      </c>
      <c r="E80" s="112">
        <v>898907.5553697692</v>
      </c>
      <c r="F80" s="112">
        <v>13484.62773796877</v>
      </c>
      <c r="G80" s="229">
        <v>0.015000003387127609</v>
      </c>
      <c r="H80" s="112">
        <v>0.8594368867643515</v>
      </c>
    </row>
    <row r="81" spans="1:8" ht="12.75">
      <c r="A81" s="112">
        <v>305</v>
      </c>
      <c r="B81" s="229">
        <v>48.8</v>
      </c>
      <c r="C81" s="229">
        <v>-93.14511674496802</v>
      </c>
      <c r="D81" s="112">
        <v>862690.5839159157</v>
      </c>
      <c r="E81" s="112">
        <v>862593.5335027132</v>
      </c>
      <c r="F81" s="112">
        <v>12939.842985419447</v>
      </c>
      <c r="G81" s="229">
        <v>0.014999964623749374</v>
      </c>
      <c r="H81" s="112">
        <v>0.859434665786379</v>
      </c>
    </row>
    <row r="82" spans="1:8" ht="12.75">
      <c r="A82" s="112">
        <v>305</v>
      </c>
      <c r="B82" s="229">
        <v>48.5</v>
      </c>
      <c r="C82" s="229">
        <v>-92.92740714267596</v>
      </c>
      <c r="D82" s="112">
        <v>825784.3001502048</v>
      </c>
      <c r="E82" s="112">
        <v>825691.4011561049</v>
      </c>
      <c r="F82" s="112">
        <v>12386.300151046797</v>
      </c>
      <c r="G82" s="229">
        <v>0.015000000178319551</v>
      </c>
      <c r="H82" s="112">
        <v>0.8594367029131925</v>
      </c>
    </row>
    <row r="83" spans="1:8" ht="12.75">
      <c r="A83" s="112">
        <v>305</v>
      </c>
      <c r="B83" s="229">
        <v>48.2</v>
      </c>
      <c r="C83" s="229">
        <v>-92.701279640929</v>
      </c>
      <c r="D83" s="112">
        <v>788534.1777309036</v>
      </c>
      <c r="E83" s="112">
        <v>788445.469299006</v>
      </c>
      <c r="F83" s="112">
        <v>11827.56913411958</v>
      </c>
      <c r="G83" s="229">
        <v>0.015000000017301238</v>
      </c>
      <c r="H83" s="112">
        <v>0.8594366936875227</v>
      </c>
    </row>
    <row r="84" spans="1:8" ht="12.75">
      <c r="A84" s="112">
        <v>305</v>
      </c>
      <c r="B84" s="229">
        <v>47.9</v>
      </c>
      <c r="C84" s="229">
        <v>-92.46982068541278</v>
      </c>
      <c r="D84" s="112">
        <v>751046.2226502895</v>
      </c>
      <c r="E84" s="112">
        <v>750961.7315057144</v>
      </c>
      <c r="F84" s="112">
        <v>11265.272797750384</v>
      </c>
      <c r="G84" s="229">
        <v>0.015000002552385176</v>
      </c>
      <c r="H84" s="112">
        <v>0.8594368389371331</v>
      </c>
    </row>
    <row r="85" spans="1:8" ht="12.75">
      <c r="A85" s="112">
        <v>305</v>
      </c>
      <c r="B85" s="229">
        <v>47.6</v>
      </c>
      <c r="C85" s="229">
        <v>-92.23461805820945</v>
      </c>
      <c r="D85" s="112">
        <v>713376.2157725423</v>
      </c>
      <c r="E85" s="112">
        <v>713295.9624524972</v>
      </c>
      <c r="F85" s="112">
        <v>10700.242002802492</v>
      </c>
      <c r="G85" s="229">
        <v>0.015000000050219574</v>
      </c>
      <c r="H85" s="112">
        <v>0.8594366955736045</v>
      </c>
    </row>
    <row r="86" spans="1:8" ht="12.75">
      <c r="A86" s="112">
        <v>305</v>
      </c>
      <c r="B86" s="229">
        <v>47.3</v>
      </c>
      <c r="C86" s="229">
        <v>-91.99639503625285</v>
      </c>
      <c r="D86" s="112">
        <v>675550.9208180307</v>
      </c>
      <c r="E86" s="112">
        <v>675474.9227830004</v>
      </c>
      <c r="F86" s="112">
        <v>10132.88258043411</v>
      </c>
      <c r="G86" s="229">
        <v>0.014999998166151997</v>
      </c>
      <c r="H86" s="112">
        <v>0.859436587624484</v>
      </c>
    </row>
    <row r="87" spans="1:8" ht="12.75">
      <c r="A87" s="112">
        <v>305</v>
      </c>
      <c r="B87" s="229">
        <v>47</v>
      </c>
      <c r="C87" s="229">
        <v>-91.7549946478198</v>
      </c>
      <c r="D87" s="112">
        <v>637567.4937943381</v>
      </c>
      <c r="E87" s="112">
        <v>637495.7690015866</v>
      </c>
      <c r="F87" s="112">
        <v>9563.14008415226</v>
      </c>
      <c r="G87" s="229">
        <v>0.014999978517375636</v>
      </c>
      <c r="H87" s="112">
        <v>0.859435461832526</v>
      </c>
    </row>
    <row r="88" spans="1:8" ht="12.75">
      <c r="A88" s="112">
        <v>305</v>
      </c>
      <c r="B88" s="229">
        <v>46.7</v>
      </c>
      <c r="C88" s="229">
        <v>-91.50836016257173</v>
      </c>
      <c r="D88" s="112">
        <v>599359.1358254843</v>
      </c>
      <c r="E88" s="112">
        <v>599291.7093866515</v>
      </c>
      <c r="F88" s="112">
        <v>8990.036590388365</v>
      </c>
      <c r="G88" s="229">
        <v>0.0149999777883248</v>
      </c>
      <c r="H88" s="112">
        <v>0.85943542006099</v>
      </c>
    </row>
    <row r="89" spans="1:8" ht="12.75">
      <c r="A89" s="112">
        <v>305</v>
      </c>
      <c r="B89" s="229">
        <v>46.4</v>
      </c>
      <c r="C89" s="229">
        <v>-91.24083652854601</v>
      </c>
      <c r="D89" s="112">
        <v>560401.3210984813</v>
      </c>
      <c r="E89" s="112">
        <v>560338.2769776646</v>
      </c>
      <c r="F89" s="112">
        <v>8405.714878889085</v>
      </c>
      <c r="G89" s="229">
        <v>0.015000018354285499</v>
      </c>
      <c r="H89" s="112">
        <v>0.85943774431933</v>
      </c>
    </row>
    <row r="90" spans="1:8" ht="12.75">
      <c r="A90" s="238">
        <v>305</v>
      </c>
      <c r="B90" s="239">
        <v>46.36320882501835</v>
      </c>
      <c r="C90" s="239">
        <v>-91.18582550048129</v>
      </c>
      <c r="D90" s="238">
        <v>554873.3035140133</v>
      </c>
      <c r="E90" s="238">
        <v>554810.881577753</v>
      </c>
      <c r="F90" s="238">
        <v>8322.778110148054</v>
      </c>
      <c r="G90" s="239">
        <v>0.0149999831837469</v>
      </c>
      <c r="H90" s="238">
        <v>0.8594357291959049</v>
      </c>
    </row>
    <row r="91" spans="1:8" ht="12.75">
      <c r="A91" s="112"/>
      <c r="B91" s="229"/>
      <c r="C91" s="229"/>
      <c r="D91" s="112"/>
      <c r="E91" s="112"/>
      <c r="F91" s="112"/>
      <c r="G91" s="229"/>
      <c r="H91" s="112"/>
    </row>
    <row r="92" spans="1:8" ht="12.75">
      <c r="A92" s="112"/>
      <c r="B92" s="229"/>
      <c r="C92" s="229"/>
      <c r="D92" s="112"/>
      <c r="E92" s="112"/>
      <c r="F92" s="112"/>
      <c r="G92" s="229"/>
      <c r="H92" s="112"/>
    </row>
    <row r="93" spans="1:8" ht="12.75">
      <c r="A93" s="112"/>
      <c r="B93" s="229"/>
      <c r="C93" s="229"/>
      <c r="D93" s="112"/>
      <c r="E93" s="112"/>
      <c r="F93" s="112"/>
      <c r="G93" s="229"/>
      <c r="H93" s="112"/>
    </row>
    <row r="94" spans="1:8" ht="12.75">
      <c r="A94" s="112"/>
      <c r="B94" s="229"/>
      <c r="C94" s="229"/>
      <c r="D94" s="112"/>
      <c r="E94" s="112"/>
      <c r="F94" s="112"/>
      <c r="G94" s="229"/>
      <c r="H94" s="112"/>
    </row>
    <row r="95" spans="1:8" ht="13.5" thickBot="1">
      <c r="A95" s="112"/>
      <c r="B95" s="229"/>
      <c r="C95" s="229"/>
      <c r="D95" s="112"/>
      <c r="E95" s="112"/>
      <c r="F95" s="112"/>
      <c r="G95" s="229"/>
      <c r="H95" s="112"/>
    </row>
    <row r="96" spans="1:8" ht="12.75">
      <c r="A96" s="182" t="s">
        <v>416</v>
      </c>
      <c r="B96" s="183"/>
      <c r="C96" s="183"/>
      <c r="D96" s="184"/>
      <c r="E96" s="183" t="s">
        <v>417</v>
      </c>
      <c r="F96" s="185"/>
      <c r="G96" s="186"/>
      <c r="H96" s="187"/>
    </row>
    <row r="97" spans="1:8" ht="15" thickBot="1">
      <c r="A97" s="188">
        <v>0</v>
      </c>
      <c r="B97" s="50" t="s">
        <v>17</v>
      </c>
      <c r="C97" s="51" t="s">
        <v>18</v>
      </c>
      <c r="D97" s="168">
        <v>0</v>
      </c>
      <c r="E97" s="167">
        <v>0</v>
      </c>
      <c r="F97" s="167">
        <v>0</v>
      </c>
      <c r="G97" s="50" t="s">
        <v>17</v>
      </c>
      <c r="H97" s="189" t="s">
        <v>18</v>
      </c>
    </row>
    <row r="98" spans="1:8" ht="13.5" thickBot="1">
      <c r="A98" s="190">
        <v>41</v>
      </c>
      <c r="B98" s="164">
        <v>49</v>
      </c>
      <c r="C98" s="157">
        <v>55.28462450056168</v>
      </c>
      <c r="D98" s="169">
        <f>A98+(B98+C98/60)/60</f>
        <v>41.83202350680571</v>
      </c>
      <c r="E98" s="165">
        <v>41.83202350680571</v>
      </c>
      <c r="F98" s="166">
        <f>ROUNDDOWN(E98,0)</f>
        <v>41</v>
      </c>
      <c r="G98" s="166">
        <f>ROUNDDOWN((E98-F98)*60,0)</f>
        <v>49</v>
      </c>
      <c r="H98" s="191">
        <f>((E98-F98)*60-G98)*60</f>
        <v>55.28462450056168</v>
      </c>
    </row>
    <row r="99" spans="1:8" ht="12.75">
      <c r="A99" s="192" t="s">
        <v>428</v>
      </c>
      <c r="B99" s="172"/>
      <c r="C99" s="44"/>
      <c r="D99" s="45"/>
      <c r="E99" s="173"/>
      <c r="F99" s="166"/>
      <c r="G99" s="166"/>
      <c r="H99" s="191"/>
    </row>
    <row r="100" spans="1:8" ht="13.5" thickBot="1">
      <c r="A100" s="193" t="s">
        <v>430</v>
      </c>
      <c r="B100" s="194"/>
      <c r="C100" s="194"/>
      <c r="D100" s="194"/>
      <c r="E100" s="194"/>
      <c r="F100" s="194"/>
      <c r="G100" s="195"/>
      <c r="H100" s="196"/>
    </row>
    <row r="101" spans="1:8" ht="13.5" thickBot="1">
      <c r="A101" s="45"/>
      <c r="B101" s="45"/>
      <c r="C101" s="45"/>
      <c r="D101" s="45"/>
      <c r="E101" s="45"/>
      <c r="F101" s="45"/>
      <c r="G101" s="51"/>
      <c r="H101" s="62"/>
    </row>
    <row r="102" spans="1:8" ht="12.75">
      <c r="A102" s="197" t="s">
        <v>448</v>
      </c>
      <c r="B102" s="198"/>
      <c r="C102" s="199"/>
      <c r="D102" s="45"/>
      <c r="E102" s="206"/>
      <c r="F102" s="207" t="s">
        <v>450</v>
      </c>
      <c r="G102" s="208"/>
      <c r="H102" s="62"/>
    </row>
    <row r="103" spans="1:8" ht="13.5" thickBot="1">
      <c r="A103" s="200" t="s">
        <v>449</v>
      </c>
      <c r="B103" s="45"/>
      <c r="C103" s="201"/>
      <c r="D103" s="45"/>
      <c r="E103" s="209"/>
      <c r="F103" s="47" t="s">
        <v>451</v>
      </c>
      <c r="G103" s="210" t="s">
        <v>452</v>
      </c>
      <c r="H103" s="62"/>
    </row>
    <row r="104" spans="1:8" ht="13.5" thickBot="1">
      <c r="A104" s="202" t="s">
        <v>432</v>
      </c>
      <c r="B104" s="47" t="s">
        <v>431</v>
      </c>
      <c r="C104" s="203" t="s">
        <v>433</v>
      </c>
      <c r="D104" s="45"/>
      <c r="E104" s="209">
        <v>1</v>
      </c>
      <c r="F104" s="180">
        <v>48.2</v>
      </c>
      <c r="G104" s="211">
        <v>-92.701279640929</v>
      </c>
      <c r="H104" s="62"/>
    </row>
    <row r="105" spans="1:8" ht="13.5" thickBot="1">
      <c r="A105" s="237">
        <v>1105.6430446194227</v>
      </c>
      <c r="B105" s="204">
        <v>-32</v>
      </c>
      <c r="C105" s="205">
        <f>$A105*12*0.0254+$B105</f>
        <v>305</v>
      </c>
      <c r="D105" s="45"/>
      <c r="E105" s="209">
        <v>2</v>
      </c>
      <c r="F105" s="180">
        <v>47.9</v>
      </c>
      <c r="G105" s="236">
        <v>-92.46982068541278</v>
      </c>
      <c r="H105" s="62"/>
    </row>
    <row r="106" spans="1:8" ht="13.5" thickBot="1">
      <c r="A106" s="172"/>
      <c r="B106" s="54"/>
      <c r="C106" s="48"/>
      <c r="D106" s="45"/>
      <c r="E106" s="212"/>
      <c r="F106" s="213">
        <f>F104+((G106-G104)*(F105-F104))/(G105-G104)</f>
        <v>48.09559750572274</v>
      </c>
      <c r="G106" s="181">
        <v>-92.62073</v>
      </c>
      <c r="H106" s="62"/>
    </row>
    <row r="107" spans="7:8" ht="13.5" thickBot="1">
      <c r="G107" s="4"/>
      <c r="H107" s="26"/>
    </row>
    <row r="108" spans="2:9" ht="12.75">
      <c r="B108" s="214" t="s">
        <v>442</v>
      </c>
      <c r="C108" s="215"/>
      <c r="D108" s="215"/>
      <c r="E108" s="215"/>
      <c r="F108" s="216" t="s">
        <v>147</v>
      </c>
      <c r="G108" s="215"/>
      <c r="H108" s="217"/>
      <c r="I108" s="62"/>
    </row>
    <row r="109" spans="2:9" ht="15" thickBot="1">
      <c r="B109" s="218"/>
      <c r="C109" s="45"/>
      <c r="D109" s="171" t="s">
        <v>426</v>
      </c>
      <c r="E109" s="45"/>
      <c r="F109" s="45"/>
      <c r="G109" s="45"/>
      <c r="H109" s="219"/>
      <c r="I109" s="45"/>
    </row>
    <row r="110" spans="2:9" ht="15" thickBot="1">
      <c r="B110" s="218"/>
      <c r="C110" s="51" t="s">
        <v>411</v>
      </c>
      <c r="D110" s="36">
        <v>44.814108483677764</v>
      </c>
      <c r="E110" s="53" t="s">
        <v>443</v>
      </c>
      <c r="F110" s="161" t="s">
        <v>155</v>
      </c>
      <c r="G110" s="161" t="s">
        <v>139</v>
      </c>
      <c r="H110" s="220" t="s">
        <v>140</v>
      </c>
      <c r="I110" s="45"/>
    </row>
    <row r="111" spans="2:9" ht="13.5" thickBot="1">
      <c r="B111" s="218"/>
      <c r="C111" s="48">
        <f>SQRT(F111*F111+G111*G111)/COS((D112*PI())/180)-$A$6/SQRT(1-$C$6*POWER(SIN((D112*PI())/180),2))</f>
        <v>-10661.952543674968</v>
      </c>
      <c r="D111" s="163">
        <f>D112</f>
        <v>44.81410848367912</v>
      </c>
      <c r="E111" s="45">
        <f>(180/PI())*ATAN2(F111,G111)</f>
        <v>-90.13055634596189</v>
      </c>
      <c r="F111" s="157">
        <v>-10309.942284347824</v>
      </c>
      <c r="G111" s="157">
        <v>-4524599.3459260855</v>
      </c>
      <c r="H111" s="221">
        <v>4465202.60433257</v>
      </c>
      <c r="I111" s="45"/>
    </row>
    <row r="112" spans="2:9" ht="14.25">
      <c r="B112" s="218"/>
      <c r="C112" s="53" t="s">
        <v>427</v>
      </c>
      <c r="D112" s="49">
        <f>(180/PI())*ATAN(H111/(SQRT(F111*F111+G111*G111))*(1+$C$6*$A$6*SIN((D110*PI())/180)/(H111*SQRT(1-$C$6*POWER(SIN((D110*PI())/180),2)))))</f>
        <v>44.81410848367912</v>
      </c>
      <c r="E112" s="160">
        <v>0</v>
      </c>
      <c r="F112" s="45"/>
      <c r="G112" s="45"/>
      <c r="H112" s="219"/>
      <c r="I112" s="45"/>
    </row>
    <row r="113" spans="2:9" ht="14.25">
      <c r="B113" s="218"/>
      <c r="C113" s="53" t="s">
        <v>429</v>
      </c>
      <c r="D113" s="45">
        <f>(180/PI())*ATAN(H111/((1-$C$6)*SQRT(F111*F111+G111*G111)))</f>
        <v>44.813785739545395</v>
      </c>
      <c r="E113" s="174" t="s">
        <v>437</v>
      </c>
      <c r="F113" s="45"/>
      <c r="G113" s="45"/>
      <c r="H113" s="219"/>
      <c r="I113" s="45"/>
    </row>
    <row r="114" spans="2:9" ht="12.75">
      <c r="B114" s="218" t="s">
        <v>412</v>
      </c>
      <c r="C114" s="45"/>
      <c r="D114" s="45"/>
      <c r="E114" s="45" t="s">
        <v>438</v>
      </c>
      <c r="F114" s="45"/>
      <c r="G114" s="45"/>
      <c r="H114" s="219"/>
      <c r="I114" s="45"/>
    </row>
    <row r="115" spans="2:9" ht="12.75">
      <c r="B115" s="218" t="s">
        <v>413</v>
      </c>
      <c r="C115" s="45"/>
      <c r="D115" s="45"/>
      <c r="E115" s="45" t="s">
        <v>439</v>
      </c>
      <c r="F115" s="45"/>
      <c r="G115" s="56"/>
      <c r="H115" s="219"/>
      <c r="I115" s="45"/>
    </row>
    <row r="116" spans="2:9" ht="12.75">
      <c r="B116" s="218" t="s">
        <v>414</v>
      </c>
      <c r="C116" s="45"/>
      <c r="D116" s="45"/>
      <c r="E116" s="162" t="s">
        <v>440</v>
      </c>
      <c r="F116" s="45"/>
      <c r="G116" s="45"/>
      <c r="H116" s="219"/>
      <c r="I116" s="45"/>
    </row>
    <row r="117" spans="2:9" ht="13.5" thickBot="1">
      <c r="B117" s="222" t="s">
        <v>415</v>
      </c>
      <c r="C117" s="223"/>
      <c r="D117" s="223"/>
      <c r="E117" s="224" t="s">
        <v>441</v>
      </c>
      <c r="F117" s="223"/>
      <c r="G117" s="223"/>
      <c r="H117" s="225"/>
      <c r="I117" s="45"/>
    </row>
    <row r="118" spans="3:8" ht="12.75">
      <c r="C118" s="45"/>
      <c r="D118" s="45"/>
      <c r="E118" s="45"/>
      <c r="F118" s="45"/>
      <c r="G118" s="45"/>
      <c r="H118" s="45"/>
    </row>
    <row r="119" spans="1:8" ht="12.75">
      <c r="A119" t="s">
        <v>108</v>
      </c>
      <c r="B119" t="s">
        <v>260</v>
      </c>
      <c r="C119">
        <v>153.96829709410667</v>
      </c>
      <c r="D119">
        <v>41.83202350680571</v>
      </c>
      <c r="E119" s="45">
        <v>-88.26555873341539</v>
      </c>
      <c r="F119" s="45">
        <v>144058.55234079924</v>
      </c>
      <c r="G119">
        <v>-4757396.9876393</v>
      </c>
      <c r="H119">
        <v>4231823.074484399</v>
      </c>
    </row>
    <row r="120" spans="2:10" ht="12.75">
      <c r="B120">
        <v>0.495</v>
      </c>
      <c r="C120">
        <v>-10661.952543240972</v>
      </c>
      <c r="D120">
        <v>44.814108483683064</v>
      </c>
      <c r="E120">
        <v>-90.13055634596189</v>
      </c>
      <c r="F120">
        <v>-10309.942284347824</v>
      </c>
      <c r="G120">
        <v>-4524599.3459260855</v>
      </c>
      <c r="H120">
        <v>4465202.60433257</v>
      </c>
      <c r="I120">
        <v>363992.27886346926</v>
      </c>
      <c r="J120">
        <v>279328.4341417251</v>
      </c>
    </row>
    <row r="122" spans="1:3" ht="12.75">
      <c r="A122" t="s">
        <v>478</v>
      </c>
      <c r="B122" t="s">
        <v>479</v>
      </c>
      <c r="C122" t="s">
        <v>269</v>
      </c>
    </row>
    <row r="123" spans="1:2" ht="12.75">
      <c r="A123">
        <v>0.9071876779605503</v>
      </c>
      <c r="B123">
        <v>1.3354525379439366</v>
      </c>
    </row>
    <row r="125" spans="1:2" ht="12.75">
      <c r="A125" s="2">
        <v>47.45</v>
      </c>
      <c r="B125">
        <v>-95</v>
      </c>
    </row>
    <row r="126" spans="1:2" ht="12.75">
      <c r="A126" s="2">
        <f>A125-A123</f>
        <v>46.54281232203945</v>
      </c>
      <c r="B126">
        <v>-95</v>
      </c>
    </row>
    <row r="128" spans="1:2" ht="12.75">
      <c r="A128" s="2">
        <v>46.5</v>
      </c>
      <c r="B128">
        <v>-94</v>
      </c>
    </row>
    <row r="129" spans="1:2" ht="12.75">
      <c r="A129" s="2">
        <v>46.5</v>
      </c>
      <c r="B129" s="2">
        <f>B128+B123</f>
        <v>-92.66454746205606</v>
      </c>
    </row>
    <row r="130" spans="1:2" ht="12.75">
      <c r="A130" s="2">
        <v>46.55</v>
      </c>
      <c r="B130" s="2">
        <v>-92.66454746205606</v>
      </c>
    </row>
    <row r="131" spans="1:2" ht="12.75">
      <c r="A131" s="2">
        <v>46.45</v>
      </c>
      <c r="B131" s="2">
        <v>-92.66454746205606</v>
      </c>
    </row>
    <row r="132" spans="1:2" ht="12.75">
      <c r="A132" s="2">
        <v>46.5</v>
      </c>
      <c r="B132">
        <v>-94</v>
      </c>
    </row>
    <row r="133" spans="1:2" ht="12.75">
      <c r="A133" s="2">
        <v>46.55</v>
      </c>
      <c r="B133">
        <v>-94</v>
      </c>
    </row>
    <row r="134" spans="1:2" ht="12.75">
      <c r="A134" s="2">
        <v>46.45</v>
      </c>
      <c r="B134">
        <v>-94</v>
      </c>
    </row>
  </sheetData>
  <printOptions/>
  <pageMargins left="0.5" right="0.2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"/>
  <dimension ref="A1:M118"/>
  <sheetViews>
    <sheetView workbookViewId="0" topLeftCell="A1">
      <selection activeCell="I81" sqref="I81"/>
    </sheetView>
  </sheetViews>
  <sheetFormatPr defaultColWidth="9.140625" defaultRowHeight="12.75"/>
  <cols>
    <col min="1" max="1" width="11.7109375" style="0" customWidth="1"/>
    <col min="2" max="2" width="12.28125" style="0" customWidth="1"/>
    <col min="3" max="3" width="13.140625" style="0" customWidth="1"/>
    <col min="4" max="4" width="12.7109375" style="0" customWidth="1"/>
    <col min="5" max="6" width="12.421875" style="0" customWidth="1"/>
    <col min="7" max="7" width="13.28125" style="0" customWidth="1"/>
    <col min="8" max="8" width="12.7109375" style="0" customWidth="1"/>
    <col min="9" max="9" width="15.00390625" style="0" customWidth="1"/>
  </cols>
  <sheetData>
    <row r="1" spans="2:9" ht="12.75">
      <c r="B1" s="10"/>
      <c r="C1" s="10" t="s">
        <v>462</v>
      </c>
      <c r="I1" s="170"/>
    </row>
    <row r="2" spans="2:9" ht="13.5" thickBot="1">
      <c r="B2" s="10"/>
      <c r="C2" s="10" t="s">
        <v>552</v>
      </c>
      <c r="I2" s="170"/>
    </row>
    <row r="3" spans="1:2" ht="13.5" thickBot="1">
      <c r="A3" s="159" t="s">
        <v>401</v>
      </c>
      <c r="B3" s="10"/>
    </row>
    <row r="4" ht="12.75">
      <c r="A4" s="10" t="s">
        <v>453</v>
      </c>
    </row>
    <row r="5" spans="1:6" ht="14.25">
      <c r="A5" s="1" t="s">
        <v>0</v>
      </c>
      <c r="B5" s="1" t="s">
        <v>1</v>
      </c>
      <c r="C5" s="1" t="s">
        <v>6</v>
      </c>
      <c r="D5" s="1" t="s">
        <v>21</v>
      </c>
      <c r="F5" s="10" t="s">
        <v>20</v>
      </c>
    </row>
    <row r="6" spans="1:5" ht="12.75">
      <c r="A6">
        <v>6378137</v>
      </c>
      <c r="B6" s="2">
        <v>6356752.31414</v>
      </c>
      <c r="C6">
        <f>1-(B6*B6)/(A6*A6)</f>
        <v>0.0066943800230119255</v>
      </c>
      <c r="D6" s="7">
        <f>$A$6/($A$6-$B$6)</f>
        <v>298.2572220960422</v>
      </c>
      <c r="E6" t="s">
        <v>260</v>
      </c>
    </row>
    <row r="8" spans="1:8" ht="12.75">
      <c r="A8" s="10"/>
      <c r="C8" s="12" t="s">
        <v>482</v>
      </c>
      <c r="D8" s="12" t="s">
        <v>483</v>
      </c>
      <c r="F8" s="12" t="s">
        <v>484</v>
      </c>
      <c r="G8" s="12" t="s">
        <v>485</v>
      </c>
      <c r="H8" s="12" t="s">
        <v>483</v>
      </c>
    </row>
    <row r="9" spans="1:8" ht="15" thickBot="1">
      <c r="A9" s="10" t="s">
        <v>404</v>
      </c>
      <c r="C9" t="s">
        <v>4</v>
      </c>
      <c r="D9" s="4" t="s">
        <v>454</v>
      </c>
      <c r="E9" s="4" t="s">
        <v>455</v>
      </c>
      <c r="F9" s="12" t="s">
        <v>157</v>
      </c>
      <c r="G9" s="12" t="s">
        <v>158</v>
      </c>
      <c r="H9" s="12" t="s">
        <v>159</v>
      </c>
    </row>
    <row r="10" spans="1:8" ht="12.75" customHeight="1" thickBot="1">
      <c r="A10" s="155" t="s">
        <v>108</v>
      </c>
      <c r="B10" s="179" t="s">
        <v>260</v>
      </c>
      <c r="C10" s="155">
        <v>153.96829709410667</v>
      </c>
      <c r="D10" s="156">
        <v>41.83202350680571</v>
      </c>
      <c r="E10" s="156">
        <v>-88.26555873341539</v>
      </c>
      <c r="F10" s="2">
        <f>E12*COS(D11)*COS(E11)</f>
        <v>144058.55234079924</v>
      </c>
      <c r="G10" s="2">
        <f>E12*COS(D11)*SIN(E11)</f>
        <v>-4757396.9876393</v>
      </c>
      <c r="H10" s="2">
        <f>($C12*(1-$C$6)+C10)*SIN(D11)</f>
        <v>4231823.074484399</v>
      </c>
    </row>
    <row r="11" spans="2:8" ht="0.75" customHeight="1" hidden="1">
      <c r="B11" s="125"/>
      <c r="C11" s="4" t="s">
        <v>436</v>
      </c>
      <c r="D11" s="154">
        <f>D10*PI()/180</f>
        <v>0.7301065429654242</v>
      </c>
      <c r="E11" s="154">
        <f>E10*PI()/180</f>
        <v>-1.5405246160105344</v>
      </c>
      <c r="H11" s="6"/>
    </row>
    <row r="12" spans="2:8" ht="12.75" hidden="1">
      <c r="B12" s="4" t="s">
        <v>434</v>
      </c>
      <c r="C12" s="2">
        <f>$A$6/SQRT(1-$C$6*(SIN(D11))*(SIN(D11)))</f>
        <v>6387654.672386314</v>
      </c>
      <c r="D12" s="4" t="s">
        <v>435</v>
      </c>
      <c r="E12" s="2">
        <f>C12+C10</f>
        <v>6387808.640683408</v>
      </c>
      <c r="H12" s="6"/>
    </row>
    <row r="13" spans="1:8" ht="13.5" thickBot="1">
      <c r="A13" s="10" t="s">
        <v>406</v>
      </c>
      <c r="C13" s="2"/>
      <c r="D13" s="21"/>
      <c r="E13" s="21"/>
      <c r="F13" s="2"/>
      <c r="G13" s="2"/>
      <c r="H13" s="2"/>
    </row>
    <row r="14" spans="1:13" ht="12" customHeight="1" thickBot="1">
      <c r="A14" s="179" t="s">
        <v>553</v>
      </c>
      <c r="B14" s="179" t="s">
        <v>447</v>
      </c>
      <c r="C14" s="155">
        <v>349</v>
      </c>
      <c r="D14" s="156">
        <v>48.28445</v>
      </c>
      <c r="E14" s="156">
        <v>-92.41651971581052</v>
      </c>
      <c r="F14" s="2">
        <f>E16*COS(D15)*COS(E15)</f>
        <v>-179296.7086349082</v>
      </c>
      <c r="G14" s="2">
        <f>E16*COS(D15)*SIN(E15)</f>
        <v>-4248611.177456987</v>
      </c>
      <c r="H14" s="2">
        <f>($C16*(1-$C$6)+C14)*SIN(D15)</f>
        <v>4738242.258096904</v>
      </c>
      <c r="I14" s="48"/>
      <c r="J14" s="119"/>
      <c r="K14" s="48"/>
      <c r="L14" s="57"/>
      <c r="M14" s="57"/>
    </row>
    <row r="15" spans="2:9" ht="12.75" hidden="1">
      <c r="B15" s="1"/>
      <c r="C15" s="4" t="s">
        <v>436</v>
      </c>
      <c r="D15">
        <f>D14*PI()/180</f>
        <v>0.842722630014576</v>
      </c>
      <c r="E15">
        <f>E14*PI()/180</f>
        <v>-1.6129725522751477</v>
      </c>
      <c r="I15" s="13" t="s">
        <v>269</v>
      </c>
    </row>
    <row r="16" spans="2:5" ht="12.75" hidden="1">
      <c r="B16" s="4" t="s">
        <v>434</v>
      </c>
      <c r="C16" s="2">
        <f>$A$6/SQRT(1-$C$6*(SIN(D15))*(SIN(D15)))</f>
        <v>6390065.932104924</v>
      </c>
      <c r="D16" s="4" t="s">
        <v>435</v>
      </c>
      <c r="E16" s="2">
        <f>C16+C14</f>
        <v>6390414.932104924</v>
      </c>
    </row>
    <row r="17" ht="14.25" hidden="1">
      <c r="C17" s="3"/>
    </row>
    <row r="18" spans="2:8" ht="13.5" thickBot="1">
      <c r="B18" s="10" t="s">
        <v>408</v>
      </c>
      <c r="D18" s="156">
        <v>47.96</v>
      </c>
      <c r="E18" s="12" t="s">
        <v>14</v>
      </c>
      <c r="F18" s="12" t="s">
        <v>398</v>
      </c>
      <c r="G18" s="12" t="s">
        <v>399</v>
      </c>
      <c r="H18" s="12" t="s">
        <v>400</v>
      </c>
    </row>
    <row r="19" spans="2:8" ht="12.75">
      <c r="B19" s="1" t="s">
        <v>102</v>
      </c>
      <c r="C19" s="1" t="s">
        <v>103</v>
      </c>
      <c r="E19" s="2">
        <f>SQRT(F19*F19+G19*G19+H19*H19)</f>
        <v>787325.8632702827</v>
      </c>
      <c r="F19" s="2">
        <f>F14-F10</f>
        <v>-323355.26097570744</v>
      </c>
      <c r="G19" s="2">
        <f>G14-G10</f>
        <v>508785.8101823125</v>
      </c>
      <c r="H19" s="2">
        <f>H14-H10</f>
        <v>506419.183612505</v>
      </c>
    </row>
    <row r="20" spans="2:4" ht="12.75">
      <c r="B20" s="7">
        <f>ATAN2(F23,G23)</f>
        <v>-0.402474151236225</v>
      </c>
      <c r="C20" s="7">
        <f>ASIN(H23/E19)</f>
        <v>-0.06159017758384949</v>
      </c>
      <c r="D20" s="14" t="s">
        <v>104</v>
      </c>
    </row>
    <row r="21" spans="2:6" ht="12.75">
      <c r="B21">
        <f>IF($B20&gt;0,DEGREES($B20),DEGREES($B20)+360)</f>
        <v>336.9399297710543</v>
      </c>
      <c r="C21" s="21">
        <f>C20*180/PI()</f>
        <v>-3.528857235015826</v>
      </c>
      <c r="D21" s="14" t="s">
        <v>95</v>
      </c>
      <c r="F21" s="10" t="s">
        <v>402</v>
      </c>
    </row>
    <row r="22" spans="2:9" ht="12.75">
      <c r="B22" s="21"/>
      <c r="C22" s="21"/>
      <c r="D22" s="14"/>
      <c r="F22" s="1" t="s">
        <v>15</v>
      </c>
      <c r="G22" s="1" t="s">
        <v>16</v>
      </c>
      <c r="H22" s="1" t="s">
        <v>11</v>
      </c>
      <c r="I22" s="13"/>
    </row>
    <row r="23" spans="2:8" ht="11.25" customHeight="1">
      <c r="B23" s="6"/>
      <c r="C23" s="6"/>
      <c r="D23" s="158"/>
      <c r="F23" s="2">
        <f>-SIN(D11)*COS(E11)*F19-SIN(D11)*SIN(E11)*G19+COS(D11)*H19</f>
        <v>723040.8065249543</v>
      </c>
      <c r="G23" s="2">
        <f>-SIN(E11)*F19+COS(E11)*G19</f>
        <v>-307807.65001808986</v>
      </c>
      <c r="H23" s="2">
        <f>COS(D11)*COS(E11)*F19+COS(D11)*SIN(E11)*G19+SIN(D11)*H19</f>
        <v>-48460.887985887064</v>
      </c>
    </row>
    <row r="24" spans="2:4" ht="0.75" customHeight="1">
      <c r="B24" s="6"/>
      <c r="C24" s="6"/>
      <c r="D24" s="14"/>
    </row>
    <row r="26" spans="1:9" ht="12.75">
      <c r="A26" s="10" t="s">
        <v>458</v>
      </c>
      <c r="C26" s="2"/>
      <c r="D26" s="12" t="s">
        <v>403</v>
      </c>
      <c r="G26" s="12" t="s">
        <v>407</v>
      </c>
      <c r="I26" s="2"/>
    </row>
    <row r="27" spans="1:8" ht="14.25">
      <c r="A27" s="10" t="s">
        <v>459</v>
      </c>
      <c r="C27" t="s">
        <v>4</v>
      </c>
      <c r="D27" s="4" t="s">
        <v>454</v>
      </c>
      <c r="E27" s="4" t="s">
        <v>455</v>
      </c>
      <c r="F27" s="12" t="s">
        <v>157</v>
      </c>
      <c r="G27" s="12" t="s">
        <v>158</v>
      </c>
      <c r="H27" s="12" t="s">
        <v>159</v>
      </c>
    </row>
    <row r="28" spans="1:8" ht="12.75">
      <c r="A28" s="10"/>
      <c r="B28" s="1" t="s">
        <v>108</v>
      </c>
      <c r="C28" s="2">
        <v>153.96829709410667</v>
      </c>
      <c r="D28" s="137">
        <v>41.83202350680571</v>
      </c>
      <c r="E28" s="13">
        <v>-88.26555873341539</v>
      </c>
      <c r="F28">
        <v>144058.55234079924</v>
      </c>
      <c r="G28" s="2">
        <v>-4757396.9876393</v>
      </c>
      <c r="H28" s="2">
        <v>4231823.074484399</v>
      </c>
    </row>
    <row r="29" spans="1:8" ht="12.75">
      <c r="A29" s="10"/>
      <c r="B29" s="1" t="s">
        <v>136</v>
      </c>
      <c r="C29" s="2">
        <v>-248.3991527</v>
      </c>
      <c r="D29" s="13">
        <v>47.820266534666665</v>
      </c>
      <c r="E29" s="13">
        <v>-92.24141201908333</v>
      </c>
      <c r="F29" s="2">
        <v>-167796.99235646756</v>
      </c>
      <c r="G29" s="2">
        <v>-4287098.721551998</v>
      </c>
      <c r="H29" s="2">
        <v>4703296.872157471</v>
      </c>
    </row>
    <row r="30" spans="1:8" ht="15.75">
      <c r="A30" s="115" t="s">
        <v>473</v>
      </c>
      <c r="B30" s="115" t="s">
        <v>474</v>
      </c>
      <c r="D30" s="4"/>
      <c r="E30" s="4"/>
      <c r="F30" s="12"/>
      <c r="G30" s="12"/>
      <c r="H30" s="12"/>
    </row>
    <row r="31" spans="1:8" ht="12.75">
      <c r="A31" s="47">
        <f>ATAN2('Trans oa dperp'!G29-'Trans oa dperp'!G28,'Trans oa dperp'!F29-'Trans oa dperp'!F28)</f>
        <v>-0.5855304354159501</v>
      </c>
      <c r="B31" s="66">
        <f>ASIN(('Trans oa dperp'!H29-'Trans oa dperp'!H28)/SQRT(SUMSQ('Trans oa dperp'!F29-'Trans oa dperp'!F28,'Trans oa dperp'!G29-'Trans oa dperp'!G28,'Trans oa dperp'!H29-'Trans oa dperp'!H28)))</f>
        <v>0.6960169166663005</v>
      </c>
      <c r="C31" t="s">
        <v>19</v>
      </c>
      <c r="D31" s="4"/>
      <c r="E31" s="4"/>
      <c r="F31" s="12"/>
      <c r="G31" s="12"/>
      <c r="H31" s="12"/>
    </row>
    <row r="32" spans="1:8" ht="12.75">
      <c r="A32">
        <f>DEGREES(A31)</f>
        <v>-33.54842272579136</v>
      </c>
      <c r="B32">
        <f>DEGREES(B31)</f>
        <v>39.87883179468775</v>
      </c>
      <c r="C32" t="s">
        <v>461</v>
      </c>
      <c r="D32" s="4"/>
      <c r="E32" s="4"/>
      <c r="F32" s="12"/>
      <c r="G32" s="12"/>
      <c r="H32" s="12"/>
    </row>
    <row r="33" spans="1:5" ht="12.75">
      <c r="A33" s="10"/>
      <c r="B33" t="s">
        <v>345</v>
      </c>
      <c r="E33" t="s">
        <v>345</v>
      </c>
    </row>
    <row r="34" spans="1:8" ht="12.75">
      <c r="A34" s="10"/>
      <c r="B34" s="1" t="s">
        <v>343</v>
      </c>
      <c r="C34" s="1" t="s">
        <v>346</v>
      </c>
      <c r="D34" s="1" t="s">
        <v>464</v>
      </c>
      <c r="F34" t="s">
        <v>344</v>
      </c>
      <c r="G34" t="s">
        <v>344</v>
      </c>
      <c r="H34" s="1" t="s">
        <v>464</v>
      </c>
    </row>
    <row r="35" spans="1:8" ht="12.75">
      <c r="A35" s="10"/>
      <c r="B35" s="1" t="s">
        <v>341</v>
      </c>
      <c r="C35" t="s">
        <v>344</v>
      </c>
      <c r="D35" s="1" t="s">
        <v>373</v>
      </c>
      <c r="F35" s="1" t="s">
        <v>229</v>
      </c>
      <c r="G35" s="1" t="s">
        <v>342</v>
      </c>
      <c r="H35" s="1" t="s">
        <v>373</v>
      </c>
    </row>
    <row r="36" spans="1:8" ht="12" customHeight="1">
      <c r="A36" s="10"/>
      <c r="B36" s="1" t="s">
        <v>130</v>
      </c>
      <c r="C36" s="1" t="s">
        <v>130</v>
      </c>
      <c r="D36" s="1" t="s">
        <v>372</v>
      </c>
      <c r="F36" s="1" t="s">
        <v>130</v>
      </c>
      <c r="G36" s="1" t="s">
        <v>130</v>
      </c>
      <c r="H36" s="1" t="s">
        <v>392</v>
      </c>
    </row>
    <row r="37" ht="12.75">
      <c r="A37" s="10"/>
    </row>
    <row r="38" spans="1:8" ht="12.75">
      <c r="A38" s="1" t="s">
        <v>136</v>
      </c>
      <c r="B38" s="48">
        <f>E38*COS($B$31)+($H29-$H$28)*SIN($B$31)</f>
        <v>735337.9370979177</v>
      </c>
      <c r="C38" s="70">
        <f>SQRT(SUMSQ(F38,G38))</f>
        <v>0</v>
      </c>
      <c r="D38" s="6">
        <f>ATAN(C38/B38)</f>
        <v>0</v>
      </c>
      <c r="E38" s="48">
        <f>($F29-$F$28)*SIN($A$31)+($G29-$G$28)*COS($A$31)</f>
        <v>564299.8669529806</v>
      </c>
      <c r="F38" s="48">
        <f>($F29-$F$28)*COS($A$31)-($G29-$G$28)*SIN($A$31)</f>
        <v>0</v>
      </c>
      <c r="G38" s="48">
        <f>-E38*SIN($B$31)+($H29-$H$28)*COS($B$31)</f>
        <v>0</v>
      </c>
      <c r="H38" s="2">
        <f>DEGREES(D38)</f>
        <v>0</v>
      </c>
    </row>
    <row r="39" spans="1:8" ht="12.75">
      <c r="A39" s="1"/>
      <c r="B39" s="48" t="s">
        <v>488</v>
      </c>
      <c r="C39" s="70" t="s">
        <v>489</v>
      </c>
      <c r="D39" s="6" t="s">
        <v>490</v>
      </c>
      <c r="E39" s="48"/>
      <c r="F39" s="48"/>
      <c r="G39" s="48"/>
      <c r="H39" s="6" t="s">
        <v>491</v>
      </c>
    </row>
    <row r="40" spans="1:8" ht="12.75">
      <c r="A40" s="10" t="s">
        <v>460</v>
      </c>
      <c r="B40" s="48"/>
      <c r="C40" s="70"/>
      <c r="D40" s="6"/>
      <c r="E40" s="48"/>
      <c r="F40" s="48"/>
      <c r="G40" s="48"/>
      <c r="H40" s="2"/>
    </row>
    <row r="41" spans="1:8" ht="12.75">
      <c r="A41" s="125" t="str">
        <f>A14</f>
        <v>11.5 km</v>
      </c>
      <c r="B41" s="48">
        <f>E41*COS($B$31)+($H14-$H$28)*SIN($B$31)</f>
        <v>787236.128980071</v>
      </c>
      <c r="C41" s="70">
        <f>SQRT(SUMSQ(F41,G41))</f>
        <v>11886.639675243869</v>
      </c>
      <c r="D41" s="6">
        <f>ATAN(C41/B41)</f>
        <v>0.0150980576629306</v>
      </c>
      <c r="E41" s="48">
        <f>($F14-$F$28)*SIN($A$31)+($G14-$G$28)*COS($A$31)</f>
        <v>602731.3407274131</v>
      </c>
      <c r="F41" s="48">
        <f>($F14-$F$28)*COS($A$31)-($G14-$G$28)*SIN($A$31)</f>
        <v>11685.732688844437</v>
      </c>
      <c r="G41" s="48">
        <f>-E41*SIN($B$31)+($H14-$H$28)*COS($B$31)</f>
        <v>2176.201804510376</v>
      </c>
      <c r="H41" s="2">
        <f>DEGREES(D41)</f>
        <v>0.8650549829310747</v>
      </c>
    </row>
    <row r="42" spans="1:8" ht="14.25">
      <c r="A42" s="10"/>
      <c r="B42" s="4" t="s">
        <v>455</v>
      </c>
      <c r="C42" s="1" t="s">
        <v>465</v>
      </c>
      <c r="D42" s="4"/>
      <c r="E42" s="4"/>
      <c r="F42" s="12"/>
      <c r="G42" s="12"/>
      <c r="H42" s="12"/>
    </row>
    <row r="43" spans="1:8" ht="13.5" thickBot="1">
      <c r="A43" s="10"/>
      <c r="B43" s="21">
        <f>E14</f>
        <v>-92.41651971581052</v>
      </c>
      <c r="C43" s="6">
        <f>D41</f>
        <v>0.0150980576629306</v>
      </c>
      <c r="D43" s="4"/>
      <c r="E43" s="4"/>
      <c r="F43" s="229"/>
      <c r="G43" s="230"/>
      <c r="H43" s="12"/>
    </row>
    <row r="44" spans="1:8" ht="13.5" thickBot="1">
      <c r="A44" s="206"/>
      <c r="B44" s="227" t="s">
        <v>451</v>
      </c>
      <c r="C44" s="228" t="s">
        <v>452</v>
      </c>
      <c r="D44" s="4"/>
      <c r="E44" s="45"/>
      <c r="F44" s="47"/>
      <c r="G44" s="47"/>
      <c r="H44" s="12"/>
    </row>
    <row r="45" spans="1:8" ht="13.5" thickBot="1">
      <c r="A45" s="209">
        <v>1</v>
      </c>
      <c r="B45" s="232">
        <v>-92.526</v>
      </c>
      <c r="C45" s="231">
        <v>12010.969330382495</v>
      </c>
      <c r="D45" s="4"/>
      <c r="E45" s="45"/>
      <c r="F45" s="56"/>
      <c r="G45" s="248"/>
      <c r="H45" s="12"/>
    </row>
    <row r="46" spans="1:8" ht="13.5" thickBot="1">
      <c r="A46" s="209">
        <v>2</v>
      </c>
      <c r="B46" s="232">
        <v>-92.5258</v>
      </c>
      <c r="C46" s="231">
        <v>11997.651557703424</v>
      </c>
      <c r="D46" s="4"/>
      <c r="E46" s="45"/>
      <c r="F46" s="56"/>
      <c r="G46" s="248"/>
      <c r="H46" s="12"/>
    </row>
    <row r="47" spans="1:8" ht="13.5" thickBot="1">
      <c r="A47" s="247" t="s">
        <v>487</v>
      </c>
      <c r="B47" s="213">
        <f>B45+((C47-C45)*(B46-B45))/(C46-C45)</f>
        <v>-92.5258352677937</v>
      </c>
      <c r="C47" s="233">
        <v>12000</v>
      </c>
      <c r="D47" s="4"/>
      <c r="E47" s="45"/>
      <c r="F47" s="10" t="s">
        <v>20</v>
      </c>
      <c r="G47" s="248"/>
      <c r="H47" s="12"/>
    </row>
    <row r="48" spans="1:8" ht="14.25">
      <c r="A48" t="s">
        <v>466</v>
      </c>
      <c r="B48" s="4" t="s">
        <v>454</v>
      </c>
      <c r="C48" s="4" t="s">
        <v>455</v>
      </c>
      <c r="D48" s="4" t="s">
        <v>467</v>
      </c>
      <c r="E48" s="65" t="s">
        <v>468</v>
      </c>
      <c r="F48" s="65" t="s">
        <v>469</v>
      </c>
      <c r="G48" s="65" t="s">
        <v>470</v>
      </c>
      <c r="H48" s="65" t="s">
        <v>471</v>
      </c>
    </row>
    <row r="49" spans="1:8" ht="13.5" thickBot="1">
      <c r="A49" s="234">
        <f>C14</f>
        <v>349</v>
      </c>
      <c r="B49" s="235">
        <f>D14</f>
        <v>48.28445</v>
      </c>
      <c r="C49" s="235">
        <f>E14</f>
        <v>-92.41651971581052</v>
      </c>
      <c r="D49" s="234">
        <f>E19</f>
        <v>787325.8632702827</v>
      </c>
      <c r="E49" s="234">
        <f>B41</f>
        <v>787236.128980071</v>
      </c>
      <c r="F49" s="234">
        <f>C41</f>
        <v>11886.639675243869</v>
      </c>
      <c r="G49" s="235">
        <f>D41</f>
        <v>0.0150980576629306</v>
      </c>
      <c r="H49" s="234">
        <f>H41</f>
        <v>0.8650549829310747</v>
      </c>
    </row>
    <row r="50" spans="1:8" ht="12.75">
      <c r="A50" s="238"/>
      <c r="B50" s="239"/>
      <c r="C50" s="239"/>
      <c r="D50" s="238"/>
      <c r="E50" s="238"/>
      <c r="F50" s="238"/>
      <c r="G50" s="239"/>
      <c r="H50" s="238"/>
    </row>
    <row r="51" spans="1:9" ht="12.75">
      <c r="A51" s="238">
        <v>349</v>
      </c>
      <c r="B51" s="239">
        <v>47.96</v>
      </c>
      <c r="C51" s="239">
        <v>-92.5258352677937</v>
      </c>
      <c r="D51" s="238">
        <v>758888.6615425484</v>
      </c>
      <c r="E51" s="238">
        <v>758793.7800337083</v>
      </c>
      <c r="F51" s="238">
        <v>11999.999999864593</v>
      </c>
      <c r="G51" s="239">
        <v>0.015813255277984332</v>
      </c>
      <c r="H51" s="238">
        <v>0.9060327877914756</v>
      </c>
      <c r="I51" s="259" t="s">
        <v>558</v>
      </c>
    </row>
    <row r="52" spans="1:10" ht="12.75">
      <c r="A52" s="238">
        <v>349</v>
      </c>
      <c r="B52" s="239">
        <v>48.1229</v>
      </c>
      <c r="C52" s="239">
        <v>-92.64715775491209</v>
      </c>
      <c r="D52" s="238">
        <v>779093.772142577</v>
      </c>
      <c r="E52" s="238">
        <v>779001.3515978965</v>
      </c>
      <c r="F52" s="238">
        <v>12000.000000003462</v>
      </c>
      <c r="G52" s="239">
        <v>0.015403119565852233</v>
      </c>
      <c r="H52" s="238">
        <v>0.8825337424587139</v>
      </c>
      <c r="I52" t="s">
        <v>557</v>
      </c>
      <c r="J52" s="259"/>
    </row>
    <row r="53" spans="1:8" ht="12.75">
      <c r="A53" s="238">
        <v>349</v>
      </c>
      <c r="B53" s="239">
        <v>48.3</v>
      </c>
      <c r="C53" s="239">
        <v>-92.77733563567864</v>
      </c>
      <c r="D53" s="238">
        <v>800983.1279560087</v>
      </c>
      <c r="E53" s="238">
        <v>800893.233377703</v>
      </c>
      <c r="F53" s="238">
        <v>11999.99999999607</v>
      </c>
      <c r="G53" s="239">
        <v>0.014982149464223098</v>
      </c>
      <c r="H53" s="238">
        <v>0.8584139323341711</v>
      </c>
    </row>
    <row r="54" spans="1:9" ht="12.75">
      <c r="A54" s="238">
        <v>349</v>
      </c>
      <c r="B54" s="239">
        <v>48.624</v>
      </c>
      <c r="C54" s="239">
        <v>-93.00835302121085</v>
      </c>
      <c r="D54" s="238">
        <v>840735.8569787999</v>
      </c>
      <c r="E54" s="238">
        <v>840650.2133526246</v>
      </c>
      <c r="F54" s="238">
        <v>12000.000002663772</v>
      </c>
      <c r="G54" s="239">
        <v>0.014273695346158946</v>
      </c>
      <c r="H54" s="238">
        <v>0.8178225013904322</v>
      </c>
      <c r="I54" t="s">
        <v>556</v>
      </c>
    </row>
    <row r="55" spans="1:9" ht="12.75">
      <c r="A55" s="257">
        <v>349</v>
      </c>
      <c r="B55" s="258">
        <f>AVERAGE(B51,B54)</f>
        <v>48.292</v>
      </c>
      <c r="C55" s="258">
        <f>AVERAGE(C51,C54)</f>
        <v>-92.76709414450227</v>
      </c>
      <c r="D55" s="257">
        <v>799843.5209400824</v>
      </c>
      <c r="E55" s="257">
        <v>799757.6766271597</v>
      </c>
      <c r="F55" s="257">
        <v>11718.219393561149</v>
      </c>
      <c r="G55" s="258">
        <v>0.014651164045801482</v>
      </c>
      <c r="H55" s="257">
        <v>0.8394498647782409</v>
      </c>
      <c r="I55" s="259" t="s">
        <v>554</v>
      </c>
    </row>
    <row r="56" spans="1:9" ht="12.75">
      <c r="A56" s="257">
        <v>349</v>
      </c>
      <c r="B56" s="258">
        <f>AVERAGE(B52,B54)</f>
        <v>48.373450000000005</v>
      </c>
      <c r="C56" s="258">
        <f>AVERAGE(C52,C54)</f>
        <v>-92.82775538806146</v>
      </c>
      <c r="D56" s="257">
        <v>809932.5153504419</v>
      </c>
      <c r="E56" s="257">
        <v>809846.2829213409</v>
      </c>
      <c r="F56" s="257">
        <v>11818.521920336136</v>
      </c>
      <c r="G56" s="258">
        <v>0.014592501410006172</v>
      </c>
      <c r="H56" s="257">
        <v>0.8360887433320565</v>
      </c>
      <c r="I56" s="259" t="s">
        <v>555</v>
      </c>
    </row>
    <row r="57" spans="1:8" ht="12.75">
      <c r="A57" s="238"/>
      <c r="B57" s="239"/>
      <c r="C57" s="239"/>
      <c r="D57" s="238"/>
      <c r="E57" s="238"/>
      <c r="F57" s="238"/>
      <c r="G57" s="239"/>
      <c r="H57" s="238"/>
    </row>
    <row r="58" spans="1:9" ht="12.75">
      <c r="A58" s="238">
        <v>349</v>
      </c>
      <c r="B58" s="239">
        <v>47.96</v>
      </c>
      <c r="C58" s="239">
        <v>-92.51832647612382</v>
      </c>
      <c r="D58" s="238">
        <v>758627.5575979202</v>
      </c>
      <c r="E58" s="238">
        <v>758540.3886063278</v>
      </c>
      <c r="F58" s="238">
        <v>11499.999997692994</v>
      </c>
      <c r="G58" s="239">
        <v>0.015159534301549815</v>
      </c>
      <c r="H58" s="238">
        <v>0.8685773348626067</v>
      </c>
      <c r="I58" s="259" t="s">
        <v>558</v>
      </c>
    </row>
    <row r="59" spans="1:9" ht="12.75">
      <c r="A59" s="238">
        <v>349</v>
      </c>
      <c r="B59" s="239">
        <v>48.1229</v>
      </c>
      <c r="C59" s="239">
        <v>-92.63954831466243</v>
      </c>
      <c r="D59" s="238">
        <v>778829.5364385842</v>
      </c>
      <c r="E59" s="238">
        <v>778744.628764231</v>
      </c>
      <c r="F59" s="238">
        <v>11500.000000001191</v>
      </c>
      <c r="G59" s="239">
        <v>0.014766283748343155</v>
      </c>
      <c r="H59" s="238">
        <v>0.8460457378726802</v>
      </c>
      <c r="I59" t="s">
        <v>557</v>
      </c>
    </row>
    <row r="60" spans="1:8" ht="12.75">
      <c r="A60" s="238">
        <v>349</v>
      </c>
      <c r="B60" s="239">
        <v>48.3</v>
      </c>
      <c r="C60" s="239">
        <v>-92.76949469035155</v>
      </c>
      <c r="D60" s="238">
        <v>800711.3806027126</v>
      </c>
      <c r="E60" s="238">
        <v>800628.7935278527</v>
      </c>
      <c r="F60" s="238">
        <v>11500.00003638872</v>
      </c>
      <c r="G60" s="239">
        <v>0.014362722585757957</v>
      </c>
      <c r="H60" s="238">
        <v>0.8229233864811556</v>
      </c>
    </row>
    <row r="61" spans="1:9" ht="12.75">
      <c r="A61" s="238">
        <v>349</v>
      </c>
      <c r="B61" s="239">
        <v>48.624</v>
      </c>
      <c r="C61" s="239">
        <v>-92.99955</v>
      </c>
      <c r="D61" s="238">
        <v>840432.2951531279</v>
      </c>
      <c r="E61" s="238">
        <v>840353.5982893994</v>
      </c>
      <c r="F61" s="238">
        <v>11500.981628236932</v>
      </c>
      <c r="G61" s="239">
        <v>0.013685029343157523</v>
      </c>
      <c r="H61" s="238">
        <v>0.7840944238756152</v>
      </c>
      <c r="I61" t="s">
        <v>556</v>
      </c>
    </row>
    <row r="62" spans="1:9" ht="12.75">
      <c r="A62" s="257">
        <v>349</v>
      </c>
      <c r="B62" s="258">
        <f>AVERAGE(B58,B61)</f>
        <v>48.292</v>
      </c>
      <c r="C62" s="258">
        <f>AVERAGE(C58,C61)</f>
        <v>-92.75893823806192</v>
      </c>
      <c r="D62" s="257">
        <v>799561.0606603671</v>
      </c>
      <c r="E62" s="257">
        <v>799482.6395018534</v>
      </c>
      <c r="F62" s="257">
        <v>11198.163219067264</v>
      </c>
      <c r="G62" s="258">
        <v>0.01400584632078472</v>
      </c>
      <c r="H62" s="257">
        <v>0.8024758826897966</v>
      </c>
      <c r="I62" s="259" t="s">
        <v>554</v>
      </c>
    </row>
    <row r="63" spans="1:9" ht="12.75">
      <c r="A63" s="257">
        <v>349</v>
      </c>
      <c r="B63" s="258">
        <f>AVERAGE(B59,B61)</f>
        <v>48.373450000000005</v>
      </c>
      <c r="C63" s="258">
        <f>AVERAGE(C59,C61)</f>
        <v>-92.81954915733121</v>
      </c>
      <c r="D63" s="257">
        <v>809648.5293631039</v>
      </c>
      <c r="E63" s="257">
        <v>809569.5913867899</v>
      </c>
      <c r="F63" s="257">
        <v>11305.65352657656</v>
      </c>
      <c r="G63" s="258">
        <v>0.013964109798006663</v>
      </c>
      <c r="H63" s="257">
        <v>0.8000845560830623</v>
      </c>
      <c r="I63" s="259" t="s">
        <v>555</v>
      </c>
    </row>
    <row r="64" spans="1:8" ht="12.75">
      <c r="A64" s="238"/>
      <c r="B64" s="258"/>
      <c r="C64" s="258"/>
      <c r="D64" s="238"/>
      <c r="E64" s="238"/>
      <c r="F64" s="238"/>
      <c r="G64" s="239"/>
      <c r="H64" s="238"/>
    </row>
    <row r="65" spans="1:9" ht="12.75">
      <c r="A65" s="112">
        <v>349</v>
      </c>
      <c r="B65" s="229">
        <v>47.96</v>
      </c>
      <c r="C65" s="229">
        <v>-92.17374877606464</v>
      </c>
      <c r="D65" s="112">
        <v>747049.9216384068</v>
      </c>
      <c r="E65" s="112">
        <v>746961.4015594937</v>
      </c>
      <c r="F65" s="112">
        <v>11500.000009851357</v>
      </c>
      <c r="G65" s="229">
        <v>0.015394492283426726</v>
      </c>
      <c r="H65" s="112">
        <v>0.8820394355870649</v>
      </c>
      <c r="I65" s="259" t="s">
        <v>558</v>
      </c>
    </row>
    <row r="66" spans="1:9" ht="12.75">
      <c r="A66" s="112">
        <v>349</v>
      </c>
      <c r="B66" s="229">
        <v>48.1229</v>
      </c>
      <c r="C66" s="229">
        <v>-92.29709964849327</v>
      </c>
      <c r="D66" s="112">
        <v>767325.7851312436</v>
      </c>
      <c r="E66" s="112">
        <v>767239.6043787514</v>
      </c>
      <c r="F66" s="112">
        <v>11500.000000726262</v>
      </c>
      <c r="G66" s="229">
        <v>0.014987676390577987</v>
      </c>
      <c r="H66" s="112">
        <v>0.8587306018879858</v>
      </c>
      <c r="I66" t="s">
        <v>557</v>
      </c>
    </row>
    <row r="67" spans="1:8" ht="12.75">
      <c r="A67" s="112">
        <v>349</v>
      </c>
      <c r="B67" s="229">
        <v>48.3</v>
      </c>
      <c r="C67" s="229">
        <v>-92.43481034385361</v>
      </c>
      <c r="D67" s="112">
        <v>789471.1175110191</v>
      </c>
      <c r="E67" s="112">
        <v>789387.3544608831</v>
      </c>
      <c r="F67" s="112">
        <v>11500.000058508273</v>
      </c>
      <c r="G67" s="229">
        <v>0.014567229298388449</v>
      </c>
      <c r="H67" s="112">
        <v>0.8346407579969775</v>
      </c>
    </row>
    <row r="68" spans="1:9" ht="12.75">
      <c r="A68" s="112">
        <v>349</v>
      </c>
      <c r="B68" s="229">
        <v>48.445</v>
      </c>
      <c r="C68" s="229">
        <v>-92.55086954711489</v>
      </c>
      <c r="D68" s="112">
        <v>807698.3860003486</v>
      </c>
      <c r="E68" s="112">
        <v>807616.513419311</v>
      </c>
      <c r="F68" s="112">
        <v>11500.000000177357</v>
      </c>
      <c r="G68" s="229">
        <v>0.01423846918876043</v>
      </c>
      <c r="H68" s="112">
        <v>0.8158041912430337</v>
      </c>
      <c r="I68" t="s">
        <v>556</v>
      </c>
    </row>
    <row r="69" spans="1:9" ht="12.75">
      <c r="A69" s="257">
        <v>349</v>
      </c>
      <c r="B69" s="258">
        <f>AVERAGE(B65,B68)</f>
        <v>48.2025</v>
      </c>
      <c r="C69" s="258">
        <f>AVERAGE(C65,C68)</f>
        <v>-92.36230916158976</v>
      </c>
      <c r="D69" s="260">
        <v>777388.9623691669</v>
      </c>
      <c r="E69" s="260">
        <v>777307.5282382756</v>
      </c>
      <c r="F69" s="260">
        <v>11251.904617098502</v>
      </c>
      <c r="G69" s="261">
        <v>0.014474475545672005</v>
      </c>
      <c r="H69" s="260">
        <v>0.8293263594323251</v>
      </c>
      <c r="I69" s="259" t="s">
        <v>554</v>
      </c>
    </row>
    <row r="70" spans="1:9" ht="12.75">
      <c r="A70" s="257">
        <v>349</v>
      </c>
      <c r="B70" s="258">
        <f>AVERAGE(B66,B68)</f>
        <v>48.283950000000004</v>
      </c>
      <c r="C70" s="258">
        <f>AVERAGE(C66,C68)</f>
        <v>-92.42398459780408</v>
      </c>
      <c r="D70" s="260">
        <v>787518.6195378639</v>
      </c>
      <c r="E70" s="260">
        <v>787436.347509822</v>
      </c>
      <c r="F70" s="260">
        <v>11383.090055584953</v>
      </c>
      <c r="G70" s="261">
        <v>0.014454879144021727</v>
      </c>
      <c r="H70" s="260">
        <v>0.828203568324121</v>
      </c>
      <c r="I70" s="259" t="s">
        <v>555</v>
      </c>
    </row>
    <row r="71" spans="1:8" ht="12.75">
      <c r="A71" s="112"/>
      <c r="B71" s="229"/>
      <c r="C71" s="229"/>
      <c r="D71" s="112"/>
      <c r="E71" s="112"/>
      <c r="F71" s="112"/>
      <c r="G71" s="229"/>
      <c r="H71" s="112"/>
    </row>
    <row r="72" spans="1:9" ht="12.75">
      <c r="A72" s="112">
        <v>349</v>
      </c>
      <c r="B72" s="229">
        <v>47.96</v>
      </c>
      <c r="C72" s="229">
        <v>-92.16625614727762</v>
      </c>
      <c r="D72" s="112">
        <v>746807.1099736808</v>
      </c>
      <c r="E72" s="112">
        <v>746710.6933125998</v>
      </c>
      <c r="F72" s="112">
        <v>11999.999994076952</v>
      </c>
      <c r="G72" s="229">
        <v>0.01606909773778381</v>
      </c>
      <c r="H72" s="112">
        <v>0.9206914809582312</v>
      </c>
      <c r="I72" s="259" t="s">
        <v>558</v>
      </c>
    </row>
    <row r="73" spans="1:9" ht="12.75">
      <c r="A73" s="112">
        <v>349</v>
      </c>
      <c r="B73" s="229">
        <v>48.1229</v>
      </c>
      <c r="C73" s="229">
        <v>-92.28950653625937</v>
      </c>
      <c r="D73" s="112">
        <v>767079.444495136</v>
      </c>
      <c r="E73" s="112">
        <v>766985.5762445985</v>
      </c>
      <c r="F73" s="112">
        <v>11999.999987819128</v>
      </c>
      <c r="G73" s="229">
        <v>0.015644389354652507</v>
      </c>
      <c r="H73" s="112">
        <v>0.8963574830809823</v>
      </c>
      <c r="I73" t="s">
        <v>557</v>
      </c>
    </row>
    <row r="74" spans="1:8" ht="12.75">
      <c r="A74" s="112">
        <v>349</v>
      </c>
      <c r="B74" s="229">
        <v>48.3</v>
      </c>
      <c r="C74" s="229">
        <v>-92.42698590880661</v>
      </c>
      <c r="D74" s="112">
        <v>789216.8568820962</v>
      </c>
      <c r="E74" s="112">
        <v>789125.6219305105</v>
      </c>
      <c r="F74" s="112">
        <v>11999.999985004746</v>
      </c>
      <c r="G74" s="229">
        <v>0.015205532306180894</v>
      </c>
      <c r="H74" s="112">
        <v>0.8712128263939907</v>
      </c>
    </row>
    <row r="75" spans="1:9" ht="12.75">
      <c r="A75" s="112">
        <v>349</v>
      </c>
      <c r="B75" s="229">
        <v>48.446</v>
      </c>
      <c r="C75" s="229">
        <v>-92.54353289536166</v>
      </c>
      <c r="D75" s="112">
        <v>807559.1728913072</v>
      </c>
      <c r="E75" s="112">
        <v>807470.0104157999</v>
      </c>
      <c r="F75" s="112">
        <v>12000.000000009335</v>
      </c>
      <c r="G75" s="229">
        <v>0.014860139122551129</v>
      </c>
      <c r="H75" s="112">
        <v>0.851423254699418</v>
      </c>
      <c r="I75" t="s">
        <v>556</v>
      </c>
    </row>
    <row r="76" spans="1:9" ht="12.75">
      <c r="A76" s="257">
        <v>349</v>
      </c>
      <c r="B76" s="258">
        <f>AVERAGE(B72,B75)</f>
        <v>48.203</v>
      </c>
      <c r="C76" s="258">
        <f>AVERAGE(C72,C75)</f>
        <v>-92.35489452131964</v>
      </c>
      <c r="D76" s="260">
        <v>777197.9587423252</v>
      </c>
      <c r="E76" s="260">
        <v>777108.9892986073</v>
      </c>
      <c r="F76" s="260">
        <v>11759.499331771369</v>
      </c>
      <c r="G76" s="261">
        <v>0.01513121327900675</v>
      </c>
      <c r="H76" s="260">
        <v>0.8669546597993941</v>
      </c>
      <c r="I76" s="259" t="s">
        <v>554</v>
      </c>
    </row>
    <row r="77" spans="1:9" ht="12.75">
      <c r="A77" s="257">
        <v>349</v>
      </c>
      <c r="B77" s="258">
        <f>AVERAGE(B73,B75)</f>
        <v>48.28445</v>
      </c>
      <c r="C77" s="258">
        <f>AVERAGE(C73,C75)</f>
        <v>-92.41651971581052</v>
      </c>
      <c r="D77" s="112">
        <v>787325.8632702827</v>
      </c>
      <c r="E77" s="112">
        <v>787236.128980071</v>
      </c>
      <c r="F77" s="112">
        <v>11886.639675243869</v>
      </c>
      <c r="G77" s="229">
        <v>0.0150980576629306</v>
      </c>
      <c r="H77" s="112">
        <v>0.8650549829310747</v>
      </c>
      <c r="I77" s="259" t="s">
        <v>555</v>
      </c>
    </row>
    <row r="78" spans="1:8" ht="12.75">
      <c r="A78" s="112"/>
      <c r="B78" s="229"/>
      <c r="C78" s="229"/>
      <c r="D78" s="112"/>
      <c r="E78" s="112"/>
      <c r="F78" s="112"/>
      <c r="G78" s="229"/>
      <c r="H78" s="112"/>
    </row>
    <row r="79" spans="1:9" ht="13.5" thickBot="1">
      <c r="A79" s="112">
        <v>346</v>
      </c>
      <c r="B79" s="229">
        <v>48.3789</v>
      </c>
      <c r="C79" s="229">
        <v>-92.8327</v>
      </c>
      <c r="D79" s="112">
        <v>810637.9341560535</v>
      </c>
      <c r="E79" s="112">
        <v>810550.836114919</v>
      </c>
      <c r="F79" s="112">
        <v>11882.860185989606</v>
      </c>
      <c r="G79" s="229">
        <v>0.0146591780171745</v>
      </c>
      <c r="H79" s="112">
        <v>0.8399090315150535</v>
      </c>
      <c r="I79" s="119" t="s">
        <v>561</v>
      </c>
    </row>
    <row r="80" spans="1:8" ht="12.75">
      <c r="A80" s="182" t="s">
        <v>416</v>
      </c>
      <c r="B80" s="183"/>
      <c r="C80" s="183"/>
      <c r="D80" s="184"/>
      <c r="E80" s="183" t="s">
        <v>417</v>
      </c>
      <c r="F80" s="185"/>
      <c r="G80" s="186"/>
      <c r="H80" s="187"/>
    </row>
    <row r="81" spans="1:8" ht="15" thickBot="1">
      <c r="A81" s="188">
        <v>0</v>
      </c>
      <c r="B81" s="50" t="s">
        <v>17</v>
      </c>
      <c r="C81" s="51" t="s">
        <v>18</v>
      </c>
      <c r="D81" s="168">
        <v>0</v>
      </c>
      <c r="E81" s="167">
        <v>0</v>
      </c>
      <c r="F81" s="167">
        <v>0</v>
      </c>
      <c r="G81" s="50" t="s">
        <v>17</v>
      </c>
      <c r="H81" s="189" t="s">
        <v>18</v>
      </c>
    </row>
    <row r="82" spans="1:8" ht="13.5" thickBot="1">
      <c r="A82" s="190">
        <v>41</v>
      </c>
      <c r="B82" s="164">
        <v>49</v>
      </c>
      <c r="C82" s="157">
        <v>55.28462450056168</v>
      </c>
      <c r="D82" s="169">
        <f>A82+(B82+C82/60)/60</f>
        <v>41.83202350680571</v>
      </c>
      <c r="E82" s="165">
        <v>41.83202350680571</v>
      </c>
      <c r="F82" s="166">
        <f>ROUNDDOWN(E82,0)</f>
        <v>41</v>
      </c>
      <c r="G82" s="166">
        <f>ROUNDDOWN((E82-F82)*60,0)</f>
        <v>49</v>
      </c>
      <c r="H82" s="191">
        <f>((E82-F82)*60-G82)*60</f>
        <v>55.28462450056168</v>
      </c>
    </row>
    <row r="83" spans="1:8" ht="12.75">
      <c r="A83" s="192" t="s">
        <v>428</v>
      </c>
      <c r="B83" s="172"/>
      <c r="C83" s="44"/>
      <c r="D83" s="45"/>
      <c r="E83" s="173"/>
      <c r="F83" s="166"/>
      <c r="G83" s="166"/>
      <c r="H83" s="191"/>
    </row>
    <row r="84" spans="1:8" ht="13.5" thickBot="1">
      <c r="A84" s="193" t="s">
        <v>430</v>
      </c>
      <c r="B84" s="194"/>
      <c r="C84" s="194"/>
      <c r="D84" s="194"/>
      <c r="E84" s="194"/>
      <c r="F84" s="194"/>
      <c r="G84" s="195"/>
      <c r="H84" s="196"/>
    </row>
    <row r="85" spans="1:8" ht="13.5" thickBot="1">
      <c r="A85" s="45"/>
      <c r="B85" s="45"/>
      <c r="C85" s="45"/>
      <c r="D85" s="45"/>
      <c r="E85" s="45"/>
      <c r="F85" s="45"/>
      <c r="G85" s="51"/>
      <c r="H85" s="62"/>
    </row>
    <row r="86" spans="1:8" ht="12.75">
      <c r="A86" s="197" t="s">
        <v>448</v>
      </c>
      <c r="B86" s="198"/>
      <c r="C86" s="199"/>
      <c r="D86" s="45"/>
      <c r="E86" s="206"/>
      <c r="F86" s="207" t="s">
        <v>450</v>
      </c>
      <c r="G86" s="208"/>
      <c r="H86" s="62"/>
    </row>
    <row r="87" spans="1:8" ht="13.5" thickBot="1">
      <c r="A87" s="200" t="s">
        <v>449</v>
      </c>
      <c r="B87" s="45"/>
      <c r="C87" s="201"/>
      <c r="D87" s="45"/>
      <c r="E87" s="209"/>
      <c r="F87" s="47" t="s">
        <v>451</v>
      </c>
      <c r="G87" s="210" t="s">
        <v>452</v>
      </c>
      <c r="H87" s="62"/>
    </row>
    <row r="88" spans="1:8" ht="13.5" thickBot="1">
      <c r="A88" s="202" t="s">
        <v>432</v>
      </c>
      <c r="B88" s="47" t="s">
        <v>431</v>
      </c>
      <c r="C88" s="203" t="s">
        <v>433</v>
      </c>
      <c r="D88" s="45"/>
      <c r="E88" s="209">
        <v>1</v>
      </c>
      <c r="F88" s="180">
        <v>48.2</v>
      </c>
      <c r="G88" s="211">
        <v>-92.701279640929</v>
      </c>
      <c r="H88" s="62"/>
    </row>
    <row r="89" spans="1:8" ht="13.5" thickBot="1">
      <c r="A89" s="237">
        <v>1105.6430446194227</v>
      </c>
      <c r="B89" s="204">
        <v>-32</v>
      </c>
      <c r="C89" s="205">
        <f>$A89*12*0.0254+$B89</f>
        <v>305</v>
      </c>
      <c r="D89" s="45"/>
      <c r="E89" s="209">
        <v>2</v>
      </c>
      <c r="F89" s="180">
        <v>47.9</v>
      </c>
      <c r="G89" s="236">
        <v>-92.46982068541278</v>
      </c>
      <c r="H89" s="62"/>
    </row>
    <row r="90" spans="1:8" ht="13.5" thickBot="1">
      <c r="A90" s="172"/>
      <c r="B90" s="54"/>
      <c r="C90" s="48"/>
      <c r="D90" s="45"/>
      <c r="E90" s="212"/>
      <c r="F90" s="213">
        <f>F88+((G90-G88)*(F89-F88))/(G89-G88)</f>
        <v>48.09559750572274</v>
      </c>
      <c r="G90" s="181">
        <v>-92.62073</v>
      </c>
      <c r="H90" s="62"/>
    </row>
    <row r="91" spans="7:8" ht="13.5" thickBot="1">
      <c r="G91" s="4"/>
      <c r="H91" s="26"/>
    </row>
    <row r="92" spans="2:9" ht="12.75">
      <c r="B92" s="214" t="s">
        <v>442</v>
      </c>
      <c r="C92" s="215"/>
      <c r="D92" s="215"/>
      <c r="E92" s="215"/>
      <c r="F92" s="216" t="s">
        <v>147</v>
      </c>
      <c r="G92" s="215"/>
      <c r="H92" s="217"/>
      <c r="I92" s="62"/>
    </row>
    <row r="93" spans="2:9" ht="15" thickBot="1">
      <c r="B93" s="218"/>
      <c r="C93" s="45"/>
      <c r="D93" s="171" t="s">
        <v>426</v>
      </c>
      <c r="E93" s="45"/>
      <c r="F93" s="45"/>
      <c r="G93" s="45"/>
      <c r="H93" s="219"/>
      <c r="I93" s="45"/>
    </row>
    <row r="94" spans="2:9" ht="15" thickBot="1">
      <c r="B94" s="218"/>
      <c r="C94" s="51" t="s">
        <v>411</v>
      </c>
      <c r="D94" s="36">
        <v>44.814108483677764</v>
      </c>
      <c r="E94" s="53" t="s">
        <v>443</v>
      </c>
      <c r="F94" s="161" t="s">
        <v>155</v>
      </c>
      <c r="G94" s="161" t="s">
        <v>139</v>
      </c>
      <c r="H94" s="220" t="s">
        <v>140</v>
      </c>
      <c r="I94" s="45"/>
    </row>
    <row r="95" spans="2:9" ht="13.5" thickBot="1">
      <c r="B95" s="218"/>
      <c r="C95" s="48">
        <f>SQRT(F95*F95+G95*G95)/COS((D96*PI())/180)-$A$6/SQRT(1-$C$6*POWER(SIN((D96*PI())/180),2))</f>
        <v>-10661.952543674968</v>
      </c>
      <c r="D95" s="163">
        <f>D96</f>
        <v>44.81410848367912</v>
      </c>
      <c r="E95" s="45">
        <f>(180/PI())*ATAN2(F95,G95)</f>
        <v>-90.13055634596189</v>
      </c>
      <c r="F95" s="157">
        <v>-10309.942284347824</v>
      </c>
      <c r="G95" s="157">
        <v>-4524599.3459260855</v>
      </c>
      <c r="H95" s="221">
        <v>4465202.60433257</v>
      </c>
      <c r="I95" s="45"/>
    </row>
    <row r="96" spans="2:9" ht="14.25">
      <c r="B96" s="218"/>
      <c r="C96" s="53" t="s">
        <v>427</v>
      </c>
      <c r="D96" s="49">
        <f>(180/PI())*ATAN(H95/(SQRT(F95*F95+G95*G95))*(1+$C$6*$A$6*SIN((D94*PI())/180)/(H95*SQRT(1-$C$6*POWER(SIN((D94*PI())/180),2)))))</f>
        <v>44.81410848367912</v>
      </c>
      <c r="E96" s="160">
        <v>0</v>
      </c>
      <c r="F96" s="45"/>
      <c r="G96" s="45"/>
      <c r="H96" s="219"/>
      <c r="I96" s="45"/>
    </row>
    <row r="97" spans="2:9" ht="14.25">
      <c r="B97" s="218"/>
      <c r="C97" s="53" t="s">
        <v>429</v>
      </c>
      <c r="D97" s="45">
        <f>(180/PI())*ATAN(H95/((1-$C$6)*SQRT(F95*F95+G95*G95)))</f>
        <v>44.813785739545395</v>
      </c>
      <c r="E97" s="174" t="s">
        <v>437</v>
      </c>
      <c r="F97" s="45"/>
      <c r="G97" s="45"/>
      <c r="H97" s="219"/>
      <c r="I97" s="45"/>
    </row>
    <row r="98" spans="2:9" ht="12.75">
      <c r="B98" s="218" t="s">
        <v>412</v>
      </c>
      <c r="C98" s="45"/>
      <c r="D98" s="45"/>
      <c r="E98" s="45" t="s">
        <v>438</v>
      </c>
      <c r="F98" s="45"/>
      <c r="G98" s="45"/>
      <c r="H98" s="219"/>
      <c r="I98" s="45"/>
    </row>
    <row r="99" spans="2:9" ht="12.75">
      <c r="B99" s="218" t="s">
        <v>413</v>
      </c>
      <c r="C99" s="45"/>
      <c r="D99" s="45"/>
      <c r="E99" s="45" t="s">
        <v>439</v>
      </c>
      <c r="F99" s="45"/>
      <c r="G99" s="56"/>
      <c r="H99" s="219"/>
      <c r="I99" s="45"/>
    </row>
    <row r="100" spans="2:9" ht="12.75">
      <c r="B100" s="218" t="s">
        <v>414</v>
      </c>
      <c r="C100" s="45"/>
      <c r="D100" s="45"/>
      <c r="E100" s="162" t="s">
        <v>440</v>
      </c>
      <c r="F100" s="45"/>
      <c r="G100" s="45"/>
      <c r="H100" s="219"/>
      <c r="I100" s="45"/>
    </row>
    <row r="101" spans="2:9" ht="13.5" thickBot="1">
      <c r="B101" s="222" t="s">
        <v>415</v>
      </c>
      <c r="C101" s="223"/>
      <c r="D101" s="223"/>
      <c r="E101" s="224" t="s">
        <v>441</v>
      </c>
      <c r="F101" s="223"/>
      <c r="G101" s="223"/>
      <c r="H101" s="225"/>
      <c r="I101" s="45"/>
    </row>
    <row r="102" spans="3:8" ht="12.75">
      <c r="C102" s="45"/>
      <c r="D102" s="45"/>
      <c r="E102" s="45"/>
      <c r="F102" s="45"/>
      <c r="G102" s="45"/>
      <c r="H102" s="45"/>
    </row>
    <row r="103" spans="1:8" ht="12.75">
      <c r="A103" t="s">
        <v>108</v>
      </c>
      <c r="B103" t="s">
        <v>260</v>
      </c>
      <c r="C103">
        <v>153.96829709410667</v>
      </c>
      <c r="D103">
        <v>41.83202350680571</v>
      </c>
      <c r="E103" s="45">
        <v>-88.26555873341539</v>
      </c>
      <c r="F103" s="45">
        <v>144058.55234079924</v>
      </c>
      <c r="G103">
        <v>-4757396.9876393</v>
      </c>
      <c r="H103">
        <v>4231823.074484399</v>
      </c>
    </row>
    <row r="104" spans="2:10" ht="12.75">
      <c r="B104">
        <v>0.495</v>
      </c>
      <c r="C104">
        <v>-10661.952543240972</v>
      </c>
      <c r="D104">
        <v>44.814108483683064</v>
      </c>
      <c r="E104">
        <v>-90.13055634596189</v>
      </c>
      <c r="F104">
        <v>-10309.942284347824</v>
      </c>
      <c r="G104">
        <v>-4524599.3459260855</v>
      </c>
      <c r="H104">
        <v>4465202.60433257</v>
      </c>
      <c r="I104">
        <v>363992.27886346926</v>
      </c>
      <c r="J104">
        <v>279328.4341417251</v>
      </c>
    </row>
    <row r="106" spans="1:4" ht="12.75">
      <c r="A106" t="s">
        <v>478</v>
      </c>
      <c r="B106" t="s">
        <v>479</v>
      </c>
      <c r="C106" t="s">
        <v>559</v>
      </c>
      <c r="D106" t="s">
        <v>560</v>
      </c>
    </row>
    <row r="107" spans="1:4" ht="12.75">
      <c r="A107">
        <v>0.9071876779605503</v>
      </c>
      <c r="B107">
        <v>1.3354525379439366</v>
      </c>
      <c r="C107">
        <f>A107/5</f>
        <v>0.18143753559211007</v>
      </c>
      <c r="D107">
        <f>B107/5</f>
        <v>0.26709050758878733</v>
      </c>
    </row>
    <row r="109" spans="1:4" ht="12.75">
      <c r="A109" s="2">
        <v>47.45</v>
      </c>
      <c r="B109">
        <v>-95</v>
      </c>
      <c r="C109">
        <v>48.35</v>
      </c>
      <c r="D109">
        <v>-92.15</v>
      </c>
    </row>
    <row r="110" spans="1:4" ht="12.75">
      <c r="A110" s="2">
        <f>A109-A107</f>
        <v>46.54281232203945</v>
      </c>
      <c r="B110">
        <v>-95</v>
      </c>
      <c r="C110" s="2">
        <f>C109+$C$107</f>
        <v>48.53143753559211</v>
      </c>
      <c r="D110">
        <v>-92.15</v>
      </c>
    </row>
    <row r="112" spans="1:4" ht="12.75">
      <c r="A112" s="2">
        <v>46.5</v>
      </c>
      <c r="B112">
        <v>-94</v>
      </c>
      <c r="C112">
        <v>48.6</v>
      </c>
      <c r="D112">
        <v>-92.35</v>
      </c>
    </row>
    <row r="113" spans="1:4" ht="12.75">
      <c r="A113" s="2">
        <v>46.5</v>
      </c>
      <c r="B113" s="2">
        <f>B112+B107</f>
        <v>-92.66454746205606</v>
      </c>
      <c r="C113">
        <v>48.6</v>
      </c>
      <c r="D113" s="2">
        <f>D112+$D$107</f>
        <v>-92.0829094924112</v>
      </c>
    </row>
    <row r="114" spans="1:2" ht="12.75">
      <c r="A114" s="2">
        <v>46.55</v>
      </c>
      <c r="B114" s="2">
        <v>-92.66454746205606</v>
      </c>
    </row>
    <row r="115" spans="1:2" ht="12.75">
      <c r="A115" s="2">
        <v>46.45</v>
      </c>
      <c r="B115" s="2">
        <v>-92.66454746205606</v>
      </c>
    </row>
    <row r="116" spans="1:2" ht="12.75">
      <c r="A116" s="2">
        <v>46.5</v>
      </c>
      <c r="B116">
        <v>-94</v>
      </c>
    </row>
    <row r="117" spans="1:2" ht="12.75">
      <c r="A117" s="2">
        <v>46.55</v>
      </c>
      <c r="B117">
        <v>-94</v>
      </c>
    </row>
    <row r="118" spans="1:2" ht="12.75">
      <c r="A118" s="2">
        <v>46.45</v>
      </c>
      <c r="B118">
        <v>-94</v>
      </c>
    </row>
  </sheetData>
  <printOptions/>
  <pageMargins left="0.5" right="0.2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/>
  <dimension ref="A1:J31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2.28125" style="0" customWidth="1"/>
    <col min="3" max="3" width="13.140625" style="0" customWidth="1"/>
    <col min="4" max="4" width="12.7109375" style="0" customWidth="1"/>
    <col min="5" max="6" width="12.421875" style="0" customWidth="1"/>
    <col min="7" max="7" width="13.28125" style="0" customWidth="1"/>
    <col min="8" max="8" width="12.7109375" style="0" customWidth="1"/>
    <col min="9" max="9" width="15.00390625" style="0" customWidth="1"/>
  </cols>
  <sheetData>
    <row r="1" ht="12.75">
      <c r="A1" s="10" t="s">
        <v>20</v>
      </c>
    </row>
    <row r="2" spans="1:8" ht="14.25">
      <c r="A2" t="s">
        <v>466</v>
      </c>
      <c r="B2" s="4" t="s">
        <v>454</v>
      </c>
      <c r="C2" s="4" t="s">
        <v>455</v>
      </c>
      <c r="D2" s="4" t="s">
        <v>467</v>
      </c>
      <c r="E2" s="65" t="s">
        <v>468</v>
      </c>
      <c r="F2" s="65" t="s">
        <v>469</v>
      </c>
      <c r="G2" s="65" t="s">
        <v>470</v>
      </c>
      <c r="H2" s="65" t="s">
        <v>471</v>
      </c>
    </row>
    <row r="3" spans="1:8" ht="12.75">
      <c r="A3" s="238"/>
      <c r="B3" s="239"/>
      <c r="C3" s="239"/>
      <c r="D3" s="238"/>
      <c r="E3" s="238"/>
      <c r="F3" s="238"/>
      <c r="G3" s="239"/>
      <c r="H3" s="238"/>
    </row>
    <row r="4" spans="1:8" ht="12.75">
      <c r="A4" s="238"/>
      <c r="B4" s="239"/>
      <c r="C4" s="239"/>
      <c r="D4" s="238"/>
      <c r="E4" s="238"/>
      <c r="F4" s="238"/>
      <c r="G4" s="239"/>
      <c r="H4" s="238"/>
    </row>
    <row r="5" spans="1:9" ht="12.75">
      <c r="A5" s="238">
        <v>349</v>
      </c>
      <c r="B5" s="239">
        <v>47.96</v>
      </c>
      <c r="C5" s="239">
        <v>-92.5258352677937</v>
      </c>
      <c r="D5" s="238">
        <v>758888.6615425484</v>
      </c>
      <c r="E5" s="238">
        <v>758793.7800337083</v>
      </c>
      <c r="F5" s="238">
        <v>11999.999999864593</v>
      </c>
      <c r="G5" s="239">
        <v>0.015813255277984332</v>
      </c>
      <c r="H5" s="238">
        <v>0.9060327877914756</v>
      </c>
      <c r="I5" s="259" t="s">
        <v>558</v>
      </c>
    </row>
    <row r="6" spans="1:10" ht="12.75">
      <c r="A6" s="238">
        <v>349</v>
      </c>
      <c r="B6" s="239">
        <v>48.1229</v>
      </c>
      <c r="C6" s="239">
        <v>-92.64715775491209</v>
      </c>
      <c r="D6" s="238">
        <v>779093.772142577</v>
      </c>
      <c r="E6" s="238">
        <v>779001.3515978965</v>
      </c>
      <c r="F6" s="238">
        <v>12000.000000003462</v>
      </c>
      <c r="G6" s="239">
        <v>0.015403119565852233</v>
      </c>
      <c r="H6" s="238">
        <v>0.8825337424587139</v>
      </c>
      <c r="I6" t="s">
        <v>557</v>
      </c>
      <c r="J6" s="259"/>
    </row>
    <row r="7" spans="1:8" ht="12.75">
      <c r="A7" s="238">
        <v>349</v>
      </c>
      <c r="B7" s="239">
        <v>48.3</v>
      </c>
      <c r="C7" s="239">
        <v>-92.77733563567864</v>
      </c>
      <c r="D7" s="238">
        <v>800983.1279560087</v>
      </c>
      <c r="E7" s="238">
        <v>800893.233377703</v>
      </c>
      <c r="F7" s="238">
        <v>11999.99999999607</v>
      </c>
      <c r="G7" s="239">
        <v>0.014982149464223098</v>
      </c>
      <c r="H7" s="238">
        <v>0.8584139323341711</v>
      </c>
    </row>
    <row r="8" spans="1:9" ht="12.75">
      <c r="A8" s="238">
        <v>349</v>
      </c>
      <c r="B8" s="239">
        <v>48.624</v>
      </c>
      <c r="C8" s="239">
        <v>-93.00835302121085</v>
      </c>
      <c r="D8" s="238">
        <v>840735.8569787999</v>
      </c>
      <c r="E8" s="238">
        <v>840650.2133526246</v>
      </c>
      <c r="F8" s="238">
        <v>12000.000002663772</v>
      </c>
      <c r="G8" s="239">
        <v>0.014273695346158946</v>
      </c>
      <c r="H8" s="238">
        <v>0.8178225013904322</v>
      </c>
      <c r="I8" t="s">
        <v>556</v>
      </c>
    </row>
    <row r="9" spans="1:9" ht="12.75">
      <c r="A9" s="257">
        <v>349</v>
      </c>
      <c r="B9" s="258">
        <f>AVERAGE(B5,B8)</f>
        <v>48.292</v>
      </c>
      <c r="C9" s="258">
        <f>AVERAGE(C5,C8)</f>
        <v>-92.76709414450227</v>
      </c>
      <c r="D9" s="257">
        <v>799843.5209400824</v>
      </c>
      <c r="E9" s="257">
        <v>799757.6766271597</v>
      </c>
      <c r="F9" s="257">
        <v>11718.219393561149</v>
      </c>
      <c r="G9" s="258">
        <v>0.014651164045801482</v>
      </c>
      <c r="H9" s="257">
        <v>0.8394498647782409</v>
      </c>
      <c r="I9" s="259" t="s">
        <v>554</v>
      </c>
    </row>
    <row r="10" spans="1:9" ht="12.75">
      <c r="A10" s="257">
        <v>349</v>
      </c>
      <c r="B10" s="258">
        <f>AVERAGE(B6,B8)</f>
        <v>48.373450000000005</v>
      </c>
      <c r="C10" s="258">
        <f>AVERAGE(C6,C8)</f>
        <v>-92.82775538806146</v>
      </c>
      <c r="D10" s="257">
        <v>809932.5153504419</v>
      </c>
      <c r="E10" s="257">
        <v>809846.2829213409</v>
      </c>
      <c r="F10" s="257">
        <v>11818.521920336136</v>
      </c>
      <c r="G10" s="258">
        <v>0.014592501410006172</v>
      </c>
      <c r="H10" s="257">
        <v>0.8360887433320565</v>
      </c>
      <c r="I10" s="259" t="s">
        <v>555</v>
      </c>
    </row>
    <row r="11" spans="1:8" ht="12.75">
      <c r="A11" s="238"/>
      <c r="B11" s="239"/>
      <c r="C11" s="239"/>
      <c r="D11" s="238"/>
      <c r="E11" s="238"/>
      <c r="F11" s="238"/>
      <c r="G11" s="239"/>
      <c r="H11" s="238"/>
    </row>
    <row r="12" spans="1:9" ht="12.75">
      <c r="A12" s="238">
        <v>349</v>
      </c>
      <c r="B12" s="239">
        <v>47.96</v>
      </c>
      <c r="C12" s="239">
        <v>-92.51832647612382</v>
      </c>
      <c r="D12" s="238">
        <v>758627.5575979202</v>
      </c>
      <c r="E12" s="238">
        <v>758540.3886063278</v>
      </c>
      <c r="F12" s="238">
        <v>11499.999997692994</v>
      </c>
      <c r="G12" s="239">
        <v>0.015159534301549815</v>
      </c>
      <c r="H12" s="238">
        <v>0.8685773348626067</v>
      </c>
      <c r="I12" s="259" t="s">
        <v>558</v>
      </c>
    </row>
    <row r="13" spans="1:9" ht="12.75">
      <c r="A13" s="238">
        <v>349</v>
      </c>
      <c r="B13" s="239">
        <v>48.1229</v>
      </c>
      <c r="C13" s="239">
        <v>-92.63954831466243</v>
      </c>
      <c r="D13" s="238">
        <v>778829.5364385842</v>
      </c>
      <c r="E13" s="238">
        <v>778744.628764231</v>
      </c>
      <c r="F13" s="238">
        <v>11500.000000001191</v>
      </c>
      <c r="G13" s="239">
        <v>0.014766283748343155</v>
      </c>
      <c r="H13" s="238">
        <v>0.8460457378726802</v>
      </c>
      <c r="I13" t="s">
        <v>557</v>
      </c>
    </row>
    <row r="14" spans="1:8" ht="12.75">
      <c r="A14" s="238">
        <v>349</v>
      </c>
      <c r="B14" s="239">
        <v>48.3</v>
      </c>
      <c r="C14" s="239">
        <v>-92.76949469035155</v>
      </c>
      <c r="D14" s="238">
        <v>800711.3806027126</v>
      </c>
      <c r="E14" s="238">
        <v>800628.7935278527</v>
      </c>
      <c r="F14" s="238">
        <v>11500.00003638872</v>
      </c>
      <c r="G14" s="239">
        <v>0.014362722585757957</v>
      </c>
      <c r="H14" s="238">
        <v>0.8229233864811556</v>
      </c>
    </row>
    <row r="15" spans="1:9" ht="12.75">
      <c r="A15" s="238">
        <v>349</v>
      </c>
      <c r="B15" s="239">
        <v>48.624</v>
      </c>
      <c r="C15" s="239">
        <v>-92.99955</v>
      </c>
      <c r="D15" s="238">
        <v>840432.2951531279</v>
      </c>
      <c r="E15" s="238">
        <v>840353.5982893994</v>
      </c>
      <c r="F15" s="238">
        <v>11500.981628236932</v>
      </c>
      <c r="G15" s="239">
        <v>0.013685029343157523</v>
      </c>
      <c r="H15" s="238">
        <v>0.7840944238756152</v>
      </c>
      <c r="I15" t="s">
        <v>556</v>
      </c>
    </row>
    <row r="16" spans="1:9" ht="12.75">
      <c r="A16" s="257">
        <v>349</v>
      </c>
      <c r="B16" s="258">
        <f>AVERAGE(B12,B15)</f>
        <v>48.292</v>
      </c>
      <c r="C16" s="258">
        <f>AVERAGE(C12,C15)</f>
        <v>-92.75893823806192</v>
      </c>
      <c r="D16" s="257">
        <v>799561.0606603671</v>
      </c>
      <c r="E16" s="257">
        <v>799482.6395018534</v>
      </c>
      <c r="F16" s="257">
        <v>11198.163219067264</v>
      </c>
      <c r="G16" s="258">
        <v>0.01400584632078472</v>
      </c>
      <c r="H16" s="257">
        <v>0.8024758826897966</v>
      </c>
      <c r="I16" s="259" t="s">
        <v>554</v>
      </c>
    </row>
    <row r="17" spans="1:9" ht="12.75">
      <c r="A17" s="257">
        <v>349</v>
      </c>
      <c r="B17" s="258">
        <f>AVERAGE(B13,B15)</f>
        <v>48.373450000000005</v>
      </c>
      <c r="C17" s="258">
        <f>AVERAGE(C13,C15)</f>
        <v>-92.81954915733121</v>
      </c>
      <c r="D17" s="257">
        <v>809648.5293631039</v>
      </c>
      <c r="E17" s="257">
        <v>809569.5913867899</v>
      </c>
      <c r="F17" s="257">
        <v>11305.65352657656</v>
      </c>
      <c r="G17" s="258">
        <v>0.013964109798006663</v>
      </c>
      <c r="H17" s="257">
        <v>0.8000845560830623</v>
      </c>
      <c r="I17" s="259" t="s">
        <v>555</v>
      </c>
    </row>
    <row r="18" spans="1:8" ht="12.75">
      <c r="A18" s="238"/>
      <c r="B18" s="258"/>
      <c r="C18" s="258"/>
      <c r="D18" s="238"/>
      <c r="E18" s="238"/>
      <c r="F18" s="238"/>
      <c r="G18" s="239"/>
      <c r="H18" s="238"/>
    </row>
    <row r="19" spans="1:9" ht="12.75">
      <c r="A19" s="112">
        <v>349</v>
      </c>
      <c r="B19" s="229">
        <v>47.96</v>
      </c>
      <c r="C19" s="229">
        <v>-92.17374877606464</v>
      </c>
      <c r="D19" s="112">
        <v>747049.9216384068</v>
      </c>
      <c r="E19" s="112">
        <v>746961.4015594937</v>
      </c>
      <c r="F19" s="112">
        <v>11500.000009851357</v>
      </c>
      <c r="G19" s="229">
        <v>0.015394492283426726</v>
      </c>
      <c r="H19" s="112">
        <v>0.8820394355870649</v>
      </c>
      <c r="I19" s="259" t="s">
        <v>558</v>
      </c>
    </row>
    <row r="20" spans="1:9" ht="12.75">
      <c r="A20" s="112">
        <v>349</v>
      </c>
      <c r="B20" s="229">
        <v>48.1229</v>
      </c>
      <c r="C20" s="229">
        <v>-92.29709964849327</v>
      </c>
      <c r="D20" s="112">
        <v>767325.7851312436</v>
      </c>
      <c r="E20" s="112">
        <v>767239.6043787514</v>
      </c>
      <c r="F20" s="112">
        <v>11500.000000726262</v>
      </c>
      <c r="G20" s="229">
        <v>0.014987676390577987</v>
      </c>
      <c r="H20" s="112">
        <v>0.8587306018879858</v>
      </c>
      <c r="I20" t="s">
        <v>557</v>
      </c>
    </row>
    <row r="21" spans="1:8" ht="12.75">
      <c r="A21" s="112">
        <v>349</v>
      </c>
      <c r="B21" s="229">
        <v>48.3</v>
      </c>
      <c r="C21" s="229">
        <v>-92.43481034385361</v>
      </c>
      <c r="D21" s="112">
        <v>789471.1175110191</v>
      </c>
      <c r="E21" s="112">
        <v>789387.3544608831</v>
      </c>
      <c r="F21" s="112">
        <v>11500.000058508273</v>
      </c>
      <c r="G21" s="229">
        <v>0.014567229298388449</v>
      </c>
      <c r="H21" s="112">
        <v>0.8346407579969775</v>
      </c>
    </row>
    <row r="22" spans="1:9" ht="12.75">
      <c r="A22" s="112">
        <v>349</v>
      </c>
      <c r="B22" s="229">
        <v>48.445</v>
      </c>
      <c r="C22" s="229">
        <v>-92.55086954711489</v>
      </c>
      <c r="D22" s="112">
        <v>807698.3860003486</v>
      </c>
      <c r="E22" s="112">
        <v>807616.513419311</v>
      </c>
      <c r="F22" s="112">
        <v>11500.000000177357</v>
      </c>
      <c r="G22" s="229">
        <v>0.01423846918876043</v>
      </c>
      <c r="H22" s="112">
        <v>0.8158041912430337</v>
      </c>
      <c r="I22" t="s">
        <v>556</v>
      </c>
    </row>
    <row r="23" spans="1:9" ht="12.75">
      <c r="A23" s="257">
        <v>349</v>
      </c>
      <c r="B23" s="258">
        <f>AVERAGE(B19,B22)</f>
        <v>48.2025</v>
      </c>
      <c r="C23" s="258">
        <f>AVERAGE(C19,C22)</f>
        <v>-92.36230916158976</v>
      </c>
      <c r="D23" s="260">
        <v>777388.9623691669</v>
      </c>
      <c r="E23" s="260">
        <v>777307.5282382756</v>
      </c>
      <c r="F23" s="260">
        <v>11251.904617098502</v>
      </c>
      <c r="G23" s="261">
        <v>0.014474475545672005</v>
      </c>
      <c r="H23" s="260">
        <v>0.8293263594323251</v>
      </c>
      <c r="I23" s="259" t="s">
        <v>554</v>
      </c>
    </row>
    <row r="24" spans="1:9" ht="12.75">
      <c r="A24" s="257">
        <v>349</v>
      </c>
      <c r="B24" s="258">
        <f>AVERAGE(B20,B22)</f>
        <v>48.283950000000004</v>
      </c>
      <c r="C24" s="258">
        <f>AVERAGE(C20,C22)</f>
        <v>-92.42398459780408</v>
      </c>
      <c r="D24" s="260">
        <v>787518.6195378639</v>
      </c>
      <c r="E24" s="260">
        <v>787436.347509822</v>
      </c>
      <c r="F24" s="260">
        <v>11383.090055584953</v>
      </c>
      <c r="G24" s="261">
        <v>0.014454879144021727</v>
      </c>
      <c r="H24" s="260">
        <v>0.828203568324121</v>
      </c>
      <c r="I24" s="259" t="s">
        <v>555</v>
      </c>
    </row>
    <row r="25" spans="1:8" ht="12.75">
      <c r="A25" s="112"/>
      <c r="B25" s="229"/>
      <c r="C25" s="229"/>
      <c r="D25" s="112"/>
      <c r="E25" s="112"/>
      <c r="F25" s="112"/>
      <c r="G25" s="229"/>
      <c r="H25" s="112"/>
    </row>
    <row r="26" spans="1:9" ht="12.75">
      <c r="A26" s="112">
        <v>349</v>
      </c>
      <c r="B26" s="229">
        <v>47.96</v>
      </c>
      <c r="C26" s="229">
        <v>-92.16625614727762</v>
      </c>
      <c r="D26" s="112">
        <v>746807.1099736808</v>
      </c>
      <c r="E26" s="112">
        <v>746710.6933125998</v>
      </c>
      <c r="F26" s="112">
        <v>11999.999994076952</v>
      </c>
      <c r="G26" s="229">
        <v>0.01606909773778381</v>
      </c>
      <c r="H26" s="112">
        <v>0.9206914809582312</v>
      </c>
      <c r="I26" s="259" t="s">
        <v>558</v>
      </c>
    </row>
    <row r="27" spans="1:9" ht="12.75">
      <c r="A27" s="112">
        <v>349</v>
      </c>
      <c r="B27" s="229">
        <v>48.1229</v>
      </c>
      <c r="C27" s="229">
        <v>-92.28950653625937</v>
      </c>
      <c r="D27" s="112">
        <v>767079.444495136</v>
      </c>
      <c r="E27" s="112">
        <v>766985.5762445985</v>
      </c>
      <c r="F27" s="112">
        <v>11999.999987819128</v>
      </c>
      <c r="G27" s="229">
        <v>0.015644389354652507</v>
      </c>
      <c r="H27" s="112">
        <v>0.8963574830809823</v>
      </c>
      <c r="I27" t="s">
        <v>557</v>
      </c>
    </row>
    <row r="28" spans="1:8" ht="12.75">
      <c r="A28" s="112">
        <v>349</v>
      </c>
      <c r="B28" s="229">
        <v>48.3</v>
      </c>
      <c r="C28" s="229">
        <v>-92.42698590880661</v>
      </c>
      <c r="D28" s="112">
        <v>789216.8568820962</v>
      </c>
      <c r="E28" s="112">
        <v>789125.6219305105</v>
      </c>
      <c r="F28" s="112">
        <v>11999.999985004746</v>
      </c>
      <c r="G28" s="229">
        <v>0.015205532306180894</v>
      </c>
      <c r="H28" s="112">
        <v>0.8712128263939907</v>
      </c>
    </row>
    <row r="29" spans="1:9" ht="12.75">
      <c r="A29" s="112">
        <v>349</v>
      </c>
      <c r="B29" s="229">
        <v>48.446</v>
      </c>
      <c r="C29" s="229">
        <v>-92.54353289536166</v>
      </c>
      <c r="D29" s="112">
        <v>807559.1728913072</v>
      </c>
      <c r="E29" s="112">
        <v>807470.0104157999</v>
      </c>
      <c r="F29" s="112">
        <v>12000.000000009335</v>
      </c>
      <c r="G29" s="229">
        <v>0.014860139122551129</v>
      </c>
      <c r="H29" s="112">
        <v>0.851423254699418</v>
      </c>
      <c r="I29" t="s">
        <v>556</v>
      </c>
    </row>
    <row r="30" spans="1:9" ht="12.75">
      <c r="A30" s="257">
        <v>349</v>
      </c>
      <c r="B30" s="258">
        <f>AVERAGE(B26,B29)</f>
        <v>48.203</v>
      </c>
      <c r="C30" s="258">
        <f>AVERAGE(C26,C29)</f>
        <v>-92.35489452131964</v>
      </c>
      <c r="D30" s="260">
        <v>777197.9587423252</v>
      </c>
      <c r="E30" s="260">
        <v>777108.9892986073</v>
      </c>
      <c r="F30" s="260">
        <v>11759.499331771369</v>
      </c>
      <c r="G30" s="261">
        <v>0.01513121327900675</v>
      </c>
      <c r="H30" s="260">
        <v>0.8669546597993941</v>
      </c>
      <c r="I30" s="259" t="s">
        <v>554</v>
      </c>
    </row>
    <row r="31" spans="1:9" ht="12.75">
      <c r="A31" s="257">
        <v>349</v>
      </c>
      <c r="B31" s="258">
        <f>AVERAGE(B27,B29)</f>
        <v>48.28445</v>
      </c>
      <c r="C31" s="258">
        <f>AVERAGE(C27,C29)</f>
        <v>-92.41651971581052</v>
      </c>
      <c r="D31" s="112">
        <v>787325.8632702827</v>
      </c>
      <c r="E31" s="112">
        <v>787236.128980071</v>
      </c>
      <c r="F31" s="112">
        <v>11886.639675243869</v>
      </c>
      <c r="G31" s="229">
        <v>0.0150980576629306</v>
      </c>
      <c r="H31" s="112">
        <v>0.8650549829310747</v>
      </c>
      <c r="I31" s="259" t="s">
        <v>555</v>
      </c>
    </row>
  </sheetData>
  <printOptions/>
  <pageMargins left="0.5" right="0.2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I221"/>
  <sheetViews>
    <sheetView workbookViewId="0" topLeftCell="A92">
      <selection activeCell="G68" sqref="G68:I68"/>
    </sheetView>
  </sheetViews>
  <sheetFormatPr defaultColWidth="9.140625" defaultRowHeight="12.75"/>
  <cols>
    <col min="1" max="1" width="10.421875" style="0" customWidth="1"/>
    <col min="2" max="2" width="9.28125" style="0" customWidth="1"/>
    <col min="3" max="3" width="13.00390625" style="0" customWidth="1"/>
    <col min="4" max="4" width="3.7109375" style="0" customWidth="1"/>
    <col min="5" max="5" width="3.28125" style="0" customWidth="1"/>
    <col min="6" max="6" width="11.421875" style="0" customWidth="1"/>
    <col min="7" max="7" width="14.7109375" style="0" bestFit="1" customWidth="1"/>
    <col min="8" max="8" width="16.28125" style="0" bestFit="1" customWidth="1"/>
    <col min="9" max="9" width="12.7109375" style="0" customWidth="1"/>
  </cols>
  <sheetData>
    <row r="1" ht="12.75">
      <c r="A1" s="10" t="s">
        <v>34</v>
      </c>
    </row>
    <row r="2" spans="4:6" ht="14.25">
      <c r="D2" s="3">
        <v>0</v>
      </c>
      <c r="E2" s="5" t="s">
        <v>17</v>
      </c>
      <c r="F2" s="4" t="s">
        <v>18</v>
      </c>
    </row>
    <row r="3" spans="1:6" ht="12.75">
      <c r="A3" s="1">
        <v>6589</v>
      </c>
      <c r="C3" t="s">
        <v>2</v>
      </c>
      <c r="D3">
        <v>41</v>
      </c>
      <c r="E3">
        <v>49</v>
      </c>
      <c r="F3" s="6">
        <v>56.567083</v>
      </c>
    </row>
    <row r="4" spans="3:6" ht="12.75">
      <c r="C4" t="s">
        <v>3</v>
      </c>
      <c r="D4">
        <v>88</v>
      </c>
      <c r="E4">
        <v>16</v>
      </c>
      <c r="F4" s="6">
        <v>1.459018</v>
      </c>
    </row>
    <row r="5" spans="2:3" ht="12.75">
      <c r="B5" s="2">
        <v>197.4698</v>
      </c>
      <c r="C5" t="s">
        <v>4</v>
      </c>
    </row>
    <row r="7" spans="1:6" ht="12.75">
      <c r="A7" s="1" t="s">
        <v>27</v>
      </c>
      <c r="C7" t="s">
        <v>2</v>
      </c>
      <c r="D7">
        <v>47</v>
      </c>
      <c r="E7">
        <v>49</v>
      </c>
      <c r="F7" s="6">
        <v>11.799232</v>
      </c>
    </row>
    <row r="8" spans="3:6" ht="12.75">
      <c r="C8" t="s">
        <v>3</v>
      </c>
      <c r="D8">
        <v>92</v>
      </c>
      <c r="E8">
        <v>14</v>
      </c>
      <c r="F8" s="6">
        <v>30.2552</v>
      </c>
    </row>
    <row r="9" spans="2:3" ht="12.75">
      <c r="B9" s="2">
        <v>456.1844</v>
      </c>
      <c r="C9" t="s">
        <v>4</v>
      </c>
    </row>
    <row r="10" ht="12.75">
      <c r="B10" s="2"/>
    </row>
    <row r="12" ht="12.75">
      <c r="A12" s="10" t="s">
        <v>33</v>
      </c>
    </row>
    <row r="14" spans="1:6" ht="12.75">
      <c r="A14" s="1">
        <v>6589</v>
      </c>
      <c r="C14" t="s">
        <v>2</v>
      </c>
      <c r="D14">
        <v>41</v>
      </c>
      <c r="E14">
        <v>49</v>
      </c>
      <c r="F14" s="6">
        <v>56.566625</v>
      </c>
    </row>
    <row r="15" spans="3:6" ht="12.75">
      <c r="C15" t="s">
        <v>3</v>
      </c>
      <c r="D15">
        <v>88</v>
      </c>
      <c r="E15">
        <v>16</v>
      </c>
      <c r="F15" s="6">
        <v>1.459527</v>
      </c>
    </row>
    <row r="16" spans="2:3" ht="12.75">
      <c r="B16" s="2">
        <v>197.3751</v>
      </c>
      <c r="C16" t="s">
        <v>4</v>
      </c>
    </row>
    <row r="18" spans="1:6" ht="12.75">
      <c r="A18" s="1" t="s">
        <v>27</v>
      </c>
      <c r="C18" t="s">
        <v>2</v>
      </c>
      <c r="D18">
        <v>47</v>
      </c>
      <c r="E18">
        <v>49</v>
      </c>
      <c r="F18" s="6">
        <v>11.799701</v>
      </c>
    </row>
    <row r="19" spans="3:6" ht="12.75">
      <c r="C19" t="s">
        <v>3</v>
      </c>
      <c r="D19">
        <v>92</v>
      </c>
      <c r="E19">
        <v>14</v>
      </c>
      <c r="F19" s="6">
        <v>30.25502</v>
      </c>
    </row>
    <row r="20" spans="2:3" ht="12.75">
      <c r="B20" s="2">
        <v>456.1255</v>
      </c>
      <c r="C20" t="s">
        <v>4</v>
      </c>
    </row>
    <row r="23" ht="12.75">
      <c r="A23" s="10" t="s">
        <v>69</v>
      </c>
    </row>
    <row r="25" spans="1:6" ht="12.75">
      <c r="A25" s="1">
        <v>6589</v>
      </c>
      <c r="C25" t="s">
        <v>2</v>
      </c>
      <c r="D25">
        <v>41</v>
      </c>
      <c r="E25">
        <v>49</v>
      </c>
      <c r="F25" s="6">
        <v>56.56683</v>
      </c>
    </row>
    <row r="26" spans="3:6" ht="12.75">
      <c r="C26" t="s">
        <v>3</v>
      </c>
      <c r="D26">
        <v>88</v>
      </c>
      <c r="E26">
        <v>16</v>
      </c>
      <c r="F26" s="6">
        <v>1.459416</v>
      </c>
    </row>
    <row r="27" spans="2:3" ht="12.75">
      <c r="B27" s="2">
        <v>197.3415</v>
      </c>
      <c r="C27" t="s">
        <v>4</v>
      </c>
    </row>
    <row r="29" spans="1:6" ht="12.75">
      <c r="A29" s="1" t="s">
        <v>27</v>
      </c>
      <c r="C29" t="s">
        <v>2</v>
      </c>
      <c r="D29">
        <v>47</v>
      </c>
      <c r="E29">
        <v>49</v>
      </c>
      <c r="F29" s="6">
        <v>11.799106</v>
      </c>
    </row>
    <row r="30" spans="3:6" ht="12.75">
      <c r="C30" t="s">
        <v>3</v>
      </c>
      <c r="D30">
        <v>92</v>
      </c>
      <c r="E30">
        <v>14</v>
      </c>
      <c r="F30" s="6">
        <v>30.254936</v>
      </c>
    </row>
    <row r="31" spans="2:3" ht="12.75">
      <c r="B31" s="2">
        <v>456.1597</v>
      </c>
      <c r="C31" t="s">
        <v>4</v>
      </c>
    </row>
    <row r="34" ht="12.75">
      <c r="A34" s="10" t="s">
        <v>93</v>
      </c>
    </row>
    <row r="36" spans="1:6" ht="12.75">
      <c r="A36" s="1">
        <v>6589</v>
      </c>
      <c r="C36" t="s">
        <v>2</v>
      </c>
      <c r="D36">
        <v>41</v>
      </c>
      <c r="E36">
        <v>49</v>
      </c>
      <c r="F36" s="6">
        <v>56.566903</v>
      </c>
    </row>
    <row r="37" spans="3:6" ht="12.75">
      <c r="C37" t="s">
        <v>3</v>
      </c>
      <c r="D37">
        <v>88</v>
      </c>
      <c r="E37">
        <v>16</v>
      </c>
      <c r="F37" s="6">
        <v>1.4592583</v>
      </c>
    </row>
    <row r="38" spans="2:3" ht="12.75">
      <c r="B38" s="2">
        <v>197.337328</v>
      </c>
      <c r="C38" t="s">
        <v>4</v>
      </c>
    </row>
    <row r="40" spans="1:6" ht="12.75">
      <c r="A40" s="1" t="s">
        <v>27</v>
      </c>
      <c r="C40" t="s">
        <v>2</v>
      </c>
      <c r="D40">
        <v>47</v>
      </c>
      <c r="E40">
        <v>49</v>
      </c>
      <c r="F40" s="6">
        <v>11.7992838</v>
      </c>
    </row>
    <row r="41" spans="3:6" ht="12.75">
      <c r="C41" t="s">
        <v>3</v>
      </c>
      <c r="D41">
        <v>92</v>
      </c>
      <c r="E41">
        <v>14</v>
      </c>
      <c r="F41" s="6">
        <v>30.255151</v>
      </c>
    </row>
    <row r="42" spans="2:3" ht="12.75">
      <c r="B42" s="2">
        <v>456.1518</v>
      </c>
      <c r="C42" t="s">
        <v>4</v>
      </c>
    </row>
    <row r="45" ht="12.75">
      <c r="A45" s="10" t="s">
        <v>112</v>
      </c>
    </row>
    <row r="47" spans="1:6" ht="12.75">
      <c r="A47" s="1">
        <v>6589</v>
      </c>
      <c r="C47" t="s">
        <v>2</v>
      </c>
      <c r="D47">
        <v>41</v>
      </c>
      <c r="E47">
        <v>49</v>
      </c>
      <c r="F47" s="6">
        <v>56.59487</v>
      </c>
    </row>
    <row r="48" spans="3:6" ht="12.75">
      <c r="C48" t="s">
        <v>3</v>
      </c>
      <c r="D48">
        <v>88</v>
      </c>
      <c r="E48">
        <v>16</v>
      </c>
      <c r="F48" s="6">
        <v>1.4818</v>
      </c>
    </row>
    <row r="49" spans="2:3" ht="12.75">
      <c r="B49" s="2">
        <v>196.327</v>
      </c>
      <c r="C49" t="s">
        <v>4</v>
      </c>
    </row>
    <row r="51" spans="1:6" ht="12.75">
      <c r="A51" s="1" t="s">
        <v>27</v>
      </c>
      <c r="C51" t="s">
        <v>2</v>
      </c>
      <c r="D51">
        <v>47</v>
      </c>
      <c r="E51">
        <v>49</v>
      </c>
      <c r="F51" s="6">
        <v>11.82978</v>
      </c>
    </row>
    <row r="52" spans="3:6" ht="12.75">
      <c r="C52" t="s">
        <v>3</v>
      </c>
      <c r="D52">
        <v>92</v>
      </c>
      <c r="E52">
        <v>14</v>
      </c>
      <c r="F52" s="6">
        <v>30.28571</v>
      </c>
    </row>
    <row r="53" spans="2:3" ht="12.75">
      <c r="B53" s="2">
        <v>455.194</v>
      </c>
      <c r="C53" t="s">
        <v>4</v>
      </c>
    </row>
    <row r="56" ht="12.75">
      <c r="A56" s="10" t="s">
        <v>99</v>
      </c>
    </row>
    <row r="58" spans="1:6" ht="12.75">
      <c r="A58" s="1">
        <v>6589</v>
      </c>
      <c r="C58" t="s">
        <v>2</v>
      </c>
      <c r="D58">
        <v>41</v>
      </c>
      <c r="E58">
        <v>49</v>
      </c>
      <c r="F58" s="6">
        <v>56.56679</v>
      </c>
    </row>
    <row r="59" spans="3:6" ht="12.75">
      <c r="C59" t="s">
        <v>3</v>
      </c>
      <c r="D59">
        <v>88</v>
      </c>
      <c r="E59">
        <v>16</v>
      </c>
      <c r="F59" s="6">
        <v>1.45932</v>
      </c>
    </row>
    <row r="60" spans="2:3" ht="12.75">
      <c r="B60" s="2">
        <v>197.43</v>
      </c>
      <c r="C60" t="s">
        <v>4</v>
      </c>
    </row>
    <row r="62" spans="1:6" ht="12.75">
      <c r="A62" s="1" t="s">
        <v>28</v>
      </c>
      <c r="C62" t="s">
        <v>2</v>
      </c>
      <c r="D62">
        <v>47</v>
      </c>
      <c r="E62">
        <v>49</v>
      </c>
      <c r="F62" s="6">
        <v>11.7994</v>
      </c>
    </row>
    <row r="63" spans="3:6" ht="12.75">
      <c r="C63" t="s">
        <v>3</v>
      </c>
      <c r="D63">
        <v>92</v>
      </c>
      <c r="E63">
        <v>14</v>
      </c>
      <c r="F63" s="6">
        <v>30.25592</v>
      </c>
    </row>
    <row r="64" spans="2:3" ht="12.75">
      <c r="B64" s="2">
        <v>456.07</v>
      </c>
      <c r="C64" t="s">
        <v>4</v>
      </c>
    </row>
    <row r="67" ht="12.75">
      <c r="A67" s="10" t="s">
        <v>106</v>
      </c>
    </row>
    <row r="68" spans="7:9" ht="12.75">
      <c r="G68" s="1" t="s">
        <v>15</v>
      </c>
      <c r="H68" s="1" t="s">
        <v>16</v>
      </c>
      <c r="I68" s="1" t="s">
        <v>11</v>
      </c>
    </row>
    <row r="69" spans="1:9" ht="12.75">
      <c r="A69" s="1" t="s">
        <v>109</v>
      </c>
      <c r="C69" t="s">
        <v>2</v>
      </c>
      <c r="D69">
        <v>47</v>
      </c>
      <c r="E69">
        <v>49</v>
      </c>
      <c r="F69" s="6">
        <v>12.9530664</v>
      </c>
      <c r="G69" s="2">
        <v>35.633500237684586</v>
      </c>
      <c r="H69" s="2">
        <v>24.19270044001809</v>
      </c>
      <c r="I69" s="2">
        <v>-704.5416004610303</v>
      </c>
    </row>
    <row r="70" spans="3:6" ht="12.75">
      <c r="C70" t="s">
        <v>3</v>
      </c>
      <c r="D70">
        <v>92</v>
      </c>
      <c r="E70">
        <v>14</v>
      </c>
      <c r="F70" s="6">
        <v>29.09206031</v>
      </c>
    </row>
    <row r="71" spans="2:3" ht="12.75">
      <c r="B71" s="2">
        <v>-248.389655</v>
      </c>
      <c r="C71" t="s">
        <v>4</v>
      </c>
    </row>
    <row r="74" ht="12.75">
      <c r="A74" s="10" t="s">
        <v>110</v>
      </c>
    </row>
    <row r="76" spans="1:6" ht="12.75">
      <c r="A76" s="1" t="s">
        <v>107</v>
      </c>
      <c r="C76" t="s">
        <v>2</v>
      </c>
      <c r="D76">
        <v>41</v>
      </c>
      <c r="E76">
        <v>49</v>
      </c>
      <c r="F76" s="6">
        <v>38.134927</v>
      </c>
    </row>
    <row r="77" spans="3:6" ht="12.75">
      <c r="C77" t="s">
        <v>3</v>
      </c>
      <c r="D77">
        <v>88</v>
      </c>
      <c r="E77">
        <v>16</v>
      </c>
      <c r="F77" s="6">
        <v>8.184535</v>
      </c>
    </row>
    <row r="78" spans="2:3" ht="12.75">
      <c r="B78" s="2">
        <v>185.1904</v>
      </c>
      <c r="C78" t="s">
        <v>4</v>
      </c>
    </row>
    <row r="80" spans="1:9" ht="12.75">
      <c r="A80" s="121" t="s">
        <v>108</v>
      </c>
      <c r="B80" s="124" t="s">
        <v>292</v>
      </c>
      <c r="C80" s="122" t="s">
        <v>2</v>
      </c>
      <c r="D80" s="122">
        <v>41</v>
      </c>
      <c r="E80" s="122">
        <v>49</v>
      </c>
      <c r="F80" s="46">
        <v>55.2176981</v>
      </c>
      <c r="G80" s="122"/>
      <c r="H80" s="122"/>
      <c r="I80" s="122"/>
    </row>
    <row r="81" spans="1:9" ht="12.75">
      <c r="A81" s="121" t="s">
        <v>138</v>
      </c>
      <c r="B81" s="124" t="s">
        <v>293</v>
      </c>
      <c r="C81" s="122" t="s">
        <v>3</v>
      </c>
      <c r="D81" s="122">
        <v>88</v>
      </c>
      <c r="E81" s="122">
        <v>15</v>
      </c>
      <c r="F81" s="46">
        <v>55.98698138</v>
      </c>
      <c r="G81" s="122">
        <v>144059.16813760332</v>
      </c>
      <c r="H81" s="123">
        <v>-4757398.676700387</v>
      </c>
      <c r="I81" s="123">
        <v>4231821.830868212</v>
      </c>
    </row>
    <row r="82" spans="1:9" ht="12.75">
      <c r="A82" s="122"/>
      <c r="B82" s="123">
        <v>154.410767</v>
      </c>
      <c r="C82" s="122" t="s">
        <v>4</v>
      </c>
      <c r="D82" s="122"/>
      <c r="E82" s="122"/>
      <c r="F82" s="122"/>
      <c r="G82" s="122"/>
      <c r="H82" s="122"/>
      <c r="I82" s="122"/>
    </row>
    <row r="85" ht="12.75">
      <c r="A85" s="10" t="s">
        <v>111</v>
      </c>
    </row>
    <row r="86" spans="7:9" ht="12.75">
      <c r="G86" s="1" t="s">
        <v>15</v>
      </c>
      <c r="H86" s="1" t="s">
        <v>16</v>
      </c>
      <c r="I86" s="1" t="s">
        <v>11</v>
      </c>
    </row>
    <row r="87" spans="1:9" ht="12.75">
      <c r="A87" s="1" t="s">
        <v>109</v>
      </c>
      <c r="C87" t="s">
        <v>2</v>
      </c>
      <c r="D87">
        <v>47</v>
      </c>
      <c r="E87">
        <v>49</v>
      </c>
      <c r="F87" s="6">
        <v>12.953182607</v>
      </c>
      <c r="G87" s="2">
        <v>35.633500237684586</v>
      </c>
      <c r="H87" s="2">
        <v>24.19270044001809</v>
      </c>
      <c r="I87" s="2">
        <v>-704.5416004610303</v>
      </c>
    </row>
    <row r="88" spans="3:6" ht="12.75">
      <c r="C88" t="s">
        <v>3</v>
      </c>
      <c r="D88">
        <v>92</v>
      </c>
      <c r="E88">
        <v>14</v>
      </c>
      <c r="F88" s="6">
        <v>29.092829315</v>
      </c>
    </row>
    <row r="89" spans="2:3" ht="12.75">
      <c r="B89" s="2">
        <v>-248.4714545</v>
      </c>
      <c r="C89" t="s">
        <v>4</v>
      </c>
    </row>
    <row r="92" ht="12.75">
      <c r="A92" s="10" t="s">
        <v>113</v>
      </c>
    </row>
    <row r="94" spans="1:6" ht="12.75">
      <c r="A94" s="1">
        <v>6589</v>
      </c>
      <c r="C94" t="s">
        <v>2</v>
      </c>
      <c r="D94">
        <v>41</v>
      </c>
      <c r="E94">
        <v>49</v>
      </c>
      <c r="F94" s="6">
        <v>56.59464</v>
      </c>
    </row>
    <row r="95" spans="3:6" ht="12.75">
      <c r="C95" t="s">
        <v>3</v>
      </c>
      <c r="D95">
        <v>88</v>
      </c>
      <c r="E95">
        <v>16</v>
      </c>
      <c r="F95" s="6">
        <v>1.48198</v>
      </c>
    </row>
    <row r="96" spans="2:3" ht="12.75">
      <c r="B96" s="2">
        <v>196.262</v>
      </c>
      <c r="C96" t="s">
        <v>4</v>
      </c>
    </row>
    <row r="98" spans="1:6" ht="12.75">
      <c r="A98" s="1" t="s">
        <v>27</v>
      </c>
      <c r="C98" t="s">
        <v>2</v>
      </c>
      <c r="D98">
        <v>47</v>
      </c>
      <c r="E98">
        <v>49</v>
      </c>
      <c r="F98" s="6">
        <v>11.82975</v>
      </c>
    </row>
    <row r="99" spans="3:6" ht="12.75">
      <c r="C99" t="s">
        <v>3</v>
      </c>
      <c r="D99">
        <v>92</v>
      </c>
      <c r="E99">
        <v>14</v>
      </c>
      <c r="F99" s="6">
        <v>30.28538</v>
      </c>
    </row>
    <row r="100" spans="2:3" ht="12.75">
      <c r="B100" s="2">
        <v>455.245</v>
      </c>
      <c r="C100" t="s">
        <v>4</v>
      </c>
    </row>
    <row r="103" ht="12.75">
      <c r="A103" s="10" t="s">
        <v>114</v>
      </c>
    </row>
    <row r="105" spans="1:6" ht="12.75">
      <c r="A105" s="1">
        <v>6589</v>
      </c>
      <c r="C105" t="s">
        <v>2</v>
      </c>
      <c r="D105">
        <v>41</v>
      </c>
      <c r="E105">
        <v>49</v>
      </c>
      <c r="F105" s="6">
        <v>56.56656</v>
      </c>
    </row>
    <row r="106" spans="3:6" ht="12.75">
      <c r="C106" t="s">
        <v>3</v>
      </c>
      <c r="D106">
        <v>88</v>
      </c>
      <c r="E106">
        <v>16</v>
      </c>
      <c r="F106" s="6">
        <v>1.4595</v>
      </c>
    </row>
    <row r="107" spans="2:3" ht="12.75">
      <c r="B107" s="2">
        <v>197.365</v>
      </c>
      <c r="C107" t="s">
        <v>4</v>
      </c>
    </row>
    <row r="109" spans="1:6" ht="12.75">
      <c r="A109" s="1" t="s">
        <v>28</v>
      </c>
      <c r="C109" t="s">
        <v>2</v>
      </c>
      <c r="D109">
        <v>47</v>
      </c>
      <c r="E109">
        <v>49</v>
      </c>
      <c r="F109" s="6">
        <v>11.79937</v>
      </c>
    </row>
    <row r="110" spans="3:9" ht="12.75">
      <c r="C110" t="s">
        <v>3</v>
      </c>
      <c r="D110">
        <v>92</v>
      </c>
      <c r="E110">
        <v>14</v>
      </c>
      <c r="F110" s="6">
        <v>30.25559</v>
      </c>
      <c r="G110">
        <v>-167840.90102975717</v>
      </c>
      <c r="H110">
        <v>-4287596.996135969</v>
      </c>
      <c r="I110">
        <v>4703794.889874318</v>
      </c>
    </row>
    <row r="111" spans="2:7" ht="12.75">
      <c r="B111" s="2">
        <v>456.121</v>
      </c>
      <c r="C111" t="s">
        <v>4</v>
      </c>
      <c r="G111" t="s">
        <v>117</v>
      </c>
    </row>
    <row r="112" spans="7:9" ht="12.75">
      <c r="G112" s="1" t="s">
        <v>15</v>
      </c>
      <c r="H112" s="1" t="s">
        <v>16</v>
      </c>
      <c r="I112" s="1" t="s">
        <v>11</v>
      </c>
    </row>
    <row r="113" spans="1:9" ht="12.75">
      <c r="A113" s="1" t="s">
        <v>116</v>
      </c>
      <c r="C113" t="s">
        <v>2</v>
      </c>
      <c r="D113">
        <v>47</v>
      </c>
      <c r="E113">
        <v>49</v>
      </c>
      <c r="F113" s="6">
        <v>10.99191</v>
      </c>
      <c r="G113">
        <v>-24.940087453830557</v>
      </c>
      <c r="H113">
        <v>57.558210764093246</v>
      </c>
      <c r="I113">
        <v>0.6736919691796857</v>
      </c>
    </row>
    <row r="114" spans="3:6" ht="12.75">
      <c r="C114" t="s">
        <v>3</v>
      </c>
      <c r="D114">
        <v>92</v>
      </c>
      <c r="E114">
        <v>14</v>
      </c>
      <c r="F114" s="6">
        <v>27.48875</v>
      </c>
    </row>
    <row r="115" spans="2:3" ht="12.75">
      <c r="B115" s="2">
        <v>456.795</v>
      </c>
      <c r="C115" t="s">
        <v>4</v>
      </c>
    </row>
    <row r="117" spans="1:9" ht="12.75">
      <c r="A117" s="1" t="s">
        <v>115</v>
      </c>
      <c r="C117" t="s">
        <v>2</v>
      </c>
      <c r="D117">
        <v>47</v>
      </c>
      <c r="E117">
        <v>49</v>
      </c>
      <c r="F117" s="6">
        <v>10.62841</v>
      </c>
      <c r="G117">
        <v>-36.16741876690649</v>
      </c>
      <c r="H117">
        <v>-78.74420482397632</v>
      </c>
      <c r="I117">
        <v>-0.03258781651136289</v>
      </c>
    </row>
    <row r="118" spans="3:6" ht="12.75">
      <c r="C118" t="s">
        <v>3</v>
      </c>
      <c r="D118">
        <v>92</v>
      </c>
      <c r="E118">
        <v>14</v>
      </c>
      <c r="F118" s="6">
        <v>34.04084</v>
      </c>
    </row>
    <row r="119" spans="2:3" ht="12.75">
      <c r="B119" s="2">
        <v>456.089</v>
      </c>
      <c r="C119" t="s">
        <v>4</v>
      </c>
    </row>
    <row r="121" spans="1:9" ht="12.75">
      <c r="A121" s="1" t="s">
        <v>126</v>
      </c>
      <c r="C121" t="s">
        <v>2</v>
      </c>
      <c r="D121">
        <v>47</v>
      </c>
      <c r="E121">
        <v>49</v>
      </c>
      <c r="F121" s="6">
        <v>10.7353193</v>
      </c>
      <c r="G121" s="2">
        <v>-32.86580061117884</v>
      </c>
      <c r="H121" s="2">
        <v>5.194296238170408</v>
      </c>
      <c r="I121" s="2">
        <v>0.5534031162754935</v>
      </c>
    </row>
    <row r="122" spans="3:9" ht="12.75">
      <c r="C122" t="s">
        <v>3</v>
      </c>
      <c r="D122">
        <v>92</v>
      </c>
      <c r="E122">
        <v>14</v>
      </c>
      <c r="F122" s="6">
        <v>30.005899</v>
      </c>
      <c r="G122" s="2"/>
      <c r="H122" s="2"/>
      <c r="I122" s="2"/>
    </row>
    <row r="123" spans="2:9" ht="12.75">
      <c r="B123" s="2">
        <v>456.67449</v>
      </c>
      <c r="C123" t="s">
        <v>4</v>
      </c>
      <c r="G123" s="2"/>
      <c r="H123" s="2"/>
      <c r="I123" s="2"/>
    </row>
    <row r="125" spans="1:9" ht="12.75">
      <c r="A125" s="1" t="s">
        <v>123</v>
      </c>
      <c r="C125" t="s">
        <v>2</v>
      </c>
      <c r="D125">
        <v>47</v>
      </c>
      <c r="E125">
        <v>49</v>
      </c>
      <c r="F125" s="6">
        <v>12.0804733</v>
      </c>
      <c r="G125" s="2">
        <v>8.682300774885064</v>
      </c>
      <c r="H125" s="2">
        <v>0.9140973492893263</v>
      </c>
      <c r="I125" s="2">
        <v>-191.03649598121984</v>
      </c>
    </row>
    <row r="126" spans="3:9" ht="12.75">
      <c r="C126" t="s">
        <v>3</v>
      </c>
      <c r="D126">
        <v>92</v>
      </c>
      <c r="E126">
        <v>14</v>
      </c>
      <c r="F126" s="6">
        <v>30.2116475</v>
      </c>
      <c r="G126" s="2"/>
      <c r="H126" s="2"/>
      <c r="I126" s="2"/>
    </row>
    <row r="127" spans="2:9" ht="12.75">
      <c r="B127" s="2">
        <v>265.08451</v>
      </c>
      <c r="C127" t="s">
        <v>4</v>
      </c>
      <c r="G127" s="2"/>
      <c r="H127" s="2"/>
      <c r="I127" s="2"/>
    </row>
    <row r="128" spans="7:9" ht="12.75">
      <c r="G128" s="2"/>
      <c r="H128" s="2"/>
      <c r="I128" s="2"/>
    </row>
    <row r="129" spans="1:9" ht="12.75">
      <c r="A129" s="1" t="s">
        <v>124</v>
      </c>
      <c r="C129" t="s">
        <v>2</v>
      </c>
      <c r="D129">
        <v>47</v>
      </c>
      <c r="E129">
        <v>49</v>
      </c>
      <c r="F129" s="6">
        <v>12.4862717</v>
      </c>
      <c r="G129" s="2">
        <v>21.21580203604661</v>
      </c>
      <c r="H129" s="2">
        <v>-0.29350422951281097</v>
      </c>
      <c r="I129" s="2">
        <v>-250.01149533376278</v>
      </c>
    </row>
    <row r="130" spans="3:9" ht="12.75">
      <c r="C130" t="s">
        <v>3</v>
      </c>
      <c r="D130">
        <v>92</v>
      </c>
      <c r="E130">
        <v>14</v>
      </c>
      <c r="F130" s="6">
        <v>30.2696995</v>
      </c>
      <c r="G130" s="2"/>
      <c r="H130" s="2"/>
      <c r="I130" s="2"/>
    </row>
    <row r="131" spans="2:9" ht="12.75">
      <c r="B131" s="2">
        <v>206.10954</v>
      </c>
      <c r="C131" t="s">
        <v>4</v>
      </c>
      <c r="G131" s="2"/>
      <c r="H131" s="2"/>
      <c r="I131" s="2"/>
    </row>
    <row r="132" spans="7:9" ht="12.75">
      <c r="G132" s="2"/>
      <c r="H132" s="2"/>
      <c r="I132" s="2"/>
    </row>
    <row r="133" spans="1:9" ht="12.75">
      <c r="A133" s="1" t="s">
        <v>125</v>
      </c>
      <c r="C133" t="s">
        <v>2</v>
      </c>
      <c r="D133">
        <v>47</v>
      </c>
      <c r="E133">
        <v>49</v>
      </c>
      <c r="F133" s="6">
        <v>14.7286233</v>
      </c>
      <c r="G133" s="2">
        <v>90.46880007539161</v>
      </c>
      <c r="H133" s="2">
        <v>-7.049500620448287</v>
      </c>
      <c r="I133" s="2">
        <v>-587.4670962811637</v>
      </c>
    </row>
    <row r="134" spans="3:9" ht="12.75">
      <c r="C134" t="s">
        <v>3</v>
      </c>
      <c r="D134">
        <v>92</v>
      </c>
      <c r="E134">
        <v>14</v>
      </c>
      <c r="F134" s="6">
        <v>30.5944995</v>
      </c>
      <c r="G134" s="2"/>
      <c r="H134" s="2"/>
      <c r="I134" s="2"/>
    </row>
    <row r="135" spans="2:9" ht="12.75">
      <c r="B135" s="2">
        <v>-131.34545</v>
      </c>
      <c r="C135" t="s">
        <v>4</v>
      </c>
      <c r="G135" s="2"/>
      <c r="H135" s="2"/>
      <c r="I135" s="2"/>
    </row>
    <row r="136" spans="7:9" ht="12.75">
      <c r="G136" s="2"/>
      <c r="H136" s="2"/>
      <c r="I136" s="2"/>
    </row>
    <row r="137" spans="1:9" ht="12.75">
      <c r="A137" s="1" t="s">
        <v>122</v>
      </c>
      <c r="C137" t="s">
        <v>2</v>
      </c>
      <c r="D137">
        <v>47</v>
      </c>
      <c r="E137">
        <v>49</v>
      </c>
      <c r="F137" s="6">
        <v>15.53284</v>
      </c>
      <c r="G137" s="2">
        <v>115.30450170204904</v>
      </c>
      <c r="H137" s="2">
        <v>-10.002995216230248</v>
      </c>
      <c r="I137" s="2">
        <v>-709.5859013577804</v>
      </c>
    </row>
    <row r="138" spans="3:9" ht="12.75">
      <c r="C138" t="s">
        <v>3</v>
      </c>
      <c r="D138">
        <v>92</v>
      </c>
      <c r="E138">
        <v>14</v>
      </c>
      <c r="F138" s="6">
        <v>30.736502</v>
      </c>
      <c r="G138" s="2"/>
      <c r="H138" s="2"/>
      <c r="I138" s="2"/>
    </row>
    <row r="139" spans="2:9" ht="12.75">
      <c r="B139" s="2">
        <v>-253.46385</v>
      </c>
      <c r="C139" t="s">
        <v>4</v>
      </c>
      <c r="G139" s="2"/>
      <c r="H139" s="2"/>
      <c r="I139" s="2"/>
    </row>
    <row r="140" spans="7:9" ht="12.75">
      <c r="G140" s="2"/>
      <c r="H140" s="2"/>
      <c r="I140" s="2"/>
    </row>
    <row r="141" spans="1:9" ht="12.75">
      <c r="A141" s="1" t="s">
        <v>135</v>
      </c>
      <c r="C141" t="s">
        <v>2</v>
      </c>
      <c r="D141">
        <v>47</v>
      </c>
      <c r="E141">
        <v>49</v>
      </c>
      <c r="F141" s="6">
        <v>12.9531526</v>
      </c>
      <c r="G141" s="2">
        <v>35.63350006671777</v>
      </c>
      <c r="H141" s="2">
        <v>24.19270051991608</v>
      </c>
      <c r="I141" s="2">
        <v>-704.5416004617933</v>
      </c>
    </row>
    <row r="142" spans="3:9" ht="12.75">
      <c r="C142" t="s">
        <v>3</v>
      </c>
      <c r="D142">
        <v>92</v>
      </c>
      <c r="E142">
        <v>14</v>
      </c>
      <c r="F142" s="6">
        <v>29.0924993</v>
      </c>
      <c r="G142" s="2">
        <v>-167797.1893556161</v>
      </c>
      <c r="H142" s="2">
        <v>-4287098.845526812</v>
      </c>
      <c r="I142" s="2">
        <v>4703296.724078616</v>
      </c>
    </row>
    <row r="143" spans="2:9" ht="12.75">
      <c r="B143" s="2">
        <v>-248.420455</v>
      </c>
      <c r="C143" t="s">
        <v>4</v>
      </c>
      <c r="G143" s="2"/>
      <c r="H143" s="2"/>
      <c r="I143" s="2"/>
    </row>
    <row r="144" spans="2:9" ht="12.75">
      <c r="B144" s="2"/>
      <c r="G144" s="2"/>
      <c r="H144" s="2"/>
      <c r="I144" s="2"/>
    </row>
    <row r="145" spans="1:9" ht="12.75">
      <c r="A145" t="s">
        <v>262</v>
      </c>
      <c r="B145" s="2"/>
      <c r="G145" s="2">
        <v>0.2719</v>
      </c>
      <c r="H145" s="2">
        <v>0.1878</v>
      </c>
      <c r="I145" s="2">
        <v>-0.2265</v>
      </c>
    </row>
    <row r="146" spans="2:9" ht="12.75">
      <c r="B146" s="2"/>
      <c r="G146" s="2"/>
      <c r="H146" s="2"/>
      <c r="I146" s="2"/>
    </row>
    <row r="147" spans="1:9" ht="12.75">
      <c r="A147" s="1" t="s">
        <v>136</v>
      </c>
      <c r="C147" t="s">
        <v>2</v>
      </c>
      <c r="D147">
        <v>47</v>
      </c>
      <c r="E147">
        <v>49</v>
      </c>
      <c r="F147" s="6">
        <v>12.9595248</v>
      </c>
      <c r="G147" s="2">
        <v>35.83030017550601</v>
      </c>
      <c r="H147" s="2">
        <v>24.384699538518483</v>
      </c>
      <c r="I147" s="2">
        <v>-704.5202999950852</v>
      </c>
    </row>
    <row r="148" spans="1:9" ht="12.75">
      <c r="A148" s="1" t="s">
        <v>137</v>
      </c>
      <c r="C148" t="s">
        <v>3</v>
      </c>
      <c r="D148">
        <v>92</v>
      </c>
      <c r="E148">
        <v>14</v>
      </c>
      <c r="F148" s="6">
        <v>29.0832687</v>
      </c>
      <c r="G148" s="2">
        <v>-167796.99235849088</v>
      </c>
      <c r="H148" s="2">
        <v>-4287098.7216036925</v>
      </c>
      <c r="I148" s="2">
        <v>4703296.872007008</v>
      </c>
    </row>
    <row r="149" spans="2:9" ht="12.75">
      <c r="B149" s="2">
        <v>-248.3991527</v>
      </c>
      <c r="C149" t="s">
        <v>4</v>
      </c>
      <c r="H149" s="2"/>
      <c r="I149" s="2"/>
    </row>
    <row r="150" spans="7:9" ht="12.75">
      <c r="G150" s="2"/>
      <c r="H150" s="2"/>
      <c r="I150" s="2"/>
    </row>
    <row r="151" spans="1:9" ht="12.75">
      <c r="A151" s="121" t="s">
        <v>108</v>
      </c>
      <c r="B151" s="124" t="s">
        <v>292</v>
      </c>
      <c r="C151" s="122" t="s">
        <v>2</v>
      </c>
      <c r="D151" s="122">
        <v>41</v>
      </c>
      <c r="E151" s="122">
        <v>49</v>
      </c>
      <c r="F151" s="46">
        <v>55.21610883553535</v>
      </c>
      <c r="G151" s="122"/>
      <c r="H151" s="122"/>
      <c r="I151" s="122"/>
    </row>
    <row r="152" spans="1:9" ht="12.75">
      <c r="A152" s="121" t="s">
        <v>137</v>
      </c>
      <c r="B152" s="124" t="s">
        <v>293</v>
      </c>
      <c r="C152" s="122" t="s">
        <v>3</v>
      </c>
      <c r="D152" s="122">
        <v>88</v>
      </c>
      <c r="E152" s="122">
        <v>15</v>
      </c>
      <c r="F152" s="46">
        <v>55.9749588038585</v>
      </c>
      <c r="G152" s="123">
        <v>144059.44000000128</v>
      </c>
      <c r="H152" s="123">
        <v>-4757398.4889</v>
      </c>
      <c r="I152" s="123">
        <v>4231821.604400001</v>
      </c>
    </row>
    <row r="153" spans="1:9" ht="12.75">
      <c r="A153" s="122"/>
      <c r="B153" s="123">
        <v>154.12598877679557</v>
      </c>
      <c r="C153" s="122" t="s">
        <v>4</v>
      </c>
      <c r="D153" s="122"/>
      <c r="E153" s="122"/>
      <c r="F153" s="122"/>
      <c r="G153" s="123"/>
      <c r="H153" s="123"/>
      <c r="I153" s="123"/>
    </row>
    <row r="154" spans="7:9" ht="12.75">
      <c r="G154" s="2"/>
      <c r="H154" s="2"/>
      <c r="I154" s="2"/>
    </row>
    <row r="155" spans="1:9" ht="12.75">
      <c r="A155" s="1" t="s">
        <v>259</v>
      </c>
      <c r="C155" t="s">
        <v>2</v>
      </c>
      <c r="D155">
        <v>47</v>
      </c>
      <c r="E155">
        <v>49</v>
      </c>
      <c r="F155" s="6">
        <v>12.948159218007618</v>
      </c>
      <c r="G155" s="6">
        <f>D155+(E155+F155/60)/60</f>
        <v>47.82026337756056</v>
      </c>
      <c r="H155" s="6">
        <f>D156+(E156+F156/60)/60</f>
        <v>92.24141104840196</v>
      </c>
      <c r="I155" s="2"/>
    </row>
    <row r="156" spans="1:9" ht="12.75">
      <c r="A156" s="1" t="s">
        <v>137</v>
      </c>
      <c r="C156" t="s">
        <v>3</v>
      </c>
      <c r="D156">
        <v>92</v>
      </c>
      <c r="E156">
        <v>14</v>
      </c>
      <c r="F156" s="52">
        <v>29.079774247046544</v>
      </c>
      <c r="G156" s="44">
        <v>-167796.9304212975</v>
      </c>
      <c r="H156" s="44">
        <v>-4287098.997646871</v>
      </c>
      <c r="I156" s="44">
        <v>4703296.651192915</v>
      </c>
    </row>
    <row r="157" spans="2:9" ht="12.75">
      <c r="B157" s="2">
        <v>-248.37927879113704</v>
      </c>
      <c r="C157" t="s">
        <v>4</v>
      </c>
      <c r="G157" s="2"/>
      <c r="H157" s="2"/>
      <c r="I157" s="48"/>
    </row>
    <row r="158" spans="7:9" ht="12.75">
      <c r="G158" s="2"/>
      <c r="H158" s="2"/>
      <c r="I158" s="48"/>
    </row>
    <row r="159" spans="1:9" ht="12.75">
      <c r="A159" s="1" t="s">
        <v>259</v>
      </c>
      <c r="C159" t="s">
        <v>2</v>
      </c>
      <c r="D159">
        <v>47</v>
      </c>
      <c r="E159">
        <v>49</v>
      </c>
      <c r="F159" s="6">
        <v>12.948330284982603</v>
      </c>
      <c r="G159" s="2"/>
      <c r="H159" s="2"/>
      <c r="I159" s="48"/>
    </row>
    <row r="160" spans="1:9" ht="12.75">
      <c r="A160" s="1" t="s">
        <v>263</v>
      </c>
      <c r="C160" t="s">
        <v>3</v>
      </c>
      <c r="D160">
        <v>92</v>
      </c>
      <c r="E160">
        <v>14</v>
      </c>
      <c r="F160" s="52">
        <v>29.092483024206786</v>
      </c>
      <c r="G160" s="44">
        <v>-167797.2023212975</v>
      </c>
      <c r="H160" s="44">
        <v>-4287099.185446871</v>
      </c>
      <c r="I160" s="44">
        <v>4703296.877692915</v>
      </c>
    </row>
    <row r="161" spans="2:9" ht="12.75">
      <c r="B161" s="2">
        <v>-248.07821224350482</v>
      </c>
      <c r="C161" t="s">
        <v>4</v>
      </c>
      <c r="G161" s="2"/>
      <c r="H161" s="2"/>
      <c r="I161" s="2"/>
    </row>
    <row r="162" spans="2:9" ht="12.75">
      <c r="B162" s="2"/>
      <c r="G162" s="2"/>
      <c r="H162" s="2"/>
      <c r="I162" s="2"/>
    </row>
    <row r="163" spans="1:9" ht="12.75">
      <c r="A163" s="1" t="s">
        <v>108</v>
      </c>
      <c r="B163" s="1" t="s">
        <v>264</v>
      </c>
      <c r="C163" s="1" t="s">
        <v>294</v>
      </c>
      <c r="G163" s="2"/>
      <c r="H163" s="2"/>
      <c r="I163" s="2"/>
    </row>
    <row r="164" spans="1:9" ht="12.75">
      <c r="A164" s="120">
        <v>36701</v>
      </c>
      <c r="B164" s="2" t="s">
        <v>295</v>
      </c>
      <c r="G164" s="2">
        <v>144058.2804408</v>
      </c>
      <c r="H164" s="2">
        <v>-4757397.1754393</v>
      </c>
      <c r="I164" s="2">
        <v>4231823.3009844</v>
      </c>
    </row>
    <row r="165" spans="1:9" ht="12.75">
      <c r="A165" t="s">
        <v>268</v>
      </c>
      <c r="B165" s="1"/>
      <c r="G165" s="2">
        <v>0.2719</v>
      </c>
      <c r="H165" s="2">
        <v>0.1878</v>
      </c>
      <c r="I165" s="2">
        <v>-0.2265</v>
      </c>
    </row>
    <row r="166" spans="2:9" ht="12.75">
      <c r="B166" s="1"/>
      <c r="G166" s="2"/>
      <c r="H166" s="2"/>
      <c r="I166" s="2"/>
    </row>
    <row r="167" spans="1:9" ht="12.75">
      <c r="A167" s="1" t="s">
        <v>108</v>
      </c>
      <c r="B167" s="1" t="s">
        <v>296</v>
      </c>
      <c r="C167" t="s">
        <v>2</v>
      </c>
      <c r="D167">
        <v>41</v>
      </c>
      <c r="E167">
        <v>49</v>
      </c>
      <c r="F167" s="6">
        <v>55.28462450056168</v>
      </c>
      <c r="G167" s="2"/>
      <c r="H167" s="2"/>
      <c r="I167" s="2"/>
    </row>
    <row r="168" spans="1:9" ht="12.75">
      <c r="A168" s="125" t="s">
        <v>260</v>
      </c>
      <c r="B168" s="120">
        <v>36701</v>
      </c>
      <c r="C168" t="s">
        <v>3</v>
      </c>
      <c r="D168">
        <v>88</v>
      </c>
      <c r="E168">
        <v>15</v>
      </c>
      <c r="F168" s="6">
        <v>56.01144029540137</v>
      </c>
      <c r="G168" s="2">
        <f>G164+G165</f>
        <v>144058.5523408</v>
      </c>
      <c r="H168" s="2">
        <f>H164+H165</f>
        <v>-4757396.9876393</v>
      </c>
      <c r="I168" s="2">
        <f>I164+I165</f>
        <v>4231823.0744844</v>
      </c>
    </row>
    <row r="169" spans="1:3" ht="12.75">
      <c r="A169" s="1"/>
      <c r="B169" s="2">
        <v>153.96829709410667</v>
      </c>
      <c r="C169" t="s">
        <v>4</v>
      </c>
    </row>
    <row r="170" spans="1:9" ht="12.75">
      <c r="A170" s="2"/>
      <c r="B170" s="2" t="s">
        <v>269</v>
      </c>
      <c r="C170" s="2"/>
      <c r="G170" s="44"/>
      <c r="H170" s="44"/>
      <c r="I170" s="44"/>
    </row>
    <row r="171" spans="1:6" ht="12.75">
      <c r="A171" s="72" t="s">
        <v>300</v>
      </c>
      <c r="B171" s="1" t="s">
        <v>301</v>
      </c>
      <c r="C171" t="s">
        <v>2</v>
      </c>
      <c r="D171">
        <v>47</v>
      </c>
      <c r="E171">
        <v>49</v>
      </c>
      <c r="F171" s="6">
        <v>12.959520299427254</v>
      </c>
    </row>
    <row r="172" spans="1:9" ht="12.75">
      <c r="A172" s="125" t="s">
        <v>260</v>
      </c>
      <c r="C172" t="s">
        <v>3</v>
      </c>
      <c r="D172">
        <v>92</v>
      </c>
      <c r="E172">
        <v>14</v>
      </c>
      <c r="F172" s="6">
        <v>29.083268699927203</v>
      </c>
      <c r="G172" s="2">
        <v>-167796.99235849356</v>
      </c>
      <c r="H172" s="2">
        <v>-4287098.7216037605</v>
      </c>
      <c r="I172" s="2">
        <v>4703296.872007008</v>
      </c>
    </row>
    <row r="173" spans="2:3" ht="12.75">
      <c r="B173" s="127">
        <v>-248.39922895189375</v>
      </c>
      <c r="C173" t="s">
        <v>4</v>
      </c>
    </row>
    <row r="174" ht="12.75">
      <c r="B174" s="127"/>
    </row>
    <row r="175" spans="1:6" ht="12.75">
      <c r="A175" t="s">
        <v>302</v>
      </c>
      <c r="C175" t="s">
        <v>2</v>
      </c>
      <c r="D175">
        <v>41</v>
      </c>
      <c r="E175">
        <v>49</v>
      </c>
      <c r="F175">
        <v>55.274437204332685</v>
      </c>
    </row>
    <row r="176" spans="1:9" ht="12.75">
      <c r="A176" s="125" t="s">
        <v>260</v>
      </c>
      <c r="C176" t="s">
        <v>3</v>
      </c>
      <c r="D176">
        <v>88</v>
      </c>
      <c r="E176">
        <v>15</v>
      </c>
      <c r="F176">
        <v>56.07918863765917</v>
      </c>
      <c r="G176" s="2">
        <v>144056.996555763</v>
      </c>
      <c r="H176" s="2">
        <v>-4757397.259435372</v>
      </c>
      <c r="I176" s="2">
        <v>4231822.853670944</v>
      </c>
    </row>
    <row r="177" spans="2:3" ht="12.75">
      <c r="B177">
        <v>153.9883631374687</v>
      </c>
      <c r="C177" t="s">
        <v>4</v>
      </c>
    </row>
    <row r="179" spans="1:6" ht="12.75">
      <c r="A179" s="1" t="s">
        <v>347</v>
      </c>
      <c r="C179" t="s">
        <v>2</v>
      </c>
      <c r="D179">
        <v>48</v>
      </c>
      <c r="E179">
        <v>46</v>
      </c>
      <c r="F179" s="6">
        <v>12</v>
      </c>
    </row>
    <row r="180" spans="1:9" ht="12.75">
      <c r="A180" s="1" t="s">
        <v>137</v>
      </c>
      <c r="C180" t="s">
        <v>3</v>
      </c>
      <c r="D180">
        <v>92</v>
      </c>
      <c r="E180">
        <v>36</v>
      </c>
      <c r="F180" s="6">
        <v>36</v>
      </c>
      <c r="G180">
        <v>-191798.99768894527</v>
      </c>
      <c r="H180" s="2">
        <v>-4207536.708003664</v>
      </c>
      <c r="I180" s="2">
        <v>4773968.930133931</v>
      </c>
    </row>
    <row r="181" spans="2:3" ht="12.75">
      <c r="B181" s="2">
        <v>305</v>
      </c>
      <c r="C181" t="s">
        <v>4</v>
      </c>
    </row>
    <row r="183" spans="1:6" ht="12.75">
      <c r="A183" s="14" t="s">
        <v>353</v>
      </c>
      <c r="C183" t="s">
        <v>2</v>
      </c>
      <c r="D183">
        <v>49</v>
      </c>
      <c r="E183">
        <v>50</v>
      </c>
      <c r="F183" s="6">
        <v>24</v>
      </c>
    </row>
    <row r="184" spans="1:9" ht="12.75">
      <c r="A184" s="1" t="s">
        <v>137</v>
      </c>
      <c r="C184" t="s">
        <v>3</v>
      </c>
      <c r="D184">
        <v>93</v>
      </c>
      <c r="E184">
        <v>25</v>
      </c>
      <c r="F184" s="6">
        <v>12</v>
      </c>
      <c r="G184">
        <v>-245877.94339534672</v>
      </c>
      <c r="H184" s="2">
        <v>-4114337.2003972363</v>
      </c>
      <c r="I184" s="2">
        <v>4851563.8050575275</v>
      </c>
    </row>
    <row r="185" spans="2:3" ht="12.75">
      <c r="B185" s="2">
        <v>305</v>
      </c>
      <c r="C185" t="s">
        <v>4</v>
      </c>
    </row>
    <row r="187" spans="1:6" ht="12.75">
      <c r="A187" s="1" t="s">
        <v>354</v>
      </c>
      <c r="C187" t="s">
        <v>2</v>
      </c>
      <c r="D187">
        <v>51</v>
      </c>
      <c r="E187">
        <v>0</v>
      </c>
      <c r="F187" s="6">
        <v>0</v>
      </c>
    </row>
    <row r="188" spans="1:9" ht="12.75">
      <c r="A188" s="125" t="s">
        <v>260</v>
      </c>
      <c r="C188" t="s">
        <v>3</v>
      </c>
      <c r="D188">
        <v>93</v>
      </c>
      <c r="E188">
        <v>51</v>
      </c>
      <c r="F188" s="6">
        <v>36</v>
      </c>
      <c r="G188">
        <v>-270771.0346813774</v>
      </c>
      <c r="H188" s="2">
        <v>-4013098.2706384193</v>
      </c>
      <c r="I188" s="2">
        <v>4933781.6496295715</v>
      </c>
    </row>
    <row r="189" spans="2:3" ht="12.75">
      <c r="B189" s="2">
        <v>305</v>
      </c>
      <c r="C189" t="s">
        <v>4</v>
      </c>
    </row>
    <row r="191" spans="1:6" ht="12.75">
      <c r="A191" s="1" t="s">
        <v>375</v>
      </c>
      <c r="C191" t="s">
        <v>2</v>
      </c>
      <c r="D191">
        <v>47</v>
      </c>
      <c r="E191">
        <v>35</v>
      </c>
      <c r="F191" s="6">
        <v>9.6</v>
      </c>
    </row>
    <row r="192" spans="3:9" ht="12.75">
      <c r="C192" t="s">
        <v>3</v>
      </c>
      <c r="D192">
        <v>92</v>
      </c>
      <c r="E192">
        <v>13</v>
      </c>
      <c r="F192" s="6">
        <v>8.4</v>
      </c>
      <c r="G192">
        <v>-166884.97920527676</v>
      </c>
      <c r="H192" s="2">
        <v>-4306905.738299522</v>
      </c>
      <c r="I192" s="2">
        <v>4686306.5574076185</v>
      </c>
    </row>
    <row r="193" spans="2:3" ht="12.75">
      <c r="B193" s="2">
        <v>480</v>
      </c>
      <c r="C193" t="s">
        <v>4</v>
      </c>
    </row>
    <row r="195" spans="1:9" ht="12.75">
      <c r="A195" s="14" t="s">
        <v>377</v>
      </c>
      <c r="B195" s="7"/>
      <c r="C195" t="s">
        <v>2</v>
      </c>
      <c r="D195">
        <v>48</v>
      </c>
      <c r="E195">
        <v>44</v>
      </c>
      <c r="F195" s="6">
        <v>48.748</v>
      </c>
      <c r="G195" s="2">
        <v>-202757.3340808801</v>
      </c>
      <c r="H195" s="2">
        <v>-4208906.984000119</v>
      </c>
      <c r="I195" s="2">
        <v>4772404.16107539</v>
      </c>
    </row>
    <row r="196" spans="2:6" ht="12.75">
      <c r="B196" s="7"/>
      <c r="C196" t="s">
        <v>3</v>
      </c>
      <c r="D196">
        <v>92</v>
      </c>
      <c r="E196">
        <v>45</v>
      </c>
      <c r="F196" s="6">
        <v>28.8</v>
      </c>
    </row>
    <row r="197" spans="2:3" ht="12.75">
      <c r="B197" s="2">
        <v>369</v>
      </c>
      <c r="C197" t="s">
        <v>4</v>
      </c>
    </row>
    <row r="199" spans="1:9" ht="12.75">
      <c r="A199" s="1" t="s">
        <v>378</v>
      </c>
      <c r="B199" s="7"/>
      <c r="C199" t="s">
        <v>2</v>
      </c>
      <c r="D199">
        <v>48</v>
      </c>
      <c r="E199">
        <v>42</v>
      </c>
      <c r="F199" s="6">
        <v>46.8</v>
      </c>
      <c r="G199">
        <v>-216349.4303672137</v>
      </c>
      <c r="H199" s="2">
        <v>-4211159.641406552</v>
      </c>
      <c r="I199" s="2">
        <v>4769836.738589348</v>
      </c>
    </row>
    <row r="200" spans="2:6" ht="12.75">
      <c r="B200" s="7"/>
      <c r="C200" t="s">
        <v>3</v>
      </c>
      <c r="D200">
        <v>92</v>
      </c>
      <c r="E200">
        <v>56</v>
      </c>
      <c r="F200" s="6">
        <v>27.6</v>
      </c>
    </row>
    <row r="201" spans="2:3" ht="12.75">
      <c r="B201" s="2">
        <v>369</v>
      </c>
      <c r="C201" t="s">
        <v>4</v>
      </c>
    </row>
    <row r="203" spans="1:9" ht="12.75">
      <c r="A203" s="1" t="s">
        <v>379</v>
      </c>
      <c r="C203" t="s">
        <v>2</v>
      </c>
      <c r="D203">
        <v>50</v>
      </c>
      <c r="E203">
        <v>57</v>
      </c>
      <c r="F203" s="6">
        <v>0</v>
      </c>
      <c r="G203" s="2">
        <v>-276114.43824370584</v>
      </c>
      <c r="H203" s="2">
        <v>-4017128.359763628</v>
      </c>
      <c r="I203" s="2">
        <v>4930355.9539720025</v>
      </c>
    </row>
    <row r="204" spans="3:6" ht="12.75">
      <c r="C204" t="s">
        <v>3</v>
      </c>
      <c r="D204">
        <v>93</v>
      </c>
      <c r="E204">
        <v>55</v>
      </c>
      <c r="F204" s="6">
        <v>55.2</v>
      </c>
    </row>
    <row r="205" spans="2:3" ht="12.75">
      <c r="B205" s="2">
        <v>404</v>
      </c>
      <c r="C205" t="s">
        <v>4</v>
      </c>
    </row>
    <row r="207" spans="1:9" ht="12.75">
      <c r="A207" s="1" t="s">
        <v>380</v>
      </c>
      <c r="B207" s="7"/>
      <c r="C207" t="s">
        <v>2</v>
      </c>
      <c r="D207">
        <v>49</v>
      </c>
      <c r="E207">
        <v>50</v>
      </c>
      <c r="F207" s="6">
        <v>24</v>
      </c>
      <c r="G207" s="2">
        <v>-248681.03375493814</v>
      </c>
      <c r="H207" s="2">
        <v>-4114212.014678824</v>
      </c>
      <c r="I207" s="2">
        <v>4851615.009570142</v>
      </c>
    </row>
    <row r="208" spans="2:6" ht="12.75">
      <c r="B208" s="7"/>
      <c r="C208" t="s">
        <v>3</v>
      </c>
      <c r="D208">
        <v>93</v>
      </c>
      <c r="E208">
        <v>27</v>
      </c>
      <c r="F208" s="6">
        <v>32.4</v>
      </c>
    </row>
    <row r="209" spans="2:3" ht="12.75">
      <c r="B209" s="2">
        <v>372</v>
      </c>
      <c r="C209" t="s">
        <v>4</v>
      </c>
    </row>
    <row r="211" spans="1:9" ht="12.75">
      <c r="A211" s="14" t="s">
        <v>381</v>
      </c>
      <c r="B211" s="7"/>
      <c r="C211" t="s">
        <v>2</v>
      </c>
      <c r="D211">
        <v>49</v>
      </c>
      <c r="E211">
        <v>49</v>
      </c>
      <c r="F211" s="6">
        <v>30</v>
      </c>
      <c r="G211" s="2">
        <v>-251415.5715147911</v>
      </c>
      <c r="H211" s="2">
        <v>-4115323.185746436</v>
      </c>
      <c r="I211" s="2">
        <v>4850538.796210468</v>
      </c>
    </row>
    <row r="212" spans="2:6" ht="12.75">
      <c r="B212" s="7"/>
      <c r="C212" t="s">
        <v>3</v>
      </c>
      <c r="D212">
        <v>93</v>
      </c>
      <c r="E212">
        <v>29</v>
      </c>
      <c r="F212" s="6">
        <v>45.6</v>
      </c>
    </row>
    <row r="213" spans="2:3" ht="12.75">
      <c r="B213" s="2">
        <v>372</v>
      </c>
      <c r="C213" t="s">
        <v>4</v>
      </c>
    </row>
    <row r="215" spans="1:9" ht="12.75">
      <c r="A215" s="1" t="s">
        <v>382</v>
      </c>
      <c r="B215" s="7"/>
      <c r="C215" t="s">
        <v>2</v>
      </c>
      <c r="D215">
        <v>49</v>
      </c>
      <c r="E215">
        <v>50</v>
      </c>
      <c r="F215" s="6">
        <v>56.4</v>
      </c>
      <c r="G215" s="2">
        <v>-260838.56362450682</v>
      </c>
      <c r="H215" s="2">
        <v>-4112691.8128940887</v>
      </c>
      <c r="I215" s="2">
        <v>4852259.814348474</v>
      </c>
    </row>
    <row r="216" spans="2:6" ht="12.75">
      <c r="B216" s="7"/>
      <c r="C216" t="s">
        <v>3</v>
      </c>
      <c r="D216">
        <v>93</v>
      </c>
      <c r="E216">
        <v>37</v>
      </c>
      <c r="F216" s="6">
        <v>44.4</v>
      </c>
    </row>
    <row r="217" spans="2:3" ht="12.75">
      <c r="B217" s="2">
        <v>371</v>
      </c>
      <c r="C217" t="s">
        <v>4</v>
      </c>
    </row>
    <row r="219" spans="1:9" ht="12.75">
      <c r="A219" s="1" t="s">
        <v>384</v>
      </c>
      <c r="C219" t="s">
        <v>2</v>
      </c>
      <c r="D219">
        <v>41</v>
      </c>
      <c r="E219">
        <v>50</v>
      </c>
      <c r="F219" s="6">
        <v>26.027989754814485</v>
      </c>
      <c r="G219">
        <v>143617.77853005996</v>
      </c>
      <c r="H219">
        <v>-4756732.272316928</v>
      </c>
      <c r="I219">
        <v>4232489.451292498</v>
      </c>
    </row>
    <row r="220" spans="1:6" ht="12.75">
      <c r="A220" s="125" t="s">
        <v>260</v>
      </c>
      <c r="C220" t="s">
        <v>3</v>
      </c>
      <c r="D220">
        <v>88</v>
      </c>
      <c r="E220">
        <v>16</v>
      </c>
      <c r="F220" s="6">
        <v>14.235112284577554</v>
      </c>
    </row>
    <row r="221" spans="2:3" ht="12.75">
      <c r="B221" s="2">
        <v>93.49711100105196</v>
      </c>
      <c r="C221" t="s">
        <v>4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&amp;LWes Smart&amp;C&amp;F Sheet 2&amp;R&amp;D 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numi</dc:creator>
  <cp:keywords/>
  <dc:description/>
  <cp:lastModifiedBy>wesley m. smart</cp:lastModifiedBy>
  <cp:lastPrinted>2006-08-25T20:13:33Z</cp:lastPrinted>
  <dcterms:created xsi:type="dcterms:W3CDTF">1999-05-28T22:22:47Z</dcterms:created>
  <dcterms:modified xsi:type="dcterms:W3CDTF">2006-08-26T01:20:54Z</dcterms:modified>
  <cp:category/>
  <cp:version/>
  <cp:contentType/>
  <cp:contentStatus/>
</cp:coreProperties>
</file>