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45" windowWidth="12120" windowHeight="9090" activeTab="0"/>
  </bookViews>
  <sheets>
    <sheet name="07s0881" sheetId="1" r:id="rId1"/>
    <sheet name="Notes" sheetId="2" r:id="rId2"/>
  </sheets>
  <definedNames>
    <definedName name="\Z">'07s0881'!$X$3:$X$3</definedName>
    <definedName name="INTERNET">'07s0881'!$A$101:$A$101</definedName>
    <definedName name="_xlnm.Print_Area" localSheetId="0">'07s0881'!$B$1:$Z$98</definedName>
    <definedName name="SOURCE">'07s0881'!$A$97:$A$98</definedName>
    <definedName name="TERMS">'07s0881'!#REF!</definedName>
    <definedName name="TITLE">'07s0881'!$A$1:$A$1</definedName>
  </definedNames>
  <calcPr fullCalcOnLoad="1"/>
</workbook>
</file>

<file path=xl/sharedStrings.xml><?xml version="1.0" encoding="utf-8"?>
<sst xmlns="http://schemas.openxmlformats.org/spreadsheetml/2006/main" count="231" uniqueCount="146">
  <si>
    <t>*</t>
  </si>
  <si>
    <t>For information on the methodology and accuracy of petroleum supply information, see</t>
  </si>
  <si>
    <t>Item</t>
  </si>
  <si>
    <t>1980</t>
  </si>
  <si>
    <t>1990</t>
  </si>
  <si>
    <t>1995</t>
  </si>
  <si>
    <t>1996</t>
  </si>
  <si>
    <t>1997</t>
  </si>
  <si>
    <t>TYPE OF PRODUCT SUPPLIED</t>
  </si>
  <si>
    <t xml:space="preserve">    Total products supplied</t>
  </si>
  <si>
    <t xml:space="preserve"> </t>
  </si>
  <si>
    <t>Other</t>
  </si>
  <si>
    <t>ENDING STOCKS</t>
  </si>
  <si>
    <t>PERCENT CHANGE FROM PRIOR YEAR SHOWN</t>
  </si>
  <si>
    <t>(NA)</t>
  </si>
  <si>
    <t>(X)</t>
  </si>
  <si>
    <t>FOOTNOTES</t>
  </si>
  <si>
    <t xml:space="preserve">Source: U.S. Energy Information Administration, </t>
  </si>
  <si>
    <t>INTERNET LINK</t>
  </si>
  <si>
    <t>http://www.eia.doe.gov/oil_gas/petroleum/info_glance/petroleum.html</t>
  </si>
  <si>
    <t>Definitions</t>
  </si>
  <si>
    <t>Barrel (petroleum): A unit of volume equal to 42 U. S. gallons.</t>
  </si>
  <si>
    <t>Crude Oil (Including Lease Condensate): A mixture of hydrocar-</t>
  </si>
  <si>
    <t>bons that exists in liquid phase in underground reservoirs and remains</t>
  </si>
  <si>
    <t>liquid at atmospheric pressure after passing through surface separating</t>
  </si>
  <si>
    <t>facilities. Included are lease condensate and liquid hydrocarbons pro-</t>
  </si>
  <si>
    <t>duced from tar sands, gilsonite, and oil shale. Drip gases are also</t>
  </si>
  <si>
    <t>included, but topped crude oil (residual oil) and other unfinished oils are</t>
  </si>
  <si>
    <t>excluded. Where identifiable, liquids produced at natural gas processing</t>
  </si>
  <si>
    <t>plants and mixed with crude oil are likewise excluded.</t>
  </si>
  <si>
    <t>Crude Oil Refinery Input: The total crude oil put into processing</t>
  </si>
  <si>
    <t>units at refineries.</t>
  </si>
  <si>
    <t>Crude Oil Stocks: Stocks of crude oil and lease condensate held at</t>
  </si>
  <si>
    <t>refineries, in pipelines, at pipeline terminals, and on leases.</t>
  </si>
  <si>
    <t>perature is the mean of the maximum and minimum temperatures for</t>
  </si>
  <si>
    <t>a 24- hour period.</t>
  </si>
  <si>
    <t>Distillate Fuel Oil: A general classification for one of the petroleum</t>
  </si>
  <si>
    <t>fractions produced in conventional distillation operations. Included</t>
  </si>
  <si>
    <t>are products known as No. 1, No. 2, and No. 4 fuel oils and No. 1, No.</t>
  </si>
  <si>
    <t>2, and No. 4 diesel fuels. It is used primarily for space heating, on- and</t>
  </si>
  <si>
    <t>off- highway diesel engine fuel (including railroad engine fuel and fuel</t>
  </si>
  <si>
    <t>for agricultural machinery), and electric power generation.</t>
  </si>
  <si>
    <t>Motor Gasoline: A complex mixture of relatively volatile hydro-</t>
  </si>
  <si>
    <t>carbons, with or without small quantities of additives, obtained by</t>
  </si>
  <si>
    <t>blending appropriate refinery streams to form a fuel suitable for use</t>
  </si>
  <si>
    <t>in spark- ignition engines. Motor gasoline includes both leaded and</t>
  </si>
  <si>
    <t>unleaded grades of finished motor gasoline, blending components, and</t>
  </si>
  <si>
    <t>gasohol.</t>
  </si>
  <si>
    <t>Natural Gas Plant Liquids (NGPL): Natural gas liquids recovered</t>
  </si>
  <si>
    <t>from natural gas in processing plants and, in some situations, from</t>
  </si>
  <si>
    <t>natural gas field facilities, as well as those extracted by fractionators.</t>
  </si>
  <si>
    <t>Natural gas plant liquids are defined according to the published speci-</t>
  </si>
  <si>
    <t>fications of the Gas Processors Association and the American Society</t>
  </si>
  <si>
    <t>for Testing and Materials as follows: ethane, propane, normal butane,</t>
  </si>
  <si>
    <t>isobutane, pentanes plus, and other products from natural gas process-</t>
  </si>
  <si>
    <t>ing plants (i. e., products meeting the standards for finished petroleum</t>
  </si>
  <si>
    <t>products produced at natural gas processing plants, such as finished</t>
  </si>
  <si>
    <t>motor gasoline, finished aviation gasoline, special naphthas, kerosene,</t>
  </si>
  <si>
    <t>distillate fuel oil, and miscellaneous products).</t>
  </si>
  <si>
    <t>Offshore: That geographic area that lies seaward of the coastline. In</t>
  </si>
  <si>
    <t>general, the coastline is the line of ordinary low water along with that</t>
  </si>
  <si>
    <t>portion of the coast that is in direct contact with the open sea or the</t>
  </si>
  <si>
    <t>line marking the seaward limit of inland water.</t>
  </si>
  <si>
    <t>Oil Well: A well completed for the production of crude oil from one</t>
  </si>
  <si>
    <t>or more oil zones or reservoirs. Wells producing both crude oil and</t>
  </si>
  <si>
    <t>natural gas are classified as oil wells.</t>
  </si>
  <si>
    <t>Operable Refineries: Refineries that were in one of the following</t>
  </si>
  <si>
    <t>three categories at the beginning of a given year: in operation; not in</t>
  </si>
  <si>
    <t>operation and not under active repair, but capable of being placed into</t>
  </si>
  <si>
    <t>operation within 30 days; or not in operation, but under active repair</t>
  </si>
  <si>
    <t>that could be completed within 90 days.</t>
  </si>
  <si>
    <t>Proved Reserves, Crude Oil: The estimated quantities of all liquids</t>
  </si>
  <si>
    <t>defined as crude oil that geological and engineering data demonstrate</t>
  </si>
  <si>
    <t>with reasonable certainty to be recoverable in future years from</t>
  </si>
  <si>
    <t>known reservoirs under existing economic and operating conditions.</t>
  </si>
  <si>
    <t>Refinery Input: The raw materials and intermediate materials proc-</t>
  </si>
  <si>
    <t>essed at refineries to produce finished petroleum products. They include</t>
  </si>
  <si>
    <t>crude oil, products of natural gas processing plants, unfinished oils, other</t>
  </si>
  <si>
    <t>hydrocarbons and alcohol, motor gasoline and aviation gasoline blending</t>
  </si>
  <si>
    <t>components, and finished petroleum products.</t>
  </si>
  <si>
    <t>Refinery Output: The total amount of petroleum products produced</t>
  </si>
  <si>
    <t>at a refinery. Includes petroleum consumed by the refinery.</t>
  </si>
  <si>
    <t>Refinery (petroleum): An installation that manufactures finished</t>
  </si>
  <si>
    <t>petroleum products from crude oil, unfinished oils, natural gas liquids,</t>
  </si>
  <si>
    <t>other hydrocarbons, and alcohol.</t>
  </si>
  <si>
    <t>Residual Fuel Oil: The heavier oils that remain after the distillate</t>
  </si>
  <si>
    <t>fuel oils and lighter hydrocarbons are distilled away in refinery opera-</t>
  </si>
  <si>
    <t>tions and that conform to ASTM Specifications D396 and D975.</t>
  </si>
  <si>
    <t>Included are No. 5, a residual fuel oil of medium viscosity; Navy Spe-</t>
  </si>
  <si>
    <t>cial, for use in steam- powered vessels in government service and in</t>
  </si>
  <si>
    <t>shore power plants; and No. 6, which includes Bunker C fuel oil and</t>
  </si>
  <si>
    <t>is used for commercial and industrial heating, for electricity genera-</t>
  </si>
  <si>
    <t>tion, and to power ships. Imports of residual fuel oil include imported</t>
  </si>
  <si>
    <t>crude oil burned as fuel.</t>
  </si>
  <si>
    <t>Strategic Petroleum Reserve (SPR): Petroleum stocks maintained</t>
  </si>
  <si>
    <t>by the Federal Government for use during periods of major supply in-</t>
  </si>
  <si>
    <t>terruption.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</si>
  <si>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</si>
  <si>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</si>
  <si>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</si>
  <si>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</si>
  <si>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</si>
  <si>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</si>
  <si>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</si>
  <si>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</si>
  <si>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</si>
  <si>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1991</t>
  </si>
  <si>
    <t>1992</t>
  </si>
  <si>
    <t>1993</t>
  </si>
  <si>
    <t>1994</t>
  </si>
  <si>
    <t xml:space="preserve">    Petroleum products supplied for domestic use</t>
  </si>
  <si>
    <t>Production of products, total</t>
  </si>
  <si>
    <t xml:space="preserve">  Crude input to refineries</t>
  </si>
  <si>
    <t xml:space="preserve">      Alaska</t>
  </si>
  <si>
    <t xml:space="preserve">      Lower 48 States</t>
  </si>
  <si>
    <t xml:space="preserve">    Net imports</t>
  </si>
  <si>
    <t xml:space="preserve">      Exports</t>
  </si>
  <si>
    <t xml:space="preserve">    Other sources</t>
  </si>
  <si>
    <t xml:space="preserve">  Natural gas liquids (NGL), supply</t>
  </si>
  <si>
    <t xml:space="preserve">  Other liquids</t>
  </si>
  <si>
    <t>Net imports of refined products</t>
  </si>
  <si>
    <t xml:space="preserve">  Imports</t>
  </si>
  <si>
    <t xml:space="preserve">  Exports</t>
  </si>
  <si>
    <t>Stock withdrawal, refined products</t>
  </si>
  <si>
    <t xml:space="preserve">     for domestic use</t>
  </si>
  <si>
    <t>Finished motor gasoline</t>
  </si>
  <si>
    <t>Distillate fuel oil</t>
  </si>
  <si>
    <t>Residual fuel oil</t>
  </si>
  <si>
    <t>Other (Jet fuel+Other+Crude oil)</t>
  </si>
  <si>
    <t xml:space="preserve">    Ending stocks, all oils</t>
  </si>
  <si>
    <t>Crude oil and lease condensate</t>
  </si>
  <si>
    <t>SYMBOLS</t>
  </si>
  <si>
    <t xml:space="preserve">    Oil, field production \1</t>
  </si>
  <si>
    <t xml:space="preserve">      Imports (gross excluding SPR) \2</t>
  </si>
  <si>
    <t xml:space="preserve">      SPR \2 imports</t>
  </si>
  <si>
    <t>Liquified petroleum gases \3</t>
  </si>
  <si>
    <t>Srategic petroleum reserve (SPR)</t>
  </si>
  <si>
    <t>\3 Includes ethane.</t>
  </si>
  <si>
    <t>\1 See footnote 2, Table 882.</t>
  </si>
  <si>
    <t>\2 SPR = Strategic petroleum reserve.</t>
  </si>
  <si>
    <t>http://tonto.eia.doe.gov/FTPROOT/features/art0209.pdf ]</t>
  </si>
  <si>
    <r>
      <t>[</t>
    </r>
    <r>
      <rPr>
        <b/>
        <sz val="12"/>
        <rFont val="Courier New"/>
        <family val="3"/>
      </rPr>
      <t>In millions of barrels (6,242 represents 6,242,000,000). Minus sign (-) indicates decrease.</t>
    </r>
  </si>
  <si>
    <t>Petroleum Supply Annual, volume 1.</t>
  </si>
  <si>
    <t>NA Not available.</t>
  </si>
  <si>
    <t>X Not applicable.</t>
  </si>
  <si>
    <r>
      <t xml:space="preserve">Table 881. </t>
    </r>
    <r>
      <rPr>
        <b/>
        <sz val="12"/>
        <rFont val="Courier New"/>
        <family val="3"/>
      </rPr>
      <t>U.S. Petroleum Balance -- Production, Foreign Trade, Stocks, and Refined Products: 1980 to 2004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</si>
</sst>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fill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fill"/>
    </xf>
    <xf numFmtId="3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6" fillId="0" borderId="0" xfId="16" applyFont="1" applyAlignment="1">
      <alignment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fill"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oil_gas/petroleum/info_glance/petroleum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showGridLines="0" tabSelected="1" showOutlineSymbols="0" zoomScale="87" zoomScaleNormal="87" workbookViewId="0" topLeftCell="A1">
      <selection activeCell="A1" sqref="A1"/>
    </sheetView>
  </sheetViews>
  <sheetFormatPr defaultColWidth="16.69921875" defaultRowHeight="15.75"/>
  <cols>
    <col min="1" max="1" width="46.09765625" style="1" customWidth="1"/>
    <col min="2" max="2" width="12.796875" style="1" customWidth="1"/>
    <col min="3" max="16" width="12.8984375" style="1" customWidth="1"/>
    <col min="17" max="17" width="12.796875" style="1" customWidth="1"/>
    <col min="18" max="25" width="12.8984375" style="1" customWidth="1"/>
    <col min="26" max="26" width="13" style="1" customWidth="1"/>
    <col min="27" max="42" width="16.69921875" style="1" customWidth="1"/>
  </cols>
  <sheetData>
    <row r="1" ht="16.5">
      <c r="A1" t="s">
        <v>145</v>
      </c>
    </row>
    <row r="3" ht="16.5">
      <c r="A3" t="s">
        <v>141</v>
      </c>
    </row>
    <row r="4" ht="15.75">
      <c r="A4" s="1" t="s">
        <v>1</v>
      </c>
    </row>
    <row r="5" ht="15.75">
      <c r="A5" t="s">
        <v>140</v>
      </c>
    </row>
    <row r="6" spans="1:26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>
      <c r="A7" s="1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>
      <c r="A8" s="18"/>
    </row>
    <row r="9" spans="1:26" ht="15.75">
      <c r="A9" s="19" t="s">
        <v>2</v>
      </c>
      <c r="B9" s="3" t="s">
        <v>3</v>
      </c>
      <c r="C9" s="3" t="s">
        <v>97</v>
      </c>
      <c r="D9" s="3" t="s">
        <v>98</v>
      </c>
      <c r="E9" s="3" t="s">
        <v>99</v>
      </c>
      <c r="F9" s="3" t="s">
        <v>100</v>
      </c>
      <c r="G9" s="3" t="s">
        <v>101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4</v>
      </c>
      <c r="M9" s="3" t="s">
        <v>106</v>
      </c>
      <c r="N9" s="3" t="s">
        <v>107</v>
      </c>
      <c r="O9" s="3" t="s">
        <v>108</v>
      </c>
      <c r="P9" s="3" t="s">
        <v>109</v>
      </c>
      <c r="Q9" s="3" t="s">
        <v>5</v>
      </c>
      <c r="R9" s="3" t="s">
        <v>6</v>
      </c>
      <c r="S9" s="3" t="s">
        <v>7</v>
      </c>
      <c r="T9" s="1">
        <v>1998</v>
      </c>
      <c r="U9" s="1">
        <v>1999</v>
      </c>
      <c r="V9" s="1">
        <v>2000</v>
      </c>
      <c r="W9" s="1">
        <v>2001</v>
      </c>
      <c r="X9" s="1">
        <v>2002</v>
      </c>
      <c r="Y9" s="1">
        <v>2003</v>
      </c>
      <c r="Z9" s="1">
        <v>2004</v>
      </c>
    </row>
    <row r="10" ht="15.75">
      <c r="A10" s="18"/>
    </row>
    <row r="11" spans="1:26" ht="15.75">
      <c r="A11" s="2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>
      <c r="A12" s="21" t="s">
        <v>110</v>
      </c>
      <c r="B12" s="6">
        <v>6242</v>
      </c>
      <c r="C12" s="6">
        <v>5861</v>
      </c>
      <c r="D12" s="6">
        <v>5583</v>
      </c>
      <c r="E12" s="6">
        <v>5559</v>
      </c>
      <c r="F12" s="6">
        <v>5756</v>
      </c>
      <c r="G12" s="6">
        <v>5740</v>
      </c>
      <c r="H12" s="6">
        <v>5942</v>
      </c>
      <c r="I12" s="6">
        <v>6083</v>
      </c>
      <c r="J12" s="6">
        <v>6308</v>
      </c>
      <c r="K12" s="6">
        <v>6324</v>
      </c>
      <c r="L12" s="6">
        <v>6201</v>
      </c>
      <c r="M12" s="6">
        <v>6101</v>
      </c>
      <c r="N12" s="6">
        <v>6234</v>
      </c>
      <c r="O12" s="6">
        <v>6291</v>
      </c>
      <c r="P12" s="6">
        <v>6467.128</v>
      </c>
      <c r="Q12" s="6">
        <v>7087.28</v>
      </c>
      <c r="R12" s="6">
        <v>6701.059</v>
      </c>
      <c r="S12" s="6">
        <v>6796.411</v>
      </c>
      <c r="T12" s="6">
        <v>6904.756</v>
      </c>
      <c r="U12" s="6">
        <f>7124558/1000</f>
        <v>7124.558</v>
      </c>
      <c r="V12" s="6">
        <v>7210.594</v>
      </c>
      <c r="W12" s="6">
        <v>7171.777</v>
      </c>
      <c r="X12" s="6">
        <v>7212.876</v>
      </c>
      <c r="Y12" s="8">
        <v>7312.229</v>
      </c>
      <c r="Z12" s="8">
        <v>7587.601</v>
      </c>
    </row>
    <row r="13" spans="1:26" ht="15.75">
      <c r="A13" s="1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>
      <c r="A14" s="21" t="s">
        <v>111</v>
      </c>
      <c r="B14" s="6">
        <v>5765</v>
      </c>
      <c r="C14" s="6">
        <v>5432</v>
      </c>
      <c r="D14" s="6">
        <v>5204</v>
      </c>
      <c r="E14" s="6">
        <v>5160</v>
      </c>
      <c r="F14" s="6">
        <v>5392</v>
      </c>
      <c r="G14" s="6">
        <v>5363</v>
      </c>
      <c r="H14" s="6">
        <v>5604</v>
      </c>
      <c r="I14" s="6">
        <v>5680</v>
      </c>
      <c r="J14" s="6">
        <v>5849</v>
      </c>
      <c r="K14" s="6">
        <v>5874</v>
      </c>
      <c r="L14" s="6">
        <v>5934</v>
      </c>
      <c r="M14" s="6">
        <v>5933</v>
      </c>
      <c r="N14" s="6">
        <v>6050</v>
      </c>
      <c r="O14" s="6">
        <v>6182</v>
      </c>
      <c r="P14" s="6">
        <v>6244.337</v>
      </c>
      <c r="Q14" s="6">
        <v>6940.409</v>
      </c>
      <c r="R14" s="6">
        <v>6510.823</v>
      </c>
      <c r="S14" s="6">
        <v>6670.929</v>
      </c>
      <c r="T14" s="6">
        <v>6732.993</v>
      </c>
      <c r="U14" s="6">
        <f>6774281/1000</f>
        <v>6774.281</v>
      </c>
      <c r="V14" s="6">
        <v>6903.266</v>
      </c>
      <c r="W14" s="6">
        <v>6941.935</v>
      </c>
      <c r="X14" s="6">
        <v>6924.778</v>
      </c>
      <c r="Y14" s="8">
        <v>6979.29</v>
      </c>
      <c r="Z14" s="8">
        <v>7198.076</v>
      </c>
    </row>
    <row r="15" spans="1:26" ht="15.75">
      <c r="A15" s="21" t="s">
        <v>112</v>
      </c>
      <c r="B15" s="6">
        <v>4934</v>
      </c>
      <c r="C15" s="6">
        <v>4552</v>
      </c>
      <c r="D15" s="6">
        <v>4297</v>
      </c>
      <c r="E15" s="6">
        <v>4265</v>
      </c>
      <c r="F15" s="6">
        <v>4408</v>
      </c>
      <c r="G15" s="6">
        <v>4381</v>
      </c>
      <c r="H15" s="6">
        <v>4641</v>
      </c>
      <c r="I15" s="6">
        <v>4692</v>
      </c>
      <c r="J15" s="6">
        <v>4835</v>
      </c>
      <c r="K15" s="6">
        <v>4891</v>
      </c>
      <c r="L15" s="6">
        <v>4894</v>
      </c>
      <c r="M15" s="6">
        <v>4855</v>
      </c>
      <c r="N15" s="6">
        <v>4909</v>
      </c>
      <c r="O15" s="6">
        <v>4969</v>
      </c>
      <c r="P15" s="6">
        <v>5061.111</v>
      </c>
      <c r="Q15" s="6">
        <v>5718.122</v>
      </c>
      <c r="R15" s="6">
        <v>5195.265</v>
      </c>
      <c r="S15" s="6">
        <v>5351.466</v>
      </c>
      <c r="T15" s="6">
        <v>5434.383</v>
      </c>
      <c r="U15" s="6">
        <f>5403450/1000</f>
        <v>5403.45</v>
      </c>
      <c r="V15" s="6">
        <v>5514.395</v>
      </c>
      <c r="W15" s="6">
        <v>5521.637</v>
      </c>
      <c r="X15" s="6">
        <v>5455.53</v>
      </c>
      <c r="Y15" s="8">
        <v>5585.875</v>
      </c>
      <c r="Z15" s="8">
        <v>5663.861</v>
      </c>
    </row>
    <row r="16" spans="1:26" ht="15.75">
      <c r="A16" s="21" t="s">
        <v>132</v>
      </c>
      <c r="B16" s="6">
        <v>3138</v>
      </c>
      <c r="C16" s="6">
        <v>3129</v>
      </c>
      <c r="D16" s="6">
        <v>3157</v>
      </c>
      <c r="E16" s="6">
        <v>3171</v>
      </c>
      <c r="F16" s="6">
        <v>3250</v>
      </c>
      <c r="G16" s="6">
        <v>3274</v>
      </c>
      <c r="H16" s="6">
        <v>3168</v>
      </c>
      <c r="I16" s="6">
        <v>3047</v>
      </c>
      <c r="J16" s="6">
        <v>2979</v>
      </c>
      <c r="K16" s="6">
        <v>2779</v>
      </c>
      <c r="L16" s="6">
        <v>2685</v>
      </c>
      <c r="M16" s="6">
        <v>2707</v>
      </c>
      <c r="N16" s="6">
        <v>2617</v>
      </c>
      <c r="O16" s="6">
        <v>2499</v>
      </c>
      <c r="P16" s="6">
        <v>2431.476</v>
      </c>
      <c r="Q16" s="6">
        <v>2405.6</v>
      </c>
      <c r="R16" s="6">
        <v>2366.017</v>
      </c>
      <c r="S16" s="6">
        <v>2354.831</v>
      </c>
      <c r="T16" s="6">
        <v>2281.919</v>
      </c>
      <c r="U16" s="6">
        <f>2146732/1000</f>
        <v>2146.732</v>
      </c>
      <c r="V16" s="6">
        <f>5822*365/1000</f>
        <v>2125.03</v>
      </c>
      <c r="W16" s="6">
        <v>2117.511</v>
      </c>
      <c r="X16" s="6">
        <v>2097.124</v>
      </c>
      <c r="Y16" s="8">
        <v>2073.453</v>
      </c>
      <c r="Z16" s="8">
        <v>1983.302</v>
      </c>
    </row>
    <row r="17" spans="1:26" ht="15.75">
      <c r="A17" s="21" t="s">
        <v>113</v>
      </c>
      <c r="B17" s="6">
        <v>592</v>
      </c>
      <c r="C17" s="6">
        <v>587</v>
      </c>
      <c r="D17" s="6">
        <v>619</v>
      </c>
      <c r="E17" s="6">
        <v>626</v>
      </c>
      <c r="F17" s="6">
        <v>631</v>
      </c>
      <c r="G17" s="6">
        <v>666</v>
      </c>
      <c r="H17" s="6">
        <v>681</v>
      </c>
      <c r="I17" s="6">
        <v>716</v>
      </c>
      <c r="J17" s="6">
        <v>738</v>
      </c>
      <c r="K17" s="6">
        <v>684</v>
      </c>
      <c r="L17" s="6">
        <v>647</v>
      </c>
      <c r="M17" s="6">
        <v>656</v>
      </c>
      <c r="N17" s="6">
        <v>627</v>
      </c>
      <c r="O17" s="6">
        <v>577</v>
      </c>
      <c r="P17" s="6">
        <v>568.948</v>
      </c>
      <c r="Q17" s="6">
        <v>541.654</v>
      </c>
      <c r="R17" s="6">
        <v>509.999</v>
      </c>
      <c r="S17" s="6">
        <v>472.949</v>
      </c>
      <c r="T17" s="6">
        <v>428.851</v>
      </c>
      <c r="U17" s="6">
        <f>383198/1000</f>
        <v>383.198</v>
      </c>
      <c r="V17" s="6">
        <v>354</v>
      </c>
      <c r="W17" s="6">
        <v>351.412</v>
      </c>
      <c r="X17" s="6">
        <v>359.335</v>
      </c>
      <c r="Y17" s="8">
        <v>355.582</v>
      </c>
      <c r="Z17" s="8">
        <v>332.465</v>
      </c>
    </row>
    <row r="18" spans="1:26" ht="15.75">
      <c r="A18" s="21" t="s">
        <v>114</v>
      </c>
      <c r="B18" s="6">
        <v>2555</v>
      </c>
      <c r="C18" s="6">
        <v>2541</v>
      </c>
      <c r="D18" s="6">
        <v>2538</v>
      </c>
      <c r="E18" s="6">
        <v>2545</v>
      </c>
      <c r="F18" s="6">
        <v>2619</v>
      </c>
      <c r="G18" s="6">
        <v>2608</v>
      </c>
      <c r="H18" s="6">
        <v>2487</v>
      </c>
      <c r="I18" s="6">
        <v>2331</v>
      </c>
      <c r="J18" s="6">
        <v>2241</v>
      </c>
      <c r="K18" s="6">
        <v>2095</v>
      </c>
      <c r="L18" s="6">
        <v>2037</v>
      </c>
      <c r="M18" s="6">
        <v>2050</v>
      </c>
      <c r="N18" s="6">
        <v>1997</v>
      </c>
      <c r="O18" s="6">
        <v>1922</v>
      </c>
      <c r="P18" s="6">
        <v>1862.529</v>
      </c>
      <c r="Q18" s="6">
        <v>1852.615</v>
      </c>
      <c r="R18" s="6">
        <v>1856.017</v>
      </c>
      <c r="S18" s="6">
        <v>1881.882</v>
      </c>
      <c r="T18" s="6">
        <v>1853.069</v>
      </c>
      <c r="U18" s="6">
        <f>1763533/1000</f>
        <v>1763.533</v>
      </c>
      <c r="V18" s="6">
        <v>1771</v>
      </c>
      <c r="W18" s="6">
        <v>1766.099</v>
      </c>
      <c r="X18" s="6">
        <v>1737.789</v>
      </c>
      <c r="Y18" s="8">
        <v>1717.871</v>
      </c>
      <c r="Z18" s="8">
        <v>1650.836</v>
      </c>
    </row>
    <row r="19" spans="1:26" ht="15.75">
      <c r="A19" s="21" t="s">
        <v>115</v>
      </c>
      <c r="B19" s="6">
        <v>1821</v>
      </c>
      <c r="C19" s="6">
        <v>1522</v>
      </c>
      <c r="D19" s="6">
        <v>1187</v>
      </c>
      <c r="E19" s="6">
        <v>1155</v>
      </c>
      <c r="F19" s="6">
        <v>1188</v>
      </c>
      <c r="G19" s="6">
        <v>1094</v>
      </c>
      <c r="H19" s="6">
        <v>1468</v>
      </c>
      <c r="I19" s="6">
        <v>1651</v>
      </c>
      <c r="J19" s="6">
        <v>1807</v>
      </c>
      <c r="K19" s="6">
        <v>2081</v>
      </c>
      <c r="L19" s="6">
        <v>2112</v>
      </c>
      <c r="M19" s="6">
        <v>2068</v>
      </c>
      <c r="N19" s="6">
        <v>2194</v>
      </c>
      <c r="O19" s="6">
        <v>2441</v>
      </c>
      <c r="P19" s="6">
        <v>2542.052</v>
      </c>
      <c r="Q19" s="6">
        <v>2604.301</v>
      </c>
      <c r="R19" s="6">
        <v>2707.628</v>
      </c>
      <c r="S19" s="6">
        <v>2962.991</v>
      </c>
      <c r="T19" s="6">
        <v>3137.482</v>
      </c>
      <c r="U19" s="6">
        <f>3143632/1000</f>
        <v>3143.632</v>
      </c>
      <c r="V19" s="6">
        <v>3301.464</v>
      </c>
      <c r="W19" s="6">
        <v>3397.508</v>
      </c>
      <c r="X19" s="6">
        <v>3332.879</v>
      </c>
      <c r="Y19" s="8">
        <v>3523.158</v>
      </c>
      <c r="Z19" s="8">
        <v>3682.28</v>
      </c>
    </row>
    <row r="20" spans="1:26" ht="15.75">
      <c r="A20" s="21" t="s">
        <v>133</v>
      </c>
      <c r="B20" s="6">
        <v>1910</v>
      </c>
      <c r="C20" s="6">
        <v>1511</v>
      </c>
      <c r="D20" s="6">
        <v>1213</v>
      </c>
      <c r="E20" s="6">
        <v>1130</v>
      </c>
      <c r="F20" s="6">
        <v>1182</v>
      </c>
      <c r="G20" s="6">
        <v>1125</v>
      </c>
      <c r="H20" s="6">
        <v>1507</v>
      </c>
      <c r="I20" s="6">
        <v>1679</v>
      </c>
      <c r="J20" s="6">
        <v>1845</v>
      </c>
      <c r="K20" s="6">
        <v>2112</v>
      </c>
      <c r="L20" s="6">
        <v>2142</v>
      </c>
      <c r="M20" s="6">
        <v>2111</v>
      </c>
      <c r="N20" s="6">
        <v>2223</v>
      </c>
      <c r="O20" s="6">
        <v>2472</v>
      </c>
      <c r="P20" s="6">
        <v>2573.587</v>
      </c>
      <c r="Q20" s="6">
        <v>2638.81</v>
      </c>
      <c r="R20" s="6">
        <v>2747.839</v>
      </c>
      <c r="S20" s="6">
        <v>3002.299</v>
      </c>
      <c r="T20" s="6">
        <v>3177.584</v>
      </c>
      <c r="U20" s="6">
        <f>3183622/1000</f>
        <v>3183.622</v>
      </c>
      <c r="V20" s="6">
        <v>3316.81</v>
      </c>
      <c r="W20" s="6">
        <v>3400.982</v>
      </c>
      <c r="X20" s="6">
        <v>3330.408</v>
      </c>
      <c r="Y20" s="8">
        <v>3527.696</v>
      </c>
      <c r="Z20" s="8">
        <v>3692.063</v>
      </c>
    </row>
    <row r="21" spans="1:26" ht="15.75">
      <c r="A21" s="21" t="s">
        <v>134</v>
      </c>
      <c r="B21" s="6">
        <v>16</v>
      </c>
      <c r="C21" s="6">
        <v>93</v>
      </c>
      <c r="D21" s="6">
        <v>60</v>
      </c>
      <c r="E21" s="6">
        <v>85</v>
      </c>
      <c r="F21" s="6">
        <v>72</v>
      </c>
      <c r="G21" s="6">
        <v>43</v>
      </c>
      <c r="H21" s="6">
        <v>18</v>
      </c>
      <c r="I21" s="6">
        <v>27</v>
      </c>
      <c r="J21" s="6">
        <v>19</v>
      </c>
      <c r="K21" s="6">
        <v>20</v>
      </c>
      <c r="L21" s="6">
        <v>10</v>
      </c>
      <c r="M21" s="6">
        <v>0</v>
      </c>
      <c r="N21" s="6">
        <v>4</v>
      </c>
      <c r="O21" s="6">
        <v>5</v>
      </c>
      <c r="P21" s="6">
        <v>4.485</v>
      </c>
      <c r="Q21" s="6">
        <v>0</v>
      </c>
      <c r="R21" s="6">
        <v>0</v>
      </c>
      <c r="S21" s="6">
        <v>0</v>
      </c>
      <c r="T21" s="6">
        <v>0</v>
      </c>
      <c r="U21" s="6">
        <f>3041/1000</f>
        <v>3.041</v>
      </c>
      <c r="V21" s="6">
        <v>3.006</v>
      </c>
      <c r="W21" s="6">
        <v>3.912</v>
      </c>
      <c r="X21" s="6">
        <v>5.767</v>
      </c>
      <c r="Y21" s="8">
        <v>0</v>
      </c>
      <c r="Z21" s="8">
        <v>0</v>
      </c>
    </row>
    <row r="22" spans="1:26" ht="15.75">
      <c r="A22" s="21" t="s">
        <v>116</v>
      </c>
      <c r="B22" s="6">
        <v>-105</v>
      </c>
      <c r="C22" s="7">
        <v>83</v>
      </c>
      <c r="D22" s="7">
        <v>86</v>
      </c>
      <c r="E22" s="7">
        <v>60</v>
      </c>
      <c r="F22" s="7">
        <v>66</v>
      </c>
      <c r="G22" s="7">
        <v>75</v>
      </c>
      <c r="H22" s="7">
        <v>56</v>
      </c>
      <c r="I22" s="4">
        <v>55</v>
      </c>
      <c r="J22" s="6">
        <v>57</v>
      </c>
      <c r="K22" s="6">
        <v>52</v>
      </c>
      <c r="L22" s="6">
        <v>40</v>
      </c>
      <c r="M22" s="6">
        <v>42</v>
      </c>
      <c r="N22" s="6">
        <v>32</v>
      </c>
      <c r="O22" s="6">
        <v>36</v>
      </c>
      <c r="P22" s="6">
        <v>36.02</v>
      </c>
      <c r="Q22" s="6">
        <v>34.509</v>
      </c>
      <c r="R22" s="6">
        <v>40.211</v>
      </c>
      <c r="S22" s="6">
        <v>39.308</v>
      </c>
      <c r="T22" s="6">
        <v>40.102</v>
      </c>
      <c r="U22" s="6">
        <f>43031/1000</f>
        <v>43.031</v>
      </c>
      <c r="V22" s="6">
        <v>18.352</v>
      </c>
      <c r="W22" s="6">
        <v>7.386</v>
      </c>
      <c r="X22" s="6">
        <v>3.296</v>
      </c>
      <c r="Y22" s="8">
        <v>4.538</v>
      </c>
      <c r="Z22" s="8">
        <v>9.783</v>
      </c>
    </row>
    <row r="23" spans="1:26" ht="15.75">
      <c r="A23" s="21" t="s">
        <v>117</v>
      </c>
      <c r="B23" s="6">
        <v>33</v>
      </c>
      <c r="C23" s="7">
        <v>-98</v>
      </c>
      <c r="D23" s="7">
        <v>-46</v>
      </c>
      <c r="E23" s="7">
        <v>61</v>
      </c>
      <c r="F23" s="7">
        <v>29</v>
      </c>
      <c r="G23" s="7">
        <v>12</v>
      </c>
      <c r="H23" s="7">
        <v>4</v>
      </c>
      <c r="I23" s="4">
        <v>7</v>
      </c>
      <c r="J23" s="6">
        <v>57</v>
      </c>
      <c r="K23" s="6">
        <v>32</v>
      </c>
      <c r="L23" s="6">
        <v>98</v>
      </c>
      <c r="M23" s="6">
        <v>80</v>
      </c>
      <c r="N23" s="6">
        <v>90</v>
      </c>
      <c r="O23" s="6">
        <v>28</v>
      </c>
      <c r="P23" s="6">
        <v>87.583</v>
      </c>
      <c r="Q23" s="6">
        <v>101.748</v>
      </c>
      <c r="R23" s="6">
        <v>121.62</v>
      </c>
      <c r="S23" s="6">
        <v>33.644</v>
      </c>
      <c r="T23" s="6">
        <v>14.982</v>
      </c>
      <c r="U23" s="6">
        <f>113087/1000</f>
        <v>113.087</v>
      </c>
      <c r="V23" s="6">
        <v>82.225</v>
      </c>
      <c r="W23" s="6">
        <v>6.617</v>
      </c>
      <c r="X23" s="6">
        <v>25.527</v>
      </c>
      <c r="Y23" s="8">
        <v>-10.736</v>
      </c>
      <c r="Z23" s="8">
        <v>1.721</v>
      </c>
    </row>
    <row r="24" spans="1:26" ht="15.75">
      <c r="A24" s="21" t="s">
        <v>118</v>
      </c>
      <c r="B24" s="6">
        <v>577</v>
      </c>
      <c r="C24" s="6">
        <v>593</v>
      </c>
      <c r="D24" s="6">
        <v>578</v>
      </c>
      <c r="E24" s="6">
        <v>570</v>
      </c>
      <c r="F24" s="6">
        <v>596</v>
      </c>
      <c r="G24" s="6">
        <v>604</v>
      </c>
      <c r="H24" s="6">
        <v>575</v>
      </c>
      <c r="I24" s="6">
        <v>585</v>
      </c>
      <c r="J24" s="6">
        <v>593</v>
      </c>
      <c r="K24" s="6">
        <v>563</v>
      </c>
      <c r="L24" s="6">
        <v>574</v>
      </c>
      <c r="M24" s="6">
        <v>613</v>
      </c>
      <c r="N24" s="6">
        <v>628</v>
      </c>
      <c r="O24" s="6">
        <v>664</v>
      </c>
      <c r="P24" s="6">
        <v>694.128</v>
      </c>
      <c r="Q24" s="6">
        <v>708.221</v>
      </c>
      <c r="R24" s="6">
        <v>716.327</v>
      </c>
      <c r="S24" s="6">
        <v>720.898</v>
      </c>
      <c r="T24" s="6">
        <v>717.009</v>
      </c>
      <c r="U24" s="6">
        <f>757056/1000</f>
        <v>757.056</v>
      </c>
      <c r="V24" s="6">
        <v>799.394</v>
      </c>
      <c r="W24" s="6">
        <v>801.159</v>
      </c>
      <c r="X24" s="6">
        <v>798.39</v>
      </c>
      <c r="Y24" s="8">
        <v>756.431</v>
      </c>
      <c r="Z24" s="8">
        <v>843.546</v>
      </c>
    </row>
    <row r="25" spans="1:26" ht="15.75">
      <c r="A25" s="21" t="s">
        <v>119</v>
      </c>
      <c r="B25" s="6">
        <v>253</v>
      </c>
      <c r="C25" s="6">
        <v>287</v>
      </c>
      <c r="D25" s="6">
        <v>328</v>
      </c>
      <c r="E25" s="6">
        <v>326</v>
      </c>
      <c r="F25" s="6">
        <v>371</v>
      </c>
      <c r="G25" s="6">
        <v>378</v>
      </c>
      <c r="H25" s="6">
        <v>388</v>
      </c>
      <c r="I25" s="6">
        <v>403</v>
      </c>
      <c r="J25" s="6">
        <v>418</v>
      </c>
      <c r="K25" s="6">
        <v>420</v>
      </c>
      <c r="L25" s="6">
        <v>465</v>
      </c>
      <c r="M25" s="6">
        <v>466</v>
      </c>
      <c r="N25" s="6">
        <v>513</v>
      </c>
      <c r="O25" s="6">
        <v>550</v>
      </c>
      <c r="P25" s="6">
        <v>489.098</v>
      </c>
      <c r="Q25" s="6">
        <v>514.066</v>
      </c>
      <c r="R25" s="6">
        <v>599.231</v>
      </c>
      <c r="S25" s="6">
        <v>598.565</v>
      </c>
      <c r="T25" s="6">
        <v>581.601</v>
      </c>
      <c r="U25" s="6">
        <f>613775/1000</f>
        <v>613.775</v>
      </c>
      <c r="V25" s="6">
        <v>589.477</v>
      </c>
      <c r="W25" s="6">
        <v>619.139</v>
      </c>
      <c r="X25" s="6">
        <v>670.858</v>
      </c>
      <c r="Y25" s="8">
        <v>636.984</v>
      </c>
      <c r="Z25" s="8">
        <v>690.669</v>
      </c>
    </row>
    <row r="26" spans="1:26" ht="15.75">
      <c r="A26" s="1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>
      <c r="A27" s="21" t="s">
        <v>120</v>
      </c>
      <c r="B27" s="6">
        <v>484</v>
      </c>
      <c r="C27" s="6">
        <v>397</v>
      </c>
      <c r="D27" s="6">
        <v>295</v>
      </c>
      <c r="E27" s="6">
        <v>311</v>
      </c>
      <c r="F27" s="6">
        <v>407</v>
      </c>
      <c r="G27" s="6">
        <v>313</v>
      </c>
      <c r="H27" s="6">
        <v>391</v>
      </c>
      <c r="I27" s="6">
        <v>373</v>
      </c>
      <c r="J27" s="6">
        <v>441</v>
      </c>
      <c r="K27" s="6">
        <v>396</v>
      </c>
      <c r="L27" s="6">
        <v>326</v>
      </c>
      <c r="M27" s="6">
        <v>177</v>
      </c>
      <c r="N27" s="6">
        <v>156</v>
      </c>
      <c r="O27" s="6">
        <v>134</v>
      </c>
      <c r="P27" s="6">
        <v>216.693</v>
      </c>
      <c r="Q27" s="6">
        <v>100.883</v>
      </c>
      <c r="R27" s="6">
        <v>180.866</v>
      </c>
      <c r="S27" s="6">
        <v>154.449</v>
      </c>
      <c r="T27" s="6">
        <v>224.922</v>
      </c>
      <c r="U27" s="6">
        <f>252488/1000</f>
        <v>252.488</v>
      </c>
      <c r="V27" s="6">
        <v>304.987</v>
      </c>
      <c r="W27" s="6">
        <v>303.077</v>
      </c>
      <c r="X27" s="6">
        <v>249.089</v>
      </c>
      <c r="Y27" s="8">
        <v>311.848</v>
      </c>
      <c r="Z27" s="8">
        <v>391.903</v>
      </c>
    </row>
    <row r="28" spans="1:26" ht="15.75">
      <c r="A28" s="21" t="s">
        <v>121</v>
      </c>
      <c r="B28" s="6">
        <v>578</v>
      </c>
      <c r="C28" s="6">
        <v>531</v>
      </c>
      <c r="D28" s="6">
        <v>506</v>
      </c>
      <c r="E28" s="6">
        <v>520</v>
      </c>
      <c r="F28" s="6">
        <v>604</v>
      </c>
      <c r="G28" s="6">
        <v>523</v>
      </c>
      <c r="H28" s="6">
        <v>621</v>
      </c>
      <c r="I28" s="6">
        <v>596</v>
      </c>
      <c r="J28" s="6">
        <v>681</v>
      </c>
      <c r="K28" s="6">
        <v>656</v>
      </c>
      <c r="L28" s="6">
        <v>598</v>
      </c>
      <c r="M28" s="6">
        <v>500</v>
      </c>
      <c r="N28" s="6">
        <v>471</v>
      </c>
      <c r="O28" s="6">
        <v>461</v>
      </c>
      <c r="P28" s="6">
        <v>518.439</v>
      </c>
      <c r="Q28" s="6">
        <v>407.477</v>
      </c>
      <c r="R28" s="6">
        <v>490.799</v>
      </c>
      <c r="S28" s="6">
        <v>469.482</v>
      </c>
      <c r="T28" s="6">
        <v>508.178</v>
      </c>
      <c r="U28" s="6">
        <f>536867/1000</f>
        <v>536.867</v>
      </c>
      <c r="V28" s="6">
        <v>648.141</v>
      </c>
      <c r="W28" s="6">
        <v>636.026</v>
      </c>
      <c r="X28" s="6">
        <v>580.767</v>
      </c>
      <c r="Y28" s="8">
        <v>659.563</v>
      </c>
      <c r="Z28" s="8">
        <v>741.929</v>
      </c>
    </row>
    <row r="29" spans="1:26" ht="15.75">
      <c r="A29" s="21" t="s">
        <v>122</v>
      </c>
      <c r="B29" s="6">
        <v>94</v>
      </c>
      <c r="C29" s="6">
        <v>134</v>
      </c>
      <c r="D29" s="6">
        <v>211</v>
      </c>
      <c r="E29" s="6">
        <v>210</v>
      </c>
      <c r="F29" s="6">
        <v>197</v>
      </c>
      <c r="G29" s="6">
        <v>210</v>
      </c>
      <c r="H29" s="6">
        <v>229</v>
      </c>
      <c r="I29" s="6">
        <v>223</v>
      </c>
      <c r="J29" s="6">
        <v>240</v>
      </c>
      <c r="K29" s="6">
        <v>260</v>
      </c>
      <c r="L29" s="6">
        <v>272</v>
      </c>
      <c r="M29" s="6">
        <v>323</v>
      </c>
      <c r="N29" s="6">
        <v>315</v>
      </c>
      <c r="O29" s="6">
        <v>327</v>
      </c>
      <c r="P29" s="6">
        <v>301.746</v>
      </c>
      <c r="Q29" s="6">
        <v>306.594</v>
      </c>
      <c r="R29" s="6">
        <v>309.933</v>
      </c>
      <c r="S29" s="6">
        <v>315.033</v>
      </c>
      <c r="T29" s="6">
        <v>283.256</v>
      </c>
      <c r="U29" s="6">
        <f>284379/1000</f>
        <v>284.379</v>
      </c>
      <c r="V29" s="6">
        <v>343.154</v>
      </c>
      <c r="W29" s="6">
        <v>332.949</v>
      </c>
      <c r="X29" s="6">
        <v>331.678</v>
      </c>
      <c r="Y29" s="8">
        <v>347.715</v>
      </c>
      <c r="Z29" s="8">
        <v>350.026</v>
      </c>
    </row>
    <row r="30" spans="1:26" ht="15.75">
      <c r="A30" s="21" t="s">
        <v>123</v>
      </c>
      <c r="B30" s="6">
        <v>-7</v>
      </c>
      <c r="C30" s="7">
        <v>33</v>
      </c>
      <c r="D30" s="7">
        <v>84</v>
      </c>
      <c r="E30" s="7">
        <v>88</v>
      </c>
      <c r="F30" s="7">
        <v>-44</v>
      </c>
      <c r="G30" s="7">
        <v>64</v>
      </c>
      <c r="H30" s="7">
        <v>-53</v>
      </c>
      <c r="I30" s="7">
        <v>30</v>
      </c>
      <c r="J30" s="7">
        <v>17</v>
      </c>
      <c r="K30" s="7">
        <v>53</v>
      </c>
      <c r="L30" s="6">
        <v>-59</v>
      </c>
      <c r="M30" s="7">
        <v>-10</v>
      </c>
      <c r="N30" s="7">
        <v>28</v>
      </c>
      <c r="O30" s="7">
        <v>-24</v>
      </c>
      <c r="P30" s="7">
        <v>6.098</v>
      </c>
      <c r="Q30" s="6">
        <v>45.988</v>
      </c>
      <c r="R30" s="6">
        <v>9.37</v>
      </c>
      <c r="S30" s="6">
        <v>-28.968</v>
      </c>
      <c r="T30" s="6">
        <v>-53.159</v>
      </c>
      <c r="U30" s="6">
        <f>97789/1000</f>
        <v>97.789</v>
      </c>
      <c r="V30" s="6">
        <v>2.341</v>
      </c>
      <c r="W30" s="6">
        <v>-73.235</v>
      </c>
      <c r="X30" s="6">
        <v>39.009</v>
      </c>
      <c r="Y30" s="8">
        <v>21.091</v>
      </c>
      <c r="Z30" s="8">
        <v>-2.378</v>
      </c>
    </row>
    <row r="31" spans="1:26" ht="15.75">
      <c r="A31" s="18"/>
      <c r="B31" s="6"/>
      <c r="C31" s="7"/>
      <c r="D31" s="7"/>
      <c r="E31" s="7"/>
      <c r="F31" s="7"/>
      <c r="G31" s="7"/>
      <c r="H31" s="7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>
      <c r="A32" s="19" t="s">
        <v>8</v>
      </c>
      <c r="B32" s="6"/>
      <c r="C32" s="7"/>
      <c r="D32" s="7"/>
      <c r="E32" s="7"/>
      <c r="F32" s="7"/>
      <c r="G32" s="7"/>
      <c r="H32" s="7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1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>
      <c r="A34" s="18" t="s">
        <v>9</v>
      </c>
      <c r="B34" s="6" t="s">
        <v>10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4"/>
      <c r="N34" s="4"/>
      <c r="O34" s="4"/>
      <c r="P34" s="4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>
      <c r="A35" s="21" t="s">
        <v>124</v>
      </c>
      <c r="B35" s="6">
        <v>6242</v>
      </c>
      <c r="C35" s="6">
        <v>5861</v>
      </c>
      <c r="D35" s="6">
        <v>5583</v>
      </c>
      <c r="E35" s="6">
        <v>5559</v>
      </c>
      <c r="F35" s="6">
        <v>5756</v>
      </c>
      <c r="G35" s="6">
        <v>5740</v>
      </c>
      <c r="H35" s="6">
        <v>5942</v>
      </c>
      <c r="I35" s="6">
        <v>6083</v>
      </c>
      <c r="J35" s="6">
        <v>6326</v>
      </c>
      <c r="K35" s="6">
        <v>6324</v>
      </c>
      <c r="L35" s="6">
        <v>6201</v>
      </c>
      <c r="M35" s="6">
        <v>6101</v>
      </c>
      <c r="N35" s="6">
        <v>6234</v>
      </c>
      <c r="O35" s="6">
        <v>6291</v>
      </c>
      <c r="P35" s="6">
        <v>6467.128</v>
      </c>
      <c r="Q35" s="6">
        <v>6469.475</v>
      </c>
      <c r="R35" s="6">
        <v>6701.059</v>
      </c>
      <c r="S35" s="6">
        <v>6796.411</v>
      </c>
      <c r="T35" s="6">
        <v>6904.756</v>
      </c>
      <c r="U35" s="6">
        <f>7124558/1000</f>
        <v>7124.558</v>
      </c>
      <c r="V35" s="6">
        <v>7210.594</v>
      </c>
      <c r="W35" s="6">
        <v>7171.777</v>
      </c>
      <c r="X35" s="6">
        <v>7212.876</v>
      </c>
      <c r="Y35" s="8">
        <v>7312.229</v>
      </c>
      <c r="Z35" s="6">
        <v>7587.601</v>
      </c>
    </row>
    <row r="36" spans="1:26" ht="15.75">
      <c r="A36" s="21" t="s">
        <v>125</v>
      </c>
      <c r="B36" s="6">
        <v>2407</v>
      </c>
      <c r="C36" s="6">
        <v>2404</v>
      </c>
      <c r="D36" s="6">
        <v>2387</v>
      </c>
      <c r="E36" s="6">
        <v>2417</v>
      </c>
      <c r="F36" s="6">
        <v>2449</v>
      </c>
      <c r="G36" s="6">
        <v>2493</v>
      </c>
      <c r="H36" s="6">
        <v>2567</v>
      </c>
      <c r="I36" s="6">
        <v>2630</v>
      </c>
      <c r="J36" s="6">
        <v>2678</v>
      </c>
      <c r="K36" s="6">
        <v>2675</v>
      </c>
      <c r="L36" s="6">
        <v>2641</v>
      </c>
      <c r="M36" s="6">
        <v>2623</v>
      </c>
      <c r="N36" s="6">
        <v>2660</v>
      </c>
      <c r="O36" s="6">
        <v>2729</v>
      </c>
      <c r="P36" s="6">
        <v>2774.499</v>
      </c>
      <c r="Q36" s="6">
        <v>2842.855</v>
      </c>
      <c r="R36" s="6">
        <v>2887.953</v>
      </c>
      <c r="S36" s="6">
        <v>2926.148</v>
      </c>
      <c r="T36" s="6">
        <v>3012.497</v>
      </c>
      <c r="U36" s="6">
        <f>3077242/1000</f>
        <v>3077.242</v>
      </c>
      <c r="V36" s="6">
        <v>3100.774</v>
      </c>
      <c r="W36" s="6">
        <v>3142.66</v>
      </c>
      <c r="X36" s="6">
        <v>3229.459</v>
      </c>
      <c r="Y36" s="8">
        <v>3261.237</v>
      </c>
      <c r="Z36" s="8">
        <v>3332.579</v>
      </c>
    </row>
    <row r="37" spans="1:26" ht="15.75">
      <c r="A37" s="21" t="s">
        <v>126</v>
      </c>
      <c r="B37" s="6">
        <v>1049</v>
      </c>
      <c r="C37" s="6">
        <v>1032</v>
      </c>
      <c r="D37" s="6">
        <v>975</v>
      </c>
      <c r="E37" s="6">
        <v>982</v>
      </c>
      <c r="F37" s="6">
        <v>1041</v>
      </c>
      <c r="G37" s="6">
        <v>1047</v>
      </c>
      <c r="H37" s="6">
        <v>1064</v>
      </c>
      <c r="I37" s="6">
        <v>1086</v>
      </c>
      <c r="J37" s="6">
        <v>1140</v>
      </c>
      <c r="K37" s="6">
        <v>1152</v>
      </c>
      <c r="L37" s="6">
        <v>1103</v>
      </c>
      <c r="M37" s="6">
        <v>1066</v>
      </c>
      <c r="N37" s="6">
        <v>1090</v>
      </c>
      <c r="O37" s="6">
        <v>1110</v>
      </c>
      <c r="P37" s="6">
        <v>1154.217</v>
      </c>
      <c r="Q37" s="6">
        <v>1170.419</v>
      </c>
      <c r="R37" s="6">
        <v>1231.679</v>
      </c>
      <c r="S37" s="6">
        <v>1253.938</v>
      </c>
      <c r="T37" s="6">
        <v>1263.427</v>
      </c>
      <c r="U37" s="6">
        <f>1303779/1000</f>
        <v>1303.779</v>
      </c>
      <c r="V37" s="6">
        <v>1362.315</v>
      </c>
      <c r="W37" s="6">
        <v>1404.082</v>
      </c>
      <c r="X37" s="6">
        <v>1378.206</v>
      </c>
      <c r="Y37" s="8">
        <v>1433.373</v>
      </c>
      <c r="Z37" s="8">
        <v>1485.324</v>
      </c>
    </row>
    <row r="38" spans="1:26" ht="15.75">
      <c r="A38" s="21" t="s">
        <v>127</v>
      </c>
      <c r="B38" s="6">
        <v>918</v>
      </c>
      <c r="C38" s="6">
        <v>762</v>
      </c>
      <c r="D38" s="6">
        <v>627</v>
      </c>
      <c r="E38" s="6">
        <v>519</v>
      </c>
      <c r="F38" s="6">
        <v>501</v>
      </c>
      <c r="G38" s="6">
        <v>439</v>
      </c>
      <c r="H38" s="6">
        <v>518</v>
      </c>
      <c r="I38" s="6">
        <v>462</v>
      </c>
      <c r="J38" s="6">
        <v>5030</v>
      </c>
      <c r="K38" s="6">
        <v>500</v>
      </c>
      <c r="L38" s="6">
        <v>449</v>
      </c>
      <c r="M38" s="6">
        <v>423</v>
      </c>
      <c r="N38" s="6">
        <v>401</v>
      </c>
      <c r="O38" s="6">
        <v>394</v>
      </c>
      <c r="P38" s="6">
        <v>372.587</v>
      </c>
      <c r="Q38" s="6">
        <v>310.911</v>
      </c>
      <c r="R38" s="6">
        <v>310.501</v>
      </c>
      <c r="S38" s="6">
        <v>290.795</v>
      </c>
      <c r="T38" s="6">
        <v>323.799</v>
      </c>
      <c r="U38" s="6">
        <f>302998/1000</f>
        <v>302.998</v>
      </c>
      <c r="V38" s="6">
        <v>332.527</v>
      </c>
      <c r="W38" s="6">
        <v>296.079</v>
      </c>
      <c r="X38" s="6">
        <v>255.357</v>
      </c>
      <c r="Y38" s="8">
        <v>281.828</v>
      </c>
      <c r="Z38" s="8">
        <v>316.483</v>
      </c>
    </row>
    <row r="39" spans="1:26" ht="15.75">
      <c r="A39" s="21" t="s">
        <v>135</v>
      </c>
      <c r="B39" s="6">
        <v>414</v>
      </c>
      <c r="C39" s="6">
        <v>535</v>
      </c>
      <c r="D39" s="6">
        <v>547</v>
      </c>
      <c r="E39" s="6">
        <v>551</v>
      </c>
      <c r="F39" s="6">
        <v>576</v>
      </c>
      <c r="G39" s="6">
        <v>584</v>
      </c>
      <c r="H39" s="6">
        <v>552</v>
      </c>
      <c r="I39" s="6">
        <v>588</v>
      </c>
      <c r="J39" s="6">
        <v>604</v>
      </c>
      <c r="K39" s="6">
        <v>609</v>
      </c>
      <c r="L39" s="6">
        <v>568</v>
      </c>
      <c r="M39" s="6">
        <v>616</v>
      </c>
      <c r="N39" s="6">
        <v>642</v>
      </c>
      <c r="O39" s="6">
        <v>633</v>
      </c>
      <c r="P39" s="6">
        <v>686.09</v>
      </c>
      <c r="Q39" s="6">
        <v>693.275</v>
      </c>
      <c r="R39" s="6">
        <v>736.342</v>
      </c>
      <c r="S39" s="6">
        <v>743.804</v>
      </c>
      <c r="T39" s="6">
        <v>712.514</v>
      </c>
      <c r="U39" s="6">
        <f>801176/1000</f>
        <v>801.176</v>
      </c>
      <c r="V39" s="6">
        <v>816.485</v>
      </c>
      <c r="W39" s="6">
        <v>746.174</v>
      </c>
      <c r="X39" s="6">
        <v>789.338</v>
      </c>
      <c r="Y39" s="8">
        <v>757.05</v>
      </c>
      <c r="Z39" s="8">
        <v>780.487</v>
      </c>
    </row>
    <row r="40" spans="1:26" ht="15.75">
      <c r="A40" s="21" t="s">
        <v>128</v>
      </c>
      <c r="B40" s="6">
        <f>B35-SUM(B36:B39)</f>
        <v>1454</v>
      </c>
      <c r="C40" s="6">
        <f aca="true" t="shared" si="0" ref="C40:K40">C35-SUM(C36:C39)</f>
        <v>1128</v>
      </c>
      <c r="D40" s="6">
        <f t="shared" si="0"/>
        <v>1047</v>
      </c>
      <c r="E40" s="6">
        <f t="shared" si="0"/>
        <v>1090</v>
      </c>
      <c r="F40" s="6">
        <f t="shared" si="0"/>
        <v>1189</v>
      </c>
      <c r="G40" s="6">
        <f t="shared" si="0"/>
        <v>1177</v>
      </c>
      <c r="H40" s="6">
        <f t="shared" si="0"/>
        <v>1241</v>
      </c>
      <c r="I40" s="6">
        <f t="shared" si="0"/>
        <v>1317</v>
      </c>
      <c r="J40" s="6">
        <f t="shared" si="0"/>
        <v>-3126</v>
      </c>
      <c r="K40" s="6">
        <f t="shared" si="0"/>
        <v>1388</v>
      </c>
      <c r="L40" s="6">
        <f>L35-SUM(L36:L39)</f>
        <v>1440</v>
      </c>
      <c r="M40" s="6">
        <f>M35-SUM(M36:M39)</f>
        <v>1373</v>
      </c>
      <c r="N40" s="6">
        <f>N35-SUM(N36:N39)</f>
        <v>1441</v>
      </c>
      <c r="O40" s="6">
        <f>O35-SUM(O36:O39)</f>
        <v>1425</v>
      </c>
      <c r="P40" s="6">
        <f>P35-SUM(P36:P39)</f>
        <v>1479.7349999999997</v>
      </c>
      <c r="Q40" s="6">
        <v>1452.015</v>
      </c>
      <c r="R40" s="6">
        <v>1534.585</v>
      </c>
      <c r="S40" s="6">
        <v>1581.725</v>
      </c>
      <c r="T40" s="6">
        <v>1593</v>
      </c>
      <c r="U40" s="6">
        <f>(610501+1028863)/1000</f>
        <v>1639.364</v>
      </c>
      <c r="V40" s="6">
        <f>631.454+967.04</f>
        <v>1598.494</v>
      </c>
      <c r="W40" s="6">
        <f>604.221+978.562+0</f>
        <v>1582.783</v>
      </c>
      <c r="X40" s="6">
        <f>588.982+971.535</f>
        <v>1560.5169999999998</v>
      </c>
      <c r="Y40" s="8">
        <f>575.909+1002.833</f>
        <v>1578.742</v>
      </c>
      <c r="Z40" s="8">
        <v>1672.728</v>
      </c>
    </row>
    <row r="41" spans="1:26" ht="15.75">
      <c r="A41" s="1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>
      <c r="A42" s="19" t="s">
        <v>12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>
      <c r="A43" s="21" t="s">
        <v>129</v>
      </c>
      <c r="B43" s="6">
        <v>1392</v>
      </c>
      <c r="C43" s="6">
        <v>1484</v>
      </c>
      <c r="D43" s="6">
        <v>1430</v>
      </c>
      <c r="E43" s="6">
        <v>1454</v>
      </c>
      <c r="F43" s="6">
        <v>1556</v>
      </c>
      <c r="G43" s="6">
        <v>1519</v>
      </c>
      <c r="H43" s="6">
        <v>1593</v>
      </c>
      <c r="I43" s="6">
        <v>1607</v>
      </c>
      <c r="J43" s="6">
        <v>1597</v>
      </c>
      <c r="K43" s="6">
        <v>1581</v>
      </c>
      <c r="L43" s="6">
        <v>1621</v>
      </c>
      <c r="M43" s="6">
        <v>1617</v>
      </c>
      <c r="N43" s="6">
        <v>1592</v>
      </c>
      <c r="O43" s="6">
        <v>1647</v>
      </c>
      <c r="P43" s="6">
        <v>1652.785</v>
      </c>
      <c r="Q43" s="6">
        <v>1562.852</v>
      </c>
      <c r="R43" s="6">
        <v>1051.699</v>
      </c>
      <c r="S43" s="6">
        <v>1559.759</v>
      </c>
      <c r="T43" s="6">
        <v>1646.975</v>
      </c>
      <c r="U43" s="6">
        <f>1492931/1000</f>
        <v>1492.931</v>
      </c>
      <c r="V43" s="6">
        <v>1467.547</v>
      </c>
      <c r="W43" s="6">
        <v>1586.349</v>
      </c>
      <c r="X43" s="6">
        <v>1547.91</v>
      </c>
      <c r="Y43" s="8">
        <v>1568.303</v>
      </c>
      <c r="Z43" s="8">
        <v>1644.805</v>
      </c>
    </row>
    <row r="44" spans="1:26" ht="15.75">
      <c r="A44" s="21" t="s">
        <v>130</v>
      </c>
      <c r="B44" s="6">
        <v>358</v>
      </c>
      <c r="C44" s="6">
        <v>363</v>
      </c>
      <c r="D44" s="6">
        <v>350</v>
      </c>
      <c r="E44" s="6">
        <v>344</v>
      </c>
      <c r="F44" s="6">
        <v>345</v>
      </c>
      <c r="G44" s="6">
        <v>321</v>
      </c>
      <c r="H44" s="6">
        <v>331</v>
      </c>
      <c r="I44" s="6">
        <v>349</v>
      </c>
      <c r="J44" s="6">
        <v>330</v>
      </c>
      <c r="K44" s="6">
        <v>341</v>
      </c>
      <c r="L44" s="6">
        <v>323</v>
      </c>
      <c r="M44" s="6">
        <v>325</v>
      </c>
      <c r="N44" s="6">
        <v>318</v>
      </c>
      <c r="O44" s="6">
        <v>335</v>
      </c>
      <c r="P44" s="6">
        <v>337.245</v>
      </c>
      <c r="Q44" s="6">
        <v>303.328</v>
      </c>
      <c r="R44" s="6">
        <v>283.853</v>
      </c>
      <c r="S44" s="6">
        <v>304.69</v>
      </c>
      <c r="T44" s="6">
        <v>323.543</v>
      </c>
      <c r="U44" s="6">
        <f>284482/1000</f>
        <v>284.482</v>
      </c>
      <c r="V44" s="6">
        <v>285.507</v>
      </c>
      <c r="W44" s="6">
        <v>311.98</v>
      </c>
      <c r="X44" s="6">
        <v>277.614</v>
      </c>
      <c r="Y44" s="8">
        <v>268.875</v>
      </c>
      <c r="Z44" s="8">
        <v>285.741</v>
      </c>
    </row>
    <row r="45" spans="1:26" ht="15.75">
      <c r="A45" s="21" t="s">
        <v>136</v>
      </c>
      <c r="B45" s="6">
        <v>108</v>
      </c>
      <c r="C45" s="6">
        <v>230</v>
      </c>
      <c r="D45" s="6">
        <v>294</v>
      </c>
      <c r="E45" s="6">
        <v>379</v>
      </c>
      <c r="F45" s="6">
        <v>451</v>
      </c>
      <c r="G45" s="6">
        <v>493</v>
      </c>
      <c r="H45" s="6">
        <v>512</v>
      </c>
      <c r="I45" s="6">
        <v>541</v>
      </c>
      <c r="J45" s="6">
        <v>560</v>
      </c>
      <c r="K45" s="6">
        <v>580</v>
      </c>
      <c r="L45" s="6">
        <v>586</v>
      </c>
      <c r="M45" s="6">
        <v>569</v>
      </c>
      <c r="N45" s="6">
        <v>575</v>
      </c>
      <c r="O45" s="6">
        <v>587</v>
      </c>
      <c r="P45" s="6">
        <v>591.67</v>
      </c>
      <c r="Q45" s="6">
        <v>591.64</v>
      </c>
      <c r="R45" s="6">
        <v>565.816</v>
      </c>
      <c r="S45" s="6">
        <v>563.429</v>
      </c>
      <c r="T45" s="6">
        <v>571.405</v>
      </c>
      <c r="U45" s="6">
        <f>567241/1000</f>
        <v>567.241</v>
      </c>
      <c r="V45" s="6">
        <v>540.678</v>
      </c>
      <c r="W45" s="6">
        <v>550.241</v>
      </c>
      <c r="X45" s="6">
        <v>599.091</v>
      </c>
      <c r="Y45" s="8">
        <v>638.388</v>
      </c>
      <c r="Z45" s="8">
        <v>675.6</v>
      </c>
    </row>
    <row r="46" spans="1:26" ht="15.75">
      <c r="A46" s="21" t="s">
        <v>11</v>
      </c>
      <c r="B46" s="6">
        <f>B43-B44-B45</f>
        <v>926</v>
      </c>
      <c r="C46" s="6">
        <f aca="true" t="shared" si="1" ref="C46:K46">C43-C44-C45</f>
        <v>891</v>
      </c>
      <c r="D46" s="6">
        <f t="shared" si="1"/>
        <v>786</v>
      </c>
      <c r="E46" s="6">
        <f t="shared" si="1"/>
        <v>731</v>
      </c>
      <c r="F46" s="6">
        <f t="shared" si="1"/>
        <v>760</v>
      </c>
      <c r="G46" s="6">
        <f t="shared" si="1"/>
        <v>705</v>
      </c>
      <c r="H46" s="6">
        <f t="shared" si="1"/>
        <v>750</v>
      </c>
      <c r="I46" s="6">
        <f t="shared" si="1"/>
        <v>717</v>
      </c>
      <c r="J46" s="6">
        <f t="shared" si="1"/>
        <v>707</v>
      </c>
      <c r="K46" s="6">
        <f t="shared" si="1"/>
        <v>660</v>
      </c>
      <c r="L46" s="6">
        <f>L43-L44-L45</f>
        <v>712</v>
      </c>
      <c r="M46" s="6">
        <f>M43-M44-M45</f>
        <v>723</v>
      </c>
      <c r="N46" s="6">
        <f>N43-N44-N45</f>
        <v>699</v>
      </c>
      <c r="O46" s="6">
        <f>O43-O44-O45</f>
        <v>725</v>
      </c>
      <c r="P46" s="6">
        <f>P43-P44-P45</f>
        <v>723.87</v>
      </c>
      <c r="Q46" s="6">
        <v>667.884</v>
      </c>
      <c r="R46" s="6">
        <f>R43-R44-R45</f>
        <v>202.02999999999997</v>
      </c>
      <c r="S46" s="6">
        <f>S43-S44-S45</f>
        <v>691.64</v>
      </c>
      <c r="T46" s="6">
        <f>T43-T44-T45</f>
        <v>752.0269999999998</v>
      </c>
      <c r="U46" s="6">
        <f>641208/1000</f>
        <v>641.208</v>
      </c>
      <c r="V46" s="6">
        <f>153.004+118.027+36.2+44.518+82.544+207.069</f>
        <v>641.362</v>
      </c>
      <c r="W46" s="6">
        <f>161.459+144.513+41.047+41.953+120.9+214.256</f>
        <v>724.1279999999999</v>
      </c>
      <c r="X46" s="6">
        <f>161.902+134.085+31.333+39.179+105.708+198.998</f>
        <v>671.2049999999999</v>
      </c>
      <c r="Y46" s="8">
        <f>146.884+136.542+37.8+38.784+94.473+206.557</f>
        <v>661.04</v>
      </c>
      <c r="Z46" s="8">
        <v>683.464</v>
      </c>
    </row>
    <row r="47" spans="1:24" ht="15.75">
      <c r="A47" s="1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.75">
      <c r="A48" s="19" t="s">
        <v>13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.75">
      <c r="A49" s="1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6" ht="15.75">
      <c r="A50" s="21" t="s">
        <v>110</v>
      </c>
      <c r="B50" s="8" t="s">
        <v>14</v>
      </c>
      <c r="C50" s="9">
        <f aca="true" t="shared" si="2" ref="C50:L50">(C12-B12)/B12*100</f>
        <v>-6.103812880487023</v>
      </c>
      <c r="D50" s="9">
        <f t="shared" si="2"/>
        <v>-4.743217880907695</v>
      </c>
      <c r="E50" s="9">
        <f t="shared" si="2"/>
        <v>-0.42987641053197206</v>
      </c>
      <c r="F50" s="9">
        <f t="shared" si="2"/>
        <v>3.5438028422378127</v>
      </c>
      <c r="G50" s="9">
        <f t="shared" si="2"/>
        <v>-0.27797081306462823</v>
      </c>
      <c r="H50" s="9">
        <f t="shared" si="2"/>
        <v>3.519163763066202</v>
      </c>
      <c r="I50" s="9">
        <f t="shared" si="2"/>
        <v>2.3729384045775834</v>
      </c>
      <c r="J50" s="9">
        <f t="shared" si="2"/>
        <v>3.698832812756864</v>
      </c>
      <c r="K50" s="9">
        <f t="shared" si="2"/>
        <v>0.2536461636017755</v>
      </c>
      <c r="L50" s="6">
        <f t="shared" si="2"/>
        <v>-1.9449715370018976</v>
      </c>
      <c r="M50" s="9">
        <f>(M12-L12)/L12*100</f>
        <v>-1.6126431220770843</v>
      </c>
      <c r="N50" s="9">
        <f>(N12-M12)/M12*100</f>
        <v>2.179970496639895</v>
      </c>
      <c r="O50" s="9">
        <f>(O12-N12)/N12*100</f>
        <v>0.9143407122232916</v>
      </c>
      <c r="P50" s="9">
        <f>(P12-O12)/O12*100</f>
        <v>2.799682085518991</v>
      </c>
      <c r="Q50" s="6">
        <f aca="true" t="shared" si="3" ref="Q50:Z50">(Q12-P12)/P12*100</f>
        <v>9.589295279140913</v>
      </c>
      <c r="R50" s="6">
        <f t="shared" si="3"/>
        <v>-5.449495434073433</v>
      </c>
      <c r="S50" s="6">
        <f t="shared" si="3"/>
        <v>1.422939269748257</v>
      </c>
      <c r="T50" s="6">
        <f t="shared" si="3"/>
        <v>1.5941502066311213</v>
      </c>
      <c r="U50" s="6">
        <f t="shared" si="3"/>
        <v>3.1833420326511126</v>
      </c>
      <c r="V50" s="6">
        <f t="shared" si="3"/>
        <v>1.2075977204480624</v>
      </c>
      <c r="W50" s="6">
        <f t="shared" si="3"/>
        <v>-0.538332902948079</v>
      </c>
      <c r="X50" s="6">
        <f t="shared" si="3"/>
        <v>0.5730657827202402</v>
      </c>
      <c r="Y50" s="6">
        <f t="shared" si="3"/>
        <v>1.3774394568823873</v>
      </c>
      <c r="Z50" s="6">
        <f t="shared" si="3"/>
        <v>3.7659105041704706</v>
      </c>
    </row>
    <row r="51" spans="1:26" ht="15.75">
      <c r="A51" s="18"/>
      <c r="B51" s="6"/>
      <c r="C51" s="9"/>
      <c r="D51" s="9"/>
      <c r="E51" s="9"/>
      <c r="F51" s="9"/>
      <c r="G51" s="9"/>
      <c r="H51" s="9"/>
      <c r="I51" s="9"/>
      <c r="J51" s="9"/>
      <c r="K51" s="9"/>
      <c r="L51" s="6"/>
      <c r="M51" s="9"/>
      <c r="N51" s="9"/>
      <c r="O51" s="9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>
      <c r="A52" s="21" t="s">
        <v>111</v>
      </c>
      <c r="B52" s="8" t="s">
        <v>14</v>
      </c>
      <c r="C52" s="9">
        <f aca="true" t="shared" si="4" ref="C52:M63">(C14-B14)/B14*100</f>
        <v>-5.776235906331309</v>
      </c>
      <c r="D52" s="9">
        <f t="shared" si="4"/>
        <v>-4.197349042709867</v>
      </c>
      <c r="E52" s="9">
        <f t="shared" si="4"/>
        <v>-0.8455034588777863</v>
      </c>
      <c r="F52" s="9">
        <f t="shared" si="4"/>
        <v>4.496124031007752</v>
      </c>
      <c r="G52" s="9">
        <f t="shared" si="4"/>
        <v>-0.5378338278931751</v>
      </c>
      <c r="H52" s="9">
        <f t="shared" si="4"/>
        <v>4.493753496177512</v>
      </c>
      <c r="I52" s="9">
        <f t="shared" si="4"/>
        <v>1.3561741613133478</v>
      </c>
      <c r="J52" s="9">
        <f t="shared" si="4"/>
        <v>2.975352112676056</v>
      </c>
      <c r="K52" s="9">
        <f t="shared" si="4"/>
        <v>0.42742349119507606</v>
      </c>
      <c r="L52" s="6">
        <f t="shared" si="4"/>
        <v>1.0214504596527068</v>
      </c>
      <c r="M52" s="9">
        <f aca="true" t="shared" si="5" ref="M52:P63">(M14-L14)/L14*100</f>
        <v>-0.016852039096730706</v>
      </c>
      <c r="N52" s="9">
        <f t="shared" si="5"/>
        <v>1.9720209000505646</v>
      </c>
      <c r="O52" s="9">
        <f t="shared" si="5"/>
        <v>2.181818181818182</v>
      </c>
      <c r="P52" s="9">
        <f t="shared" si="5"/>
        <v>1.0083629893238506</v>
      </c>
      <c r="Q52" s="6">
        <f aca="true" t="shared" si="6" ref="Q52:Z58">(Q14-P14)/P14*100</f>
        <v>11.147252302366114</v>
      </c>
      <c r="R52" s="6">
        <f t="shared" si="6"/>
        <v>-6.189635221785911</v>
      </c>
      <c r="S52" s="6">
        <f t="shared" si="6"/>
        <v>2.459074682263667</v>
      </c>
      <c r="T52" s="6">
        <f t="shared" si="6"/>
        <v>0.9303651710279078</v>
      </c>
      <c r="U52" s="6">
        <f t="shared" si="6"/>
        <v>0.61321911369876</v>
      </c>
      <c r="V52" s="6">
        <f t="shared" si="6"/>
        <v>1.9040397054683689</v>
      </c>
      <c r="W52" s="6">
        <f t="shared" si="6"/>
        <v>0.5601551497508683</v>
      </c>
      <c r="X52" s="6">
        <f t="shared" si="6"/>
        <v>-0.247150110163811</v>
      </c>
      <c r="Y52" s="6">
        <f t="shared" si="6"/>
        <v>0.7872021312452142</v>
      </c>
      <c r="Z52" s="6">
        <f t="shared" si="6"/>
        <v>3.1347887822400287</v>
      </c>
    </row>
    <row r="53" spans="1:26" ht="15.75">
      <c r="A53" s="21" t="s">
        <v>112</v>
      </c>
      <c r="B53" s="8" t="s">
        <v>14</v>
      </c>
      <c r="C53" s="9">
        <f t="shared" si="4"/>
        <v>-7.74219700040535</v>
      </c>
      <c r="D53" s="9">
        <f t="shared" si="4"/>
        <v>-5.6019332161687165</v>
      </c>
      <c r="E53" s="9">
        <f t="shared" si="4"/>
        <v>-0.7447056085641145</v>
      </c>
      <c r="F53" s="9">
        <f t="shared" si="4"/>
        <v>3.352872215709261</v>
      </c>
      <c r="G53" s="9">
        <f t="shared" si="4"/>
        <v>-0.6125226860254084</v>
      </c>
      <c r="H53" s="9">
        <f t="shared" si="4"/>
        <v>5.934718100890208</v>
      </c>
      <c r="I53" s="9">
        <f t="shared" si="4"/>
        <v>1.098901098901099</v>
      </c>
      <c r="J53" s="9">
        <f t="shared" si="4"/>
        <v>3.0477408354646207</v>
      </c>
      <c r="K53" s="9">
        <f t="shared" si="4"/>
        <v>1.1582213029989659</v>
      </c>
      <c r="L53" s="6">
        <f t="shared" si="4"/>
        <v>0.06133714986710284</v>
      </c>
      <c r="M53" s="9">
        <f t="shared" si="5"/>
        <v>-0.796894156109522</v>
      </c>
      <c r="N53" s="9">
        <f t="shared" si="5"/>
        <v>1.1122554067971162</v>
      </c>
      <c r="O53" s="9">
        <f t="shared" si="5"/>
        <v>1.2222448563862294</v>
      </c>
      <c r="P53" s="9">
        <f t="shared" si="5"/>
        <v>1.8537130207285142</v>
      </c>
      <c r="Q53" s="6">
        <f t="shared" si="6"/>
        <v>12.98155681628007</v>
      </c>
      <c r="R53" s="6">
        <f t="shared" si="6"/>
        <v>-9.143858770414482</v>
      </c>
      <c r="S53" s="6">
        <f t="shared" si="6"/>
        <v>3.0066031280406293</v>
      </c>
      <c r="T53" s="6">
        <f t="shared" si="6"/>
        <v>1.5494258956330742</v>
      </c>
      <c r="U53" s="6">
        <f t="shared" si="6"/>
        <v>-0.5692090528032344</v>
      </c>
      <c r="V53" s="6">
        <f t="shared" si="6"/>
        <v>2.0532252542357314</v>
      </c>
      <c r="W53" s="6">
        <f t="shared" si="6"/>
        <v>0.13132900345367496</v>
      </c>
      <c r="X53" s="6">
        <f t="shared" si="6"/>
        <v>-1.19723552997055</v>
      </c>
      <c r="Y53" s="6">
        <f t="shared" si="6"/>
        <v>2.3892270778457867</v>
      </c>
      <c r="Z53" s="6">
        <f t="shared" si="6"/>
        <v>1.3961286280126188</v>
      </c>
    </row>
    <row r="54" spans="1:26" ht="15.75">
      <c r="A54" s="21" t="s">
        <v>132</v>
      </c>
      <c r="B54" s="8" t="s">
        <v>14</v>
      </c>
      <c r="C54" s="9">
        <f t="shared" si="4"/>
        <v>-0.28680688336520077</v>
      </c>
      <c r="D54" s="9">
        <f t="shared" si="4"/>
        <v>0.8948545861297539</v>
      </c>
      <c r="E54" s="9">
        <f t="shared" si="4"/>
        <v>0.4434589800443459</v>
      </c>
      <c r="F54" s="9">
        <f t="shared" si="4"/>
        <v>2.491327656890571</v>
      </c>
      <c r="G54" s="9">
        <f t="shared" si="4"/>
        <v>0.7384615384615384</v>
      </c>
      <c r="H54" s="9">
        <f t="shared" si="4"/>
        <v>-3.2376298106292003</v>
      </c>
      <c r="I54" s="9">
        <f t="shared" si="4"/>
        <v>-3.8194444444444446</v>
      </c>
      <c r="J54" s="9">
        <f t="shared" si="4"/>
        <v>-2.231703314735806</v>
      </c>
      <c r="K54" s="9">
        <f t="shared" si="4"/>
        <v>-6.713662302786171</v>
      </c>
      <c r="L54" s="6">
        <f t="shared" si="4"/>
        <v>-3.3825116948542644</v>
      </c>
      <c r="M54" s="9">
        <f t="shared" si="5"/>
        <v>0.819366852886406</v>
      </c>
      <c r="N54" s="9">
        <f t="shared" si="5"/>
        <v>-3.3247137052087186</v>
      </c>
      <c r="O54" s="9">
        <f t="shared" si="5"/>
        <v>-4.508979747802828</v>
      </c>
      <c r="P54" s="9">
        <f t="shared" si="5"/>
        <v>-2.702040816326526</v>
      </c>
      <c r="Q54" s="6">
        <f t="shared" si="6"/>
        <v>-1.0642095583094469</v>
      </c>
      <c r="R54" s="6">
        <f t="shared" si="6"/>
        <v>-1.645452278017962</v>
      </c>
      <c r="S54" s="6">
        <f t="shared" si="6"/>
        <v>-0.47277766812325084</v>
      </c>
      <c r="T54" s="6">
        <f t="shared" si="6"/>
        <v>-3.0962731508121073</v>
      </c>
      <c r="U54" s="6">
        <f t="shared" si="6"/>
        <v>-5.924268126958052</v>
      </c>
      <c r="V54" s="6">
        <f t="shared" si="6"/>
        <v>-1.010931965424644</v>
      </c>
      <c r="W54" s="6">
        <f t="shared" si="6"/>
        <v>-0.35383029886637984</v>
      </c>
      <c r="X54" s="6">
        <f t="shared" si="6"/>
        <v>-0.9627813031431796</v>
      </c>
      <c r="Y54" s="6">
        <f t="shared" si="6"/>
        <v>-1.1287363074381784</v>
      </c>
      <c r="Z54" s="6">
        <f t="shared" si="6"/>
        <v>-4.347868024980555</v>
      </c>
    </row>
    <row r="55" spans="1:26" ht="15.75">
      <c r="A55" s="21" t="s">
        <v>113</v>
      </c>
      <c r="B55" s="8" t="s">
        <v>14</v>
      </c>
      <c r="C55" s="9">
        <f t="shared" si="4"/>
        <v>-0.8445945945945946</v>
      </c>
      <c r="D55" s="9">
        <f t="shared" si="4"/>
        <v>5.45144804088586</v>
      </c>
      <c r="E55" s="9">
        <f t="shared" si="4"/>
        <v>1.1308562197092082</v>
      </c>
      <c r="F55" s="9">
        <f t="shared" si="4"/>
        <v>0.7987220447284344</v>
      </c>
      <c r="G55" s="9">
        <f t="shared" si="4"/>
        <v>5.54675118858954</v>
      </c>
      <c r="H55" s="9">
        <f t="shared" si="4"/>
        <v>2.2522522522522523</v>
      </c>
      <c r="I55" s="9">
        <f t="shared" si="4"/>
        <v>5.139500734214391</v>
      </c>
      <c r="J55" s="9">
        <f t="shared" si="4"/>
        <v>3.072625698324022</v>
      </c>
      <c r="K55" s="9">
        <f t="shared" si="4"/>
        <v>-7.317073170731707</v>
      </c>
      <c r="L55" s="6">
        <f t="shared" si="4"/>
        <v>-5.409356725146199</v>
      </c>
      <c r="M55" s="9">
        <f t="shared" si="5"/>
        <v>1.3910355486862442</v>
      </c>
      <c r="N55" s="9">
        <f t="shared" si="5"/>
        <v>-4.420731707317073</v>
      </c>
      <c r="O55" s="9">
        <f t="shared" si="5"/>
        <v>-7.974481658692185</v>
      </c>
      <c r="P55" s="9">
        <f t="shared" si="5"/>
        <v>-1.395493934142118</v>
      </c>
      <c r="Q55" s="6">
        <f t="shared" si="6"/>
        <v>-4.797274970647578</v>
      </c>
      <c r="R55" s="6">
        <f t="shared" si="6"/>
        <v>-5.844136662888111</v>
      </c>
      <c r="S55" s="6">
        <f t="shared" si="6"/>
        <v>-7.264720126902212</v>
      </c>
      <c r="T55" s="6">
        <f t="shared" si="6"/>
        <v>-9.3240497389782</v>
      </c>
      <c r="U55" s="6">
        <f t="shared" si="6"/>
        <v>-10.645422302851111</v>
      </c>
      <c r="V55" s="6">
        <f t="shared" si="6"/>
        <v>-7.619559601041755</v>
      </c>
      <c r="W55" s="6">
        <f t="shared" si="6"/>
        <v>-0.7310734463276899</v>
      </c>
      <c r="X55" s="6">
        <f t="shared" si="6"/>
        <v>2.254618510466348</v>
      </c>
      <c r="Y55" s="6">
        <f t="shared" si="6"/>
        <v>-1.0444292929995647</v>
      </c>
      <c r="Z55" s="6">
        <f t="shared" si="6"/>
        <v>-6.501172725278563</v>
      </c>
    </row>
    <row r="56" spans="1:26" ht="15.75">
      <c r="A56" s="21" t="s">
        <v>114</v>
      </c>
      <c r="B56" s="8" t="s">
        <v>14</v>
      </c>
      <c r="C56" s="9">
        <f t="shared" si="4"/>
        <v>-0.547945205479452</v>
      </c>
      <c r="D56" s="9">
        <f t="shared" si="4"/>
        <v>-0.11806375442739078</v>
      </c>
      <c r="E56" s="9">
        <f t="shared" si="4"/>
        <v>0.27580772261623326</v>
      </c>
      <c r="F56" s="9">
        <f t="shared" si="4"/>
        <v>2.907662082514735</v>
      </c>
      <c r="G56" s="9">
        <f t="shared" si="4"/>
        <v>-0.4200076365024819</v>
      </c>
      <c r="H56" s="9">
        <f t="shared" si="4"/>
        <v>-4.63957055214724</v>
      </c>
      <c r="I56" s="9">
        <f t="shared" si="4"/>
        <v>-6.272617611580217</v>
      </c>
      <c r="J56" s="9">
        <f t="shared" si="4"/>
        <v>-3.861003861003861</v>
      </c>
      <c r="K56" s="9">
        <f t="shared" si="4"/>
        <v>-6.514948683623382</v>
      </c>
      <c r="L56" s="6">
        <f t="shared" si="4"/>
        <v>-2.768496420047733</v>
      </c>
      <c r="M56" s="9">
        <f t="shared" si="5"/>
        <v>0.6381934216985763</v>
      </c>
      <c r="N56" s="9">
        <f t="shared" si="5"/>
        <v>-2.5853658536585367</v>
      </c>
      <c r="O56" s="9">
        <f t="shared" si="5"/>
        <v>-3.755633450175263</v>
      </c>
      <c r="P56" s="9">
        <f t="shared" si="5"/>
        <v>-3.0942247658688866</v>
      </c>
      <c r="Q56" s="6">
        <f t="shared" si="6"/>
        <v>-0.5322870140545456</v>
      </c>
      <c r="R56" s="6">
        <f t="shared" si="6"/>
        <v>0.18363232511882088</v>
      </c>
      <c r="S56" s="6">
        <f t="shared" si="6"/>
        <v>1.3935755976373065</v>
      </c>
      <c r="T56" s="6">
        <f t="shared" si="6"/>
        <v>-1.5310736804964447</v>
      </c>
      <c r="U56" s="6">
        <f t="shared" si="6"/>
        <v>-4.831768271985558</v>
      </c>
      <c r="V56" s="6">
        <f t="shared" si="6"/>
        <v>0.4234114133390245</v>
      </c>
      <c r="W56" s="6">
        <f t="shared" si="6"/>
        <v>-0.2767363071710936</v>
      </c>
      <c r="X56" s="6">
        <f t="shared" si="6"/>
        <v>-1.6029678970431411</v>
      </c>
      <c r="Y56" s="6">
        <f t="shared" si="6"/>
        <v>-1.14616906885703</v>
      </c>
      <c r="Z56" s="6">
        <f t="shared" si="6"/>
        <v>-3.902213844927825</v>
      </c>
    </row>
    <row r="57" spans="1:26" ht="15.75">
      <c r="A57" s="21" t="s">
        <v>115</v>
      </c>
      <c r="B57" s="8" t="s">
        <v>14</v>
      </c>
      <c r="C57" s="9">
        <f t="shared" si="4"/>
        <v>-16.41954969796815</v>
      </c>
      <c r="D57" s="9">
        <f t="shared" si="4"/>
        <v>-22.010512483574242</v>
      </c>
      <c r="E57" s="9">
        <f t="shared" si="4"/>
        <v>-2.695871946082561</v>
      </c>
      <c r="F57" s="9">
        <f t="shared" si="4"/>
        <v>2.857142857142857</v>
      </c>
      <c r="G57" s="9">
        <f t="shared" si="4"/>
        <v>-7.912457912457913</v>
      </c>
      <c r="H57" s="9">
        <f t="shared" si="4"/>
        <v>34.18647166361974</v>
      </c>
      <c r="I57" s="9">
        <f t="shared" si="4"/>
        <v>12.465940054495912</v>
      </c>
      <c r="J57" s="9">
        <f t="shared" si="4"/>
        <v>9.448818897637794</v>
      </c>
      <c r="K57" s="9">
        <f t="shared" si="4"/>
        <v>15.163254012174876</v>
      </c>
      <c r="L57" s="6">
        <f t="shared" si="4"/>
        <v>1.4896684286400768</v>
      </c>
      <c r="M57" s="9">
        <f t="shared" si="5"/>
        <v>-2.083333333333333</v>
      </c>
      <c r="N57" s="9">
        <f t="shared" si="5"/>
        <v>6.09284332688588</v>
      </c>
      <c r="O57" s="9">
        <f t="shared" si="5"/>
        <v>11.257976298997265</v>
      </c>
      <c r="P57" s="9">
        <f t="shared" si="5"/>
        <v>4.1397787791888625</v>
      </c>
      <c r="Q57" s="6">
        <f t="shared" si="6"/>
        <v>2.4487697340573598</v>
      </c>
      <c r="R57" s="6">
        <f t="shared" si="6"/>
        <v>3.967552137790533</v>
      </c>
      <c r="S57" s="6">
        <f t="shared" si="6"/>
        <v>9.431243878405741</v>
      </c>
      <c r="T57" s="6">
        <f t="shared" si="6"/>
        <v>5.889015525190593</v>
      </c>
      <c r="U57" s="6">
        <f t="shared" si="6"/>
        <v>0.19601706081501316</v>
      </c>
      <c r="V57" s="6">
        <f t="shared" si="6"/>
        <v>5.020689444566027</v>
      </c>
      <c r="W57" s="6">
        <f t="shared" si="6"/>
        <v>2.9091336449526595</v>
      </c>
      <c r="X57" s="6">
        <f t="shared" si="6"/>
        <v>-1.9022471764599203</v>
      </c>
      <c r="Y57" s="6">
        <f t="shared" si="6"/>
        <v>5.709148156893785</v>
      </c>
      <c r="Z57" s="6">
        <f t="shared" si="6"/>
        <v>4.516459381043947</v>
      </c>
    </row>
    <row r="58" spans="1:26" ht="15.75">
      <c r="A58" s="21" t="s">
        <v>133</v>
      </c>
      <c r="B58" s="8" t="s">
        <v>14</v>
      </c>
      <c r="C58" s="9">
        <f t="shared" si="4"/>
        <v>-20.89005235602094</v>
      </c>
      <c r="D58" s="9">
        <f t="shared" si="4"/>
        <v>-19.72203838517538</v>
      </c>
      <c r="E58" s="9">
        <f t="shared" si="4"/>
        <v>-6.842539159109645</v>
      </c>
      <c r="F58" s="9">
        <f t="shared" si="4"/>
        <v>4.601769911504425</v>
      </c>
      <c r="G58" s="9">
        <f t="shared" si="4"/>
        <v>-4.822335025380711</v>
      </c>
      <c r="H58" s="9">
        <f t="shared" si="4"/>
        <v>33.955555555555556</v>
      </c>
      <c r="I58" s="9">
        <f t="shared" si="4"/>
        <v>11.413404114134043</v>
      </c>
      <c r="J58" s="9">
        <f t="shared" si="4"/>
        <v>9.8868374032162</v>
      </c>
      <c r="K58" s="9">
        <f t="shared" si="4"/>
        <v>14.471544715447154</v>
      </c>
      <c r="L58" s="6">
        <f t="shared" si="4"/>
        <v>1.4204545454545454</v>
      </c>
      <c r="M58" s="9">
        <f t="shared" si="5"/>
        <v>-1.4472455648926237</v>
      </c>
      <c r="N58" s="9">
        <f t="shared" si="5"/>
        <v>5.305542396968262</v>
      </c>
      <c r="O58" s="9">
        <f t="shared" si="5"/>
        <v>11.201079622132253</v>
      </c>
      <c r="P58" s="9">
        <f t="shared" si="5"/>
        <v>4.109506472491909</v>
      </c>
      <c r="Q58" s="6">
        <f t="shared" si="6"/>
        <v>2.5343227176699274</v>
      </c>
      <c r="R58" s="6">
        <f t="shared" si="6"/>
        <v>4.131748780700391</v>
      </c>
      <c r="S58" s="6">
        <f t="shared" si="6"/>
        <v>9.260367874537048</v>
      </c>
      <c r="T58" s="6">
        <f t="shared" si="6"/>
        <v>5.8383592040632815</v>
      </c>
      <c r="U58" s="6">
        <f t="shared" si="6"/>
        <v>0.190018580153979</v>
      </c>
      <c r="V58" s="6">
        <f t="shared" si="6"/>
        <v>4.1835368646152125</v>
      </c>
      <c r="W58" s="6">
        <f t="shared" si="6"/>
        <v>2.537739575073641</v>
      </c>
      <c r="X58" s="6">
        <f t="shared" si="6"/>
        <v>-2.0751065427573585</v>
      </c>
      <c r="Y58" s="6">
        <f t="shared" si="6"/>
        <v>5.9238387608965635</v>
      </c>
      <c r="Z58" s="6">
        <f t="shared" si="6"/>
        <v>4.6593300556510595</v>
      </c>
    </row>
    <row r="59" spans="1:26" ht="15.75">
      <c r="A59" s="21" t="s">
        <v>134</v>
      </c>
      <c r="B59" s="8" t="s">
        <v>14</v>
      </c>
      <c r="C59" s="9">
        <f t="shared" si="4"/>
        <v>481.25</v>
      </c>
      <c r="D59" s="9">
        <f t="shared" si="4"/>
        <v>-35.483870967741936</v>
      </c>
      <c r="E59" s="9">
        <f t="shared" si="4"/>
        <v>41.66666666666667</v>
      </c>
      <c r="F59" s="9">
        <f t="shared" si="4"/>
        <v>-15.294117647058824</v>
      </c>
      <c r="G59" s="9">
        <f t="shared" si="4"/>
        <v>-40.27777777777778</v>
      </c>
      <c r="H59" s="9">
        <f t="shared" si="4"/>
        <v>-58.139534883720934</v>
      </c>
      <c r="I59" s="9">
        <f t="shared" si="4"/>
        <v>50</v>
      </c>
      <c r="J59" s="9">
        <f t="shared" si="4"/>
        <v>-29.629629629629626</v>
      </c>
      <c r="K59" s="9">
        <f t="shared" si="4"/>
        <v>5.263157894736842</v>
      </c>
      <c r="L59" s="9">
        <f t="shared" si="4"/>
        <v>-50</v>
      </c>
      <c r="M59" s="9">
        <f t="shared" si="4"/>
        <v>-100</v>
      </c>
      <c r="N59" s="10" t="s">
        <v>15</v>
      </c>
      <c r="O59" s="9">
        <f t="shared" si="5"/>
        <v>25</v>
      </c>
      <c r="P59" s="9">
        <f t="shared" si="5"/>
        <v>-10.299999999999994</v>
      </c>
      <c r="Q59" s="8" t="s">
        <v>15</v>
      </c>
      <c r="R59" s="8" t="s">
        <v>15</v>
      </c>
      <c r="S59" s="8" t="s">
        <v>15</v>
      </c>
      <c r="T59" s="8" t="s">
        <v>15</v>
      </c>
      <c r="U59" s="8" t="s">
        <v>15</v>
      </c>
      <c r="V59" s="6">
        <f aca="true" t="shared" si="7" ref="V59:Z63">(V21-U21)/U21*100</f>
        <v>-1.150937191713257</v>
      </c>
      <c r="W59" s="6">
        <f t="shared" si="7"/>
        <v>30.139720558882242</v>
      </c>
      <c r="X59" s="6">
        <f t="shared" si="7"/>
        <v>47.41820040899797</v>
      </c>
      <c r="Y59" s="6">
        <f t="shared" si="7"/>
        <v>-100</v>
      </c>
      <c r="Z59" s="6">
        <v>0</v>
      </c>
    </row>
    <row r="60" spans="1:26" ht="15.75">
      <c r="A60" s="21" t="s">
        <v>116</v>
      </c>
      <c r="B60" s="8" t="s">
        <v>14</v>
      </c>
      <c r="C60" s="9">
        <f t="shared" si="4"/>
        <v>-179.04761904761907</v>
      </c>
      <c r="D60" s="9">
        <f t="shared" si="4"/>
        <v>3.614457831325301</v>
      </c>
      <c r="E60" s="9">
        <f t="shared" si="4"/>
        <v>-30.23255813953488</v>
      </c>
      <c r="F60" s="9">
        <f t="shared" si="4"/>
        <v>10</v>
      </c>
      <c r="G60" s="9">
        <f t="shared" si="4"/>
        <v>13.636363636363635</v>
      </c>
      <c r="H60" s="9">
        <f t="shared" si="4"/>
        <v>-25.333333333333336</v>
      </c>
      <c r="I60" s="9">
        <f t="shared" si="4"/>
        <v>-1.7857142857142856</v>
      </c>
      <c r="J60" s="9">
        <f t="shared" si="4"/>
        <v>3.6363636363636362</v>
      </c>
      <c r="K60" s="9">
        <f t="shared" si="4"/>
        <v>-8.771929824561402</v>
      </c>
      <c r="L60" s="6">
        <f t="shared" si="4"/>
        <v>-23.076923076923077</v>
      </c>
      <c r="M60" s="9">
        <f t="shared" si="5"/>
        <v>5</v>
      </c>
      <c r="N60" s="9">
        <f t="shared" si="5"/>
        <v>-23.809523809523807</v>
      </c>
      <c r="O60" s="9">
        <f t="shared" si="5"/>
        <v>12.5</v>
      </c>
      <c r="P60" s="9">
        <f t="shared" si="5"/>
        <v>0.05555555555556424</v>
      </c>
      <c r="Q60" s="6">
        <f aca="true" t="shared" si="8" ref="Q60:U63">(Q22-P22)/P22*100</f>
        <v>-4.194891726818441</v>
      </c>
      <c r="R60" s="6">
        <f t="shared" si="8"/>
        <v>16.52322582514706</v>
      </c>
      <c r="S60" s="6">
        <f t="shared" si="8"/>
        <v>-2.245654174230929</v>
      </c>
      <c r="T60" s="6">
        <f t="shared" si="8"/>
        <v>2.0199450493538134</v>
      </c>
      <c r="U60" s="6">
        <f t="shared" si="8"/>
        <v>7.303875118447964</v>
      </c>
      <c r="V60" s="6">
        <f t="shared" si="7"/>
        <v>-57.35167669819432</v>
      </c>
      <c r="W60" s="6">
        <f t="shared" si="7"/>
        <v>-59.75370531822145</v>
      </c>
      <c r="X60" s="6">
        <f t="shared" si="7"/>
        <v>-55.3750338478202</v>
      </c>
      <c r="Y60" s="6">
        <f t="shared" si="7"/>
        <v>37.68203883495147</v>
      </c>
      <c r="Z60" s="6">
        <f t="shared" si="7"/>
        <v>115.5795504627589</v>
      </c>
    </row>
    <row r="61" spans="1:26" ht="15.75">
      <c r="A61" s="21" t="s">
        <v>117</v>
      </c>
      <c r="B61" s="8" t="s">
        <v>14</v>
      </c>
      <c r="C61" s="9">
        <f t="shared" si="4"/>
        <v>-396.969696969697</v>
      </c>
      <c r="D61" s="9">
        <f t="shared" si="4"/>
        <v>-53.06122448979592</v>
      </c>
      <c r="E61" s="9">
        <f t="shared" si="4"/>
        <v>-232.60869565217394</v>
      </c>
      <c r="F61" s="9">
        <f t="shared" si="4"/>
        <v>-52.459016393442624</v>
      </c>
      <c r="G61" s="9">
        <f t="shared" si="4"/>
        <v>-58.620689655172406</v>
      </c>
      <c r="H61" s="9">
        <f t="shared" si="4"/>
        <v>-66.66666666666666</v>
      </c>
      <c r="I61" s="9">
        <f t="shared" si="4"/>
        <v>75</v>
      </c>
      <c r="J61" s="9">
        <f t="shared" si="4"/>
        <v>714.2857142857143</v>
      </c>
      <c r="K61" s="9">
        <f t="shared" si="4"/>
        <v>-43.859649122807014</v>
      </c>
      <c r="L61" s="6">
        <f t="shared" si="4"/>
        <v>206.25</v>
      </c>
      <c r="M61" s="9">
        <f t="shared" si="5"/>
        <v>-18.367346938775512</v>
      </c>
      <c r="N61" s="9">
        <f t="shared" si="5"/>
        <v>12.5</v>
      </c>
      <c r="O61" s="9">
        <f t="shared" si="5"/>
        <v>-68.88888888888889</v>
      </c>
      <c r="P61" s="9">
        <f t="shared" si="5"/>
        <v>212.79642857142855</v>
      </c>
      <c r="Q61" s="6">
        <f t="shared" si="8"/>
        <v>16.173229964719187</v>
      </c>
      <c r="R61" s="6">
        <f t="shared" si="8"/>
        <v>19.530605024177376</v>
      </c>
      <c r="S61" s="6">
        <f t="shared" si="8"/>
        <v>-72.33678671271171</v>
      </c>
      <c r="T61" s="6">
        <f t="shared" si="8"/>
        <v>-55.469028652954464</v>
      </c>
      <c r="U61" s="6">
        <f t="shared" si="8"/>
        <v>654.8191162728608</v>
      </c>
      <c r="V61" s="6">
        <f t="shared" si="7"/>
        <v>-27.290493160133355</v>
      </c>
      <c r="W61" s="6">
        <f t="shared" si="7"/>
        <v>-91.95256916996047</v>
      </c>
      <c r="X61" s="6">
        <f t="shared" si="7"/>
        <v>285.779053951942</v>
      </c>
      <c r="Y61" s="6">
        <f t="shared" si="7"/>
        <v>-142.05742938849065</v>
      </c>
      <c r="Z61" s="6">
        <f t="shared" si="7"/>
        <v>-116.03017883755588</v>
      </c>
    </row>
    <row r="62" spans="1:26" ht="15.75">
      <c r="A62" s="21" t="s">
        <v>118</v>
      </c>
      <c r="B62" s="8" t="s">
        <v>14</v>
      </c>
      <c r="C62" s="9">
        <f t="shared" si="4"/>
        <v>2.772963604852686</v>
      </c>
      <c r="D62" s="9">
        <f t="shared" si="4"/>
        <v>-2.5295109612141653</v>
      </c>
      <c r="E62" s="9">
        <f t="shared" si="4"/>
        <v>-1.384083044982699</v>
      </c>
      <c r="F62" s="9">
        <f t="shared" si="4"/>
        <v>4.56140350877193</v>
      </c>
      <c r="G62" s="9">
        <f t="shared" si="4"/>
        <v>1.342281879194631</v>
      </c>
      <c r="H62" s="9">
        <f t="shared" si="4"/>
        <v>-4.801324503311259</v>
      </c>
      <c r="I62" s="9">
        <f t="shared" si="4"/>
        <v>1.7391304347826086</v>
      </c>
      <c r="J62" s="9">
        <f t="shared" si="4"/>
        <v>1.3675213675213675</v>
      </c>
      <c r="K62" s="9">
        <f t="shared" si="4"/>
        <v>-5.059021922428331</v>
      </c>
      <c r="L62" s="6">
        <f t="shared" si="4"/>
        <v>1.9538188277087036</v>
      </c>
      <c r="M62" s="9">
        <f t="shared" si="5"/>
        <v>6.794425087108014</v>
      </c>
      <c r="N62" s="9">
        <f t="shared" si="5"/>
        <v>2.4469820554649266</v>
      </c>
      <c r="O62" s="9">
        <f t="shared" si="5"/>
        <v>5.7324840764331215</v>
      </c>
      <c r="P62" s="9">
        <f t="shared" si="5"/>
        <v>4.537349397590368</v>
      </c>
      <c r="Q62" s="6">
        <f t="shared" si="8"/>
        <v>2.0303171749302664</v>
      </c>
      <c r="R62" s="6">
        <f t="shared" si="8"/>
        <v>1.1445579840191118</v>
      </c>
      <c r="S62" s="6">
        <f t="shared" si="8"/>
        <v>0.6381163909778671</v>
      </c>
      <c r="T62" s="6">
        <f t="shared" si="8"/>
        <v>-0.5394660548371628</v>
      </c>
      <c r="U62" s="6">
        <f t="shared" si="8"/>
        <v>5.5852855403488695</v>
      </c>
      <c r="V62" s="6">
        <f t="shared" si="7"/>
        <v>5.592452870065089</v>
      </c>
      <c r="W62" s="6">
        <f t="shared" si="7"/>
        <v>0.22079225012947137</v>
      </c>
      <c r="X62" s="6">
        <f t="shared" si="7"/>
        <v>-0.34562427682894475</v>
      </c>
      <c r="Y62" s="6">
        <f t="shared" si="7"/>
        <v>-5.255451596337623</v>
      </c>
      <c r="Z62" s="6">
        <f t="shared" si="7"/>
        <v>11.516582477450026</v>
      </c>
    </row>
    <row r="63" spans="1:26" ht="15.75">
      <c r="A63" s="21" t="s">
        <v>119</v>
      </c>
      <c r="B63" s="8" t="s">
        <v>14</v>
      </c>
      <c r="C63" s="9">
        <f t="shared" si="4"/>
        <v>13.438735177865613</v>
      </c>
      <c r="D63" s="9">
        <f t="shared" si="4"/>
        <v>14.285714285714285</v>
      </c>
      <c r="E63" s="9">
        <f t="shared" si="4"/>
        <v>-0.6097560975609756</v>
      </c>
      <c r="F63" s="9">
        <f t="shared" si="4"/>
        <v>13.803680981595093</v>
      </c>
      <c r="G63" s="9">
        <f t="shared" si="4"/>
        <v>1.8867924528301887</v>
      </c>
      <c r="H63" s="9">
        <f t="shared" si="4"/>
        <v>2.6455026455026456</v>
      </c>
      <c r="I63" s="9">
        <f t="shared" si="4"/>
        <v>3.865979381443299</v>
      </c>
      <c r="J63" s="9">
        <f t="shared" si="4"/>
        <v>3.722084367245657</v>
      </c>
      <c r="K63" s="9">
        <f t="shared" si="4"/>
        <v>0.4784688995215311</v>
      </c>
      <c r="L63" s="6">
        <f t="shared" si="4"/>
        <v>10.714285714285714</v>
      </c>
      <c r="M63" s="9">
        <f t="shared" si="5"/>
        <v>0.21505376344086022</v>
      </c>
      <c r="N63" s="9">
        <f t="shared" si="5"/>
        <v>10.085836909871244</v>
      </c>
      <c r="O63" s="9">
        <f t="shared" si="5"/>
        <v>7.212475633528265</v>
      </c>
      <c r="P63" s="9">
        <f t="shared" si="5"/>
        <v>-11.073090909090906</v>
      </c>
      <c r="Q63" s="6">
        <f t="shared" si="8"/>
        <v>5.10490740097077</v>
      </c>
      <c r="R63" s="6">
        <f t="shared" si="8"/>
        <v>16.566938875552935</v>
      </c>
      <c r="S63" s="6">
        <f t="shared" si="8"/>
        <v>-0.11114244757029258</v>
      </c>
      <c r="T63" s="6">
        <f t="shared" si="8"/>
        <v>-2.8341115835373025</v>
      </c>
      <c r="U63" s="6">
        <f t="shared" si="8"/>
        <v>5.531971231136119</v>
      </c>
      <c r="V63" s="6">
        <f t="shared" si="7"/>
        <v>-3.9587796831086313</v>
      </c>
      <c r="W63" s="6">
        <f t="shared" si="7"/>
        <v>5.0319181240319875</v>
      </c>
      <c r="X63" s="6">
        <f t="shared" si="7"/>
        <v>8.353374605702426</v>
      </c>
      <c r="Y63" s="6">
        <f t="shared" si="7"/>
        <v>-5.049354706957346</v>
      </c>
      <c r="Z63" s="6">
        <f t="shared" si="7"/>
        <v>8.427998191477327</v>
      </c>
    </row>
    <row r="64" spans="1:26" ht="15.75">
      <c r="A64" s="18"/>
      <c r="B64" s="6"/>
      <c r="C64" s="9"/>
      <c r="D64" s="9"/>
      <c r="E64" s="9"/>
      <c r="F64" s="9"/>
      <c r="G64" s="9"/>
      <c r="H64" s="9"/>
      <c r="I64" s="9"/>
      <c r="J64" s="9"/>
      <c r="K64" s="9"/>
      <c r="L64" s="6"/>
      <c r="M64" s="9"/>
      <c r="N64" s="9"/>
      <c r="O64" s="9"/>
      <c r="P64" s="9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>
      <c r="A65" s="21" t="s">
        <v>120</v>
      </c>
      <c r="B65" s="8" t="s">
        <v>14</v>
      </c>
      <c r="C65" s="9">
        <f aca="true" t="shared" si="9" ref="C65:L67">(C27-B27)/B27*100</f>
        <v>-17.97520661157025</v>
      </c>
      <c r="D65" s="9">
        <f t="shared" si="9"/>
        <v>-25.692695214105793</v>
      </c>
      <c r="E65" s="9">
        <f t="shared" si="9"/>
        <v>5.423728813559322</v>
      </c>
      <c r="F65" s="9">
        <f t="shared" si="9"/>
        <v>30.86816720257235</v>
      </c>
      <c r="G65" s="9">
        <f t="shared" si="9"/>
        <v>-23.095823095823096</v>
      </c>
      <c r="H65" s="9">
        <f t="shared" si="9"/>
        <v>24.920127795527154</v>
      </c>
      <c r="I65" s="9">
        <f t="shared" si="9"/>
        <v>-4.603580562659847</v>
      </c>
      <c r="J65" s="9">
        <f t="shared" si="9"/>
        <v>18.230563002680967</v>
      </c>
      <c r="K65" s="9">
        <f t="shared" si="9"/>
        <v>-10.204081632653061</v>
      </c>
      <c r="L65" s="6">
        <f t="shared" si="9"/>
        <v>-17.67676767676768</v>
      </c>
      <c r="M65" s="9">
        <f aca="true" t="shared" si="10" ref="M65:P67">(M27-L27)/L27*100</f>
        <v>-45.70552147239264</v>
      </c>
      <c r="N65" s="9">
        <f t="shared" si="10"/>
        <v>-11.864406779661017</v>
      </c>
      <c r="O65" s="9">
        <f t="shared" si="10"/>
        <v>-14.102564102564102</v>
      </c>
      <c r="P65" s="9">
        <f t="shared" si="10"/>
        <v>61.71119402985076</v>
      </c>
      <c r="Q65" s="6">
        <f aca="true" t="shared" si="11" ref="Q65:Z67">(Q27-P27)/P27*100</f>
        <v>-53.44427369596618</v>
      </c>
      <c r="R65" s="6">
        <f t="shared" si="11"/>
        <v>79.28293171297446</v>
      </c>
      <c r="S65" s="6">
        <f t="shared" si="11"/>
        <v>-14.605840788207844</v>
      </c>
      <c r="T65" s="6">
        <f t="shared" si="11"/>
        <v>45.628654118835335</v>
      </c>
      <c r="U65" s="6">
        <f t="shared" si="11"/>
        <v>12.2558042343568</v>
      </c>
      <c r="V65" s="6">
        <f t="shared" si="11"/>
        <v>20.79267133487533</v>
      </c>
      <c r="W65" s="6">
        <f t="shared" si="11"/>
        <v>-0.6262562010839888</v>
      </c>
      <c r="X65" s="6">
        <f t="shared" si="11"/>
        <v>-17.81329497124493</v>
      </c>
      <c r="Y65" s="6">
        <f t="shared" si="11"/>
        <v>25.195412081625452</v>
      </c>
      <c r="Z65" s="6">
        <f t="shared" si="11"/>
        <v>25.671160308868423</v>
      </c>
    </row>
    <row r="66" spans="1:26" ht="15.75">
      <c r="A66" s="21" t="s">
        <v>121</v>
      </c>
      <c r="B66" s="8" t="s">
        <v>14</v>
      </c>
      <c r="C66" s="9">
        <f t="shared" si="9"/>
        <v>-8.131487889273355</v>
      </c>
      <c r="D66" s="9">
        <f t="shared" si="9"/>
        <v>-4.708097928436912</v>
      </c>
      <c r="E66" s="9">
        <f t="shared" si="9"/>
        <v>2.766798418972332</v>
      </c>
      <c r="F66" s="9">
        <f t="shared" si="9"/>
        <v>16.153846153846153</v>
      </c>
      <c r="G66" s="9">
        <f t="shared" si="9"/>
        <v>-13.410596026490065</v>
      </c>
      <c r="H66" s="9">
        <f t="shared" si="9"/>
        <v>18.738049713193117</v>
      </c>
      <c r="I66" s="9">
        <f t="shared" si="9"/>
        <v>-4.025764895330113</v>
      </c>
      <c r="J66" s="9">
        <f t="shared" si="9"/>
        <v>14.261744966442953</v>
      </c>
      <c r="K66" s="9">
        <f t="shared" si="9"/>
        <v>-3.671071953010279</v>
      </c>
      <c r="L66" s="6">
        <f t="shared" si="9"/>
        <v>-8.841463414634147</v>
      </c>
      <c r="M66" s="9">
        <f t="shared" si="10"/>
        <v>-16.387959866220736</v>
      </c>
      <c r="N66" s="9">
        <f t="shared" si="10"/>
        <v>-5.800000000000001</v>
      </c>
      <c r="O66" s="9">
        <f t="shared" si="10"/>
        <v>-2.1231422505307855</v>
      </c>
      <c r="P66" s="9">
        <f t="shared" si="10"/>
        <v>12.459652928416478</v>
      </c>
      <c r="Q66" s="6">
        <f t="shared" si="11"/>
        <v>-21.403096603457687</v>
      </c>
      <c r="R66" s="6">
        <f t="shared" si="11"/>
        <v>20.448270699941347</v>
      </c>
      <c r="S66" s="6">
        <f t="shared" si="11"/>
        <v>-4.343325882897061</v>
      </c>
      <c r="T66" s="6">
        <f t="shared" si="11"/>
        <v>8.24227552920026</v>
      </c>
      <c r="U66" s="6">
        <f t="shared" si="11"/>
        <v>5.6454628102751325</v>
      </c>
      <c r="V66" s="6">
        <f t="shared" si="11"/>
        <v>20.72654866102778</v>
      </c>
      <c r="W66" s="6">
        <f t="shared" si="11"/>
        <v>-1.8691920430893911</v>
      </c>
      <c r="X66" s="6">
        <f t="shared" si="11"/>
        <v>-8.688166835946944</v>
      </c>
      <c r="Y66" s="6">
        <f t="shared" si="11"/>
        <v>13.567575292673299</v>
      </c>
      <c r="Z66" s="6">
        <f t="shared" si="11"/>
        <v>12.487965516561722</v>
      </c>
    </row>
    <row r="67" spans="1:26" ht="15.75">
      <c r="A67" s="21" t="s">
        <v>122</v>
      </c>
      <c r="B67" s="8" t="s">
        <v>14</v>
      </c>
      <c r="C67" s="9">
        <f t="shared" si="9"/>
        <v>42.5531914893617</v>
      </c>
      <c r="D67" s="9">
        <f t="shared" si="9"/>
        <v>57.46268656716418</v>
      </c>
      <c r="E67" s="9">
        <f t="shared" si="9"/>
        <v>-0.47393364928909953</v>
      </c>
      <c r="F67" s="9">
        <f t="shared" si="9"/>
        <v>-6.190476190476191</v>
      </c>
      <c r="G67" s="9">
        <f t="shared" si="9"/>
        <v>6.598984771573605</v>
      </c>
      <c r="H67" s="9">
        <f t="shared" si="9"/>
        <v>9.047619047619047</v>
      </c>
      <c r="I67" s="9">
        <f t="shared" si="9"/>
        <v>-2.6200873362445414</v>
      </c>
      <c r="J67" s="9">
        <f t="shared" si="9"/>
        <v>7.623318385650224</v>
      </c>
      <c r="K67" s="9">
        <f t="shared" si="9"/>
        <v>8.333333333333332</v>
      </c>
      <c r="L67" s="6">
        <f t="shared" si="9"/>
        <v>4.615384615384616</v>
      </c>
      <c r="M67" s="9">
        <f t="shared" si="10"/>
        <v>18.75</v>
      </c>
      <c r="N67" s="9">
        <f t="shared" si="10"/>
        <v>-2.476780185758514</v>
      </c>
      <c r="O67" s="9">
        <f t="shared" si="10"/>
        <v>3.8095238095238098</v>
      </c>
      <c r="P67" s="9">
        <f t="shared" si="10"/>
        <v>-7.72293577981652</v>
      </c>
      <c r="Q67" s="6">
        <f t="shared" si="11"/>
        <v>1.60664930106779</v>
      </c>
      <c r="R67" s="6">
        <f t="shared" si="11"/>
        <v>1.0890624082663063</v>
      </c>
      <c r="S67" s="6">
        <f t="shared" si="11"/>
        <v>1.6455169343051639</v>
      </c>
      <c r="T67" s="6">
        <f t="shared" si="11"/>
        <v>-10.08687978719691</v>
      </c>
      <c r="U67" s="6">
        <f t="shared" si="11"/>
        <v>0.3964611517496708</v>
      </c>
      <c r="V67" s="6">
        <f t="shared" si="11"/>
        <v>20.66784115564088</v>
      </c>
      <c r="W67" s="6">
        <f t="shared" si="11"/>
        <v>-2.973883445916406</v>
      </c>
      <c r="X67" s="6">
        <f t="shared" si="11"/>
        <v>-0.3817401463887907</v>
      </c>
      <c r="Y67" s="6">
        <f t="shared" si="11"/>
        <v>4.835111162030638</v>
      </c>
      <c r="Z67" s="6">
        <f t="shared" si="11"/>
        <v>0.6646247645341834</v>
      </c>
    </row>
    <row r="68" spans="1:26" ht="15.75">
      <c r="A68" s="21" t="s">
        <v>123</v>
      </c>
      <c r="B68" s="8" t="s">
        <v>15</v>
      </c>
      <c r="C68" s="10" t="s">
        <v>15</v>
      </c>
      <c r="D68" s="10" t="s">
        <v>15</v>
      </c>
      <c r="E68" s="10" t="s">
        <v>15</v>
      </c>
      <c r="F68" s="10" t="s">
        <v>15</v>
      </c>
      <c r="G68" s="10" t="s">
        <v>15</v>
      </c>
      <c r="H68" s="10" t="s">
        <v>15</v>
      </c>
      <c r="I68" s="10" t="s">
        <v>15</v>
      </c>
      <c r="J68" s="10" t="s">
        <v>15</v>
      </c>
      <c r="K68" s="10" t="s">
        <v>15</v>
      </c>
      <c r="L68" s="8" t="s">
        <v>15</v>
      </c>
      <c r="M68" s="10" t="s">
        <v>15</v>
      </c>
      <c r="N68" s="10" t="s">
        <v>15</v>
      </c>
      <c r="O68" s="10" t="s">
        <v>15</v>
      </c>
      <c r="P68" s="10" t="s">
        <v>15</v>
      </c>
      <c r="Q68" s="8" t="s">
        <v>15</v>
      </c>
      <c r="R68" s="8" t="s">
        <v>15</v>
      </c>
      <c r="S68" s="8" t="s">
        <v>15</v>
      </c>
      <c r="T68" s="8" t="s">
        <v>15</v>
      </c>
      <c r="U68" s="8" t="s">
        <v>15</v>
      </c>
      <c r="V68" s="8" t="s">
        <v>15</v>
      </c>
      <c r="W68" s="8" t="s">
        <v>15</v>
      </c>
      <c r="X68" s="8" t="s">
        <v>15</v>
      </c>
      <c r="Y68" s="8" t="s">
        <v>15</v>
      </c>
      <c r="Z68" s="8" t="s">
        <v>15</v>
      </c>
    </row>
    <row r="69" spans="1:26" ht="15.75">
      <c r="A69" s="18"/>
      <c r="B69" s="6"/>
      <c r="C69" s="9"/>
      <c r="D69" s="9"/>
      <c r="E69" s="9"/>
      <c r="F69" s="9"/>
      <c r="G69" s="9"/>
      <c r="H69" s="9"/>
      <c r="I69" s="9"/>
      <c r="J69" s="9"/>
      <c r="K69" s="9"/>
      <c r="L69" s="6"/>
      <c r="M69" s="9"/>
      <c r="N69" s="9"/>
      <c r="O69" s="9"/>
      <c r="P69" s="9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>
      <c r="A70" s="19" t="s">
        <v>8</v>
      </c>
      <c r="B70" s="6"/>
      <c r="C70" s="9"/>
      <c r="D70" s="9"/>
      <c r="E70" s="9"/>
      <c r="F70" s="9"/>
      <c r="G70" s="9"/>
      <c r="H70" s="9"/>
      <c r="I70" s="9"/>
      <c r="J70" s="9"/>
      <c r="K70" s="9"/>
      <c r="L70" s="6"/>
      <c r="M70" s="9"/>
      <c r="N70" s="9"/>
      <c r="O70" s="9"/>
      <c r="P70" s="9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>
      <c r="A71" s="18"/>
      <c r="B71" s="6"/>
      <c r="C71" s="9"/>
      <c r="D71" s="9"/>
      <c r="E71" s="9"/>
      <c r="F71" s="9"/>
      <c r="G71" s="9"/>
      <c r="H71" s="9"/>
      <c r="I71" s="9"/>
      <c r="J71" s="9"/>
      <c r="K71" s="9"/>
      <c r="L71" s="6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>
      <c r="A72" s="18" t="s">
        <v>9</v>
      </c>
      <c r="B72" s="6"/>
      <c r="C72" s="9"/>
      <c r="D72" s="9"/>
      <c r="E72" s="9"/>
      <c r="F72" s="9"/>
      <c r="G72" s="9"/>
      <c r="H72" s="9"/>
      <c r="I72" s="9"/>
      <c r="J72" s="9"/>
      <c r="K72" s="9"/>
      <c r="L72" s="6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>
      <c r="A73" s="21" t="s">
        <v>124</v>
      </c>
      <c r="B73" s="8" t="s">
        <v>14</v>
      </c>
      <c r="C73" s="9">
        <f aca="true" t="shared" si="12" ref="C73:L78">(C35-B35)/B35*100</f>
        <v>-6.103812880487023</v>
      </c>
      <c r="D73" s="9">
        <f t="shared" si="12"/>
        <v>-4.743217880907695</v>
      </c>
      <c r="E73" s="9">
        <f t="shared" si="12"/>
        <v>-0.42987641053197206</v>
      </c>
      <c r="F73" s="9">
        <f t="shared" si="12"/>
        <v>3.5438028422378127</v>
      </c>
      <c r="G73" s="9">
        <f t="shared" si="12"/>
        <v>-0.27797081306462823</v>
      </c>
      <c r="H73" s="9">
        <f t="shared" si="12"/>
        <v>3.519163763066202</v>
      </c>
      <c r="I73" s="9">
        <f t="shared" si="12"/>
        <v>2.3729384045775834</v>
      </c>
      <c r="J73" s="9">
        <f t="shared" si="12"/>
        <v>3.994739437777412</v>
      </c>
      <c r="K73" s="9">
        <f t="shared" si="12"/>
        <v>-0.03161555485298767</v>
      </c>
      <c r="L73" s="6">
        <f t="shared" si="12"/>
        <v>-1.9449715370018976</v>
      </c>
      <c r="M73" s="9">
        <f aca="true" t="shared" si="13" ref="M73:P78">(M35-L35)/L35*100</f>
        <v>-1.6126431220770843</v>
      </c>
      <c r="N73" s="9">
        <f t="shared" si="13"/>
        <v>2.179970496639895</v>
      </c>
      <c r="O73" s="9">
        <f t="shared" si="13"/>
        <v>0.9143407122232916</v>
      </c>
      <c r="P73" s="9">
        <f t="shared" si="13"/>
        <v>2.799682085518991</v>
      </c>
      <c r="Q73" s="6">
        <f aca="true" t="shared" si="14" ref="Q73:Z78">(Q35-P35)/P35*100</f>
        <v>0.03629122540949649</v>
      </c>
      <c r="R73" s="6">
        <f t="shared" si="14"/>
        <v>3.5796413155626974</v>
      </c>
      <c r="S73" s="6">
        <f t="shared" si="14"/>
        <v>1.422939269748257</v>
      </c>
      <c r="T73" s="6">
        <f t="shared" si="14"/>
        <v>1.5941502066311213</v>
      </c>
      <c r="U73" s="6">
        <f t="shared" si="14"/>
        <v>3.1833420326511126</v>
      </c>
      <c r="V73" s="6">
        <f t="shared" si="14"/>
        <v>1.2075977204480624</v>
      </c>
      <c r="W73" s="6">
        <f t="shared" si="14"/>
        <v>-0.538332902948079</v>
      </c>
      <c r="X73" s="6">
        <f t="shared" si="14"/>
        <v>0.5730657827202402</v>
      </c>
      <c r="Y73" s="6">
        <f t="shared" si="14"/>
        <v>1.3774394568823873</v>
      </c>
      <c r="Z73" s="6">
        <f t="shared" si="14"/>
        <v>3.7659105041704706</v>
      </c>
    </row>
    <row r="74" spans="1:26" ht="15.75">
      <c r="A74" s="21" t="s">
        <v>125</v>
      </c>
      <c r="B74" s="8" t="s">
        <v>14</v>
      </c>
      <c r="C74" s="9">
        <f t="shared" si="12"/>
        <v>-0.12463647694225177</v>
      </c>
      <c r="D74" s="9">
        <f t="shared" si="12"/>
        <v>-0.7071547420965058</v>
      </c>
      <c r="E74" s="9">
        <f t="shared" si="12"/>
        <v>1.2568077084206117</v>
      </c>
      <c r="F74" s="9">
        <f t="shared" si="12"/>
        <v>1.3239553165080677</v>
      </c>
      <c r="G74" s="9">
        <f t="shared" si="12"/>
        <v>1.796651694569212</v>
      </c>
      <c r="H74" s="9">
        <f t="shared" si="12"/>
        <v>2.9683112715603692</v>
      </c>
      <c r="I74" s="9">
        <f t="shared" si="12"/>
        <v>2.454226723802104</v>
      </c>
      <c r="J74" s="9">
        <f t="shared" si="12"/>
        <v>1.8250950570342206</v>
      </c>
      <c r="K74" s="9">
        <f t="shared" si="12"/>
        <v>-0.11202389843166542</v>
      </c>
      <c r="L74" s="6">
        <f t="shared" si="12"/>
        <v>-1.2710280373831775</v>
      </c>
      <c r="M74" s="9">
        <f t="shared" si="13"/>
        <v>-0.6815600151457781</v>
      </c>
      <c r="N74" s="9">
        <f t="shared" si="13"/>
        <v>1.4105985512771635</v>
      </c>
      <c r="O74" s="9">
        <f t="shared" si="13"/>
        <v>2.593984962406015</v>
      </c>
      <c r="P74" s="9">
        <f t="shared" si="13"/>
        <v>1.6672407475265592</v>
      </c>
      <c r="Q74" s="6">
        <f t="shared" si="14"/>
        <v>2.4637240813566783</v>
      </c>
      <c r="R74" s="6">
        <f t="shared" si="14"/>
        <v>1.5863630047962332</v>
      </c>
      <c r="S74" s="6">
        <f t="shared" si="14"/>
        <v>1.3225630749530954</v>
      </c>
      <c r="T74" s="6">
        <f t="shared" si="14"/>
        <v>2.9509443814871874</v>
      </c>
      <c r="U74" s="6">
        <f t="shared" si="14"/>
        <v>2.1492137585531323</v>
      </c>
      <c r="V74" s="6">
        <f t="shared" si="14"/>
        <v>0.7647107377320242</v>
      </c>
      <c r="W74" s="6">
        <f t="shared" si="14"/>
        <v>1.3508240200672468</v>
      </c>
      <c r="X74" s="6">
        <f t="shared" si="14"/>
        <v>2.7619596138303217</v>
      </c>
      <c r="Y74" s="6">
        <f t="shared" si="14"/>
        <v>0.984003822312042</v>
      </c>
      <c r="Z74" s="6">
        <f t="shared" si="14"/>
        <v>2.187574837400658</v>
      </c>
    </row>
    <row r="75" spans="1:26" ht="15.75">
      <c r="A75" s="21" t="s">
        <v>126</v>
      </c>
      <c r="B75" s="8" t="s">
        <v>14</v>
      </c>
      <c r="C75" s="9">
        <f t="shared" si="12"/>
        <v>-1.6205910390848426</v>
      </c>
      <c r="D75" s="9">
        <f t="shared" si="12"/>
        <v>-5.523255813953488</v>
      </c>
      <c r="E75" s="9">
        <f t="shared" si="12"/>
        <v>0.717948717948718</v>
      </c>
      <c r="F75" s="9">
        <f t="shared" si="12"/>
        <v>6.008146639511202</v>
      </c>
      <c r="G75" s="9">
        <f t="shared" si="12"/>
        <v>0.5763688760806917</v>
      </c>
      <c r="H75" s="9">
        <f t="shared" si="12"/>
        <v>1.6236867239732569</v>
      </c>
      <c r="I75" s="9">
        <f t="shared" si="12"/>
        <v>2.0676691729323307</v>
      </c>
      <c r="J75" s="9">
        <f t="shared" si="12"/>
        <v>4.972375690607735</v>
      </c>
      <c r="K75" s="9">
        <f t="shared" si="12"/>
        <v>1.0526315789473684</v>
      </c>
      <c r="L75" s="6">
        <f t="shared" si="12"/>
        <v>-4.253472222222222</v>
      </c>
      <c r="M75" s="9">
        <f t="shared" si="13"/>
        <v>-3.3544877606527654</v>
      </c>
      <c r="N75" s="9">
        <f t="shared" si="13"/>
        <v>2.25140712945591</v>
      </c>
      <c r="O75" s="9">
        <f t="shared" si="13"/>
        <v>1.834862385321101</v>
      </c>
      <c r="P75" s="9">
        <f t="shared" si="13"/>
        <v>3.9835135135135222</v>
      </c>
      <c r="Q75" s="6">
        <f t="shared" si="14"/>
        <v>1.403722177025637</v>
      </c>
      <c r="R75" s="6">
        <f t="shared" si="14"/>
        <v>5.2340230293595695</v>
      </c>
      <c r="S75" s="6">
        <f t="shared" si="14"/>
        <v>1.8072078845218613</v>
      </c>
      <c r="T75" s="6">
        <f t="shared" si="14"/>
        <v>0.7567359789718315</v>
      </c>
      <c r="U75" s="6">
        <f t="shared" si="14"/>
        <v>3.1938529095863943</v>
      </c>
      <c r="V75" s="6">
        <f t="shared" si="14"/>
        <v>4.48971796600498</v>
      </c>
      <c r="W75" s="6">
        <f t="shared" si="14"/>
        <v>3.0658841750990082</v>
      </c>
      <c r="X75" s="6">
        <f t="shared" si="14"/>
        <v>-1.842912308540399</v>
      </c>
      <c r="Y75" s="6">
        <f t="shared" si="14"/>
        <v>4.002812351709407</v>
      </c>
      <c r="Z75" s="6">
        <f t="shared" si="14"/>
        <v>3.6243880692604105</v>
      </c>
    </row>
    <row r="76" spans="1:26" ht="15.75">
      <c r="A76" s="21" t="s">
        <v>127</v>
      </c>
      <c r="B76" s="8" t="s">
        <v>14</v>
      </c>
      <c r="C76" s="9">
        <f t="shared" si="12"/>
        <v>-16.99346405228758</v>
      </c>
      <c r="D76" s="9">
        <f t="shared" si="12"/>
        <v>-17.716535433070867</v>
      </c>
      <c r="E76" s="9">
        <f t="shared" si="12"/>
        <v>-17.22488038277512</v>
      </c>
      <c r="F76" s="9">
        <f t="shared" si="12"/>
        <v>-3.4682080924855487</v>
      </c>
      <c r="G76" s="9">
        <f t="shared" si="12"/>
        <v>-12.375249500998004</v>
      </c>
      <c r="H76" s="9">
        <f t="shared" si="12"/>
        <v>17.995444191343964</v>
      </c>
      <c r="I76" s="9">
        <f t="shared" si="12"/>
        <v>-10.81081081081081</v>
      </c>
      <c r="J76" s="9">
        <f t="shared" si="12"/>
        <v>988.7445887445887</v>
      </c>
      <c r="K76" s="9">
        <f t="shared" si="12"/>
        <v>-90.05964214711729</v>
      </c>
      <c r="L76" s="6">
        <f t="shared" si="12"/>
        <v>-10.2</v>
      </c>
      <c r="M76" s="9">
        <f t="shared" si="13"/>
        <v>-5.79064587973274</v>
      </c>
      <c r="N76" s="9">
        <f t="shared" si="13"/>
        <v>-5.200945626477541</v>
      </c>
      <c r="O76" s="9">
        <f t="shared" si="13"/>
        <v>-1.7456359102244388</v>
      </c>
      <c r="P76" s="9">
        <f t="shared" si="13"/>
        <v>-5.434771573604063</v>
      </c>
      <c r="Q76" s="6">
        <f t="shared" si="14"/>
        <v>-16.553449261514757</v>
      </c>
      <c r="R76" s="6">
        <f t="shared" si="14"/>
        <v>-0.13187053529789072</v>
      </c>
      <c r="S76" s="6">
        <f t="shared" si="14"/>
        <v>-6.346517402520431</v>
      </c>
      <c r="T76" s="6">
        <f t="shared" si="14"/>
        <v>11.349576161900982</v>
      </c>
      <c r="U76" s="6">
        <f t="shared" si="14"/>
        <v>-6.424047016822161</v>
      </c>
      <c r="V76" s="6">
        <f t="shared" si="14"/>
        <v>9.74560888190681</v>
      </c>
      <c r="W76" s="6">
        <f t="shared" si="14"/>
        <v>-10.960914452059527</v>
      </c>
      <c r="X76" s="6">
        <f t="shared" si="14"/>
        <v>-13.753761664961042</v>
      </c>
      <c r="Y76" s="6">
        <f t="shared" si="14"/>
        <v>10.366271533578471</v>
      </c>
      <c r="Z76" s="6">
        <f t="shared" si="14"/>
        <v>12.296507089430445</v>
      </c>
    </row>
    <row r="77" spans="1:26" ht="15.75">
      <c r="A77" s="21" t="s">
        <v>135</v>
      </c>
      <c r="B77" s="8" t="s">
        <v>14</v>
      </c>
      <c r="C77" s="9">
        <f t="shared" si="12"/>
        <v>29.227053140096622</v>
      </c>
      <c r="D77" s="9">
        <f t="shared" si="12"/>
        <v>2.2429906542056073</v>
      </c>
      <c r="E77" s="9">
        <f t="shared" si="12"/>
        <v>0.7312614259597806</v>
      </c>
      <c r="F77" s="9">
        <f t="shared" si="12"/>
        <v>4.537205081669692</v>
      </c>
      <c r="G77" s="9">
        <f t="shared" si="12"/>
        <v>1.3888888888888888</v>
      </c>
      <c r="H77" s="9">
        <f t="shared" si="12"/>
        <v>-5.47945205479452</v>
      </c>
      <c r="I77" s="9">
        <f t="shared" si="12"/>
        <v>6.521739130434782</v>
      </c>
      <c r="J77" s="9">
        <f t="shared" si="12"/>
        <v>2.7210884353741496</v>
      </c>
      <c r="K77" s="9">
        <f t="shared" si="12"/>
        <v>0.8278145695364238</v>
      </c>
      <c r="L77" s="6">
        <f t="shared" si="12"/>
        <v>-6.732348111658457</v>
      </c>
      <c r="M77" s="9">
        <f t="shared" si="13"/>
        <v>8.450704225352112</v>
      </c>
      <c r="N77" s="9">
        <f t="shared" si="13"/>
        <v>4.220779220779221</v>
      </c>
      <c r="O77" s="9">
        <f t="shared" si="13"/>
        <v>-1.4018691588785046</v>
      </c>
      <c r="P77" s="9">
        <f t="shared" si="13"/>
        <v>8.387045813586102</v>
      </c>
      <c r="Q77" s="6">
        <f t="shared" si="14"/>
        <v>1.0472387004620305</v>
      </c>
      <c r="R77" s="6">
        <f t="shared" si="14"/>
        <v>6.212109191879126</v>
      </c>
      <c r="S77" s="6">
        <f t="shared" si="14"/>
        <v>1.0133878007773547</v>
      </c>
      <c r="T77" s="6">
        <f t="shared" si="14"/>
        <v>-4.206753392022625</v>
      </c>
      <c r="U77" s="6">
        <f t="shared" si="14"/>
        <v>12.443544968940966</v>
      </c>
      <c r="V77" s="6">
        <f t="shared" si="14"/>
        <v>1.910816100332507</v>
      </c>
      <c r="W77" s="6">
        <f t="shared" si="14"/>
        <v>-8.611425806965228</v>
      </c>
      <c r="X77" s="6">
        <f t="shared" si="14"/>
        <v>5.7847097325824794</v>
      </c>
      <c r="Y77" s="6">
        <f t="shared" si="14"/>
        <v>-4.090516356744514</v>
      </c>
      <c r="Z77" s="6">
        <f t="shared" si="14"/>
        <v>3.095832507760387</v>
      </c>
    </row>
    <row r="78" spans="1:26" ht="15.75">
      <c r="A78" s="21" t="s">
        <v>128</v>
      </c>
      <c r="B78" s="8" t="s">
        <v>14</v>
      </c>
      <c r="C78" s="9">
        <f t="shared" si="12"/>
        <v>-22.420907840440165</v>
      </c>
      <c r="D78" s="9">
        <f t="shared" si="12"/>
        <v>-7.180851063829788</v>
      </c>
      <c r="E78" s="9">
        <f t="shared" si="12"/>
        <v>4.106972301814708</v>
      </c>
      <c r="F78" s="9">
        <f t="shared" si="12"/>
        <v>9.08256880733945</v>
      </c>
      <c r="G78" s="9">
        <f t="shared" si="12"/>
        <v>-1.0092514718250631</v>
      </c>
      <c r="H78" s="9">
        <f t="shared" si="12"/>
        <v>5.437553101104503</v>
      </c>
      <c r="I78" s="9">
        <f t="shared" si="12"/>
        <v>6.124093473005641</v>
      </c>
      <c r="J78" s="9">
        <f t="shared" si="12"/>
        <v>-337.3576309794989</v>
      </c>
      <c r="K78" s="9">
        <f t="shared" si="12"/>
        <v>-144.40179142674344</v>
      </c>
      <c r="L78" s="6">
        <f t="shared" si="12"/>
        <v>3.7463976945244957</v>
      </c>
      <c r="M78" s="9">
        <f t="shared" si="13"/>
        <v>-4.652777777777778</v>
      </c>
      <c r="N78" s="9">
        <f t="shared" si="13"/>
        <v>4.952658412235979</v>
      </c>
      <c r="O78" s="9">
        <f t="shared" si="13"/>
        <v>-1.1103400416377516</v>
      </c>
      <c r="P78" s="9">
        <f t="shared" si="13"/>
        <v>3.841052631578924</v>
      </c>
      <c r="Q78" s="6">
        <f t="shared" si="14"/>
        <v>-1.87330839643582</v>
      </c>
      <c r="R78" s="6">
        <f t="shared" si="14"/>
        <v>5.686580372792287</v>
      </c>
      <c r="S78" s="6">
        <f t="shared" si="14"/>
        <v>3.0718402695191127</v>
      </c>
      <c r="T78" s="6">
        <f t="shared" si="14"/>
        <v>0.7128293477058333</v>
      </c>
      <c r="U78" s="6">
        <f t="shared" si="14"/>
        <v>2.9104833647206547</v>
      </c>
      <c r="V78" s="6">
        <f t="shared" si="14"/>
        <v>-2.493039983798602</v>
      </c>
      <c r="W78" s="6">
        <f t="shared" si="14"/>
        <v>-0.9828626194405493</v>
      </c>
      <c r="X78" s="6">
        <f t="shared" si="14"/>
        <v>-1.4067626452899784</v>
      </c>
      <c r="Y78" s="6">
        <f t="shared" si="14"/>
        <v>1.1678821826356354</v>
      </c>
      <c r="Z78" s="6">
        <f t="shared" si="14"/>
        <v>5.953220982275767</v>
      </c>
    </row>
    <row r="79" spans="1:26" ht="15.75">
      <c r="A79" s="18"/>
      <c r="B79" s="6"/>
      <c r="C79" s="9"/>
      <c r="D79" s="9"/>
      <c r="E79" s="9"/>
      <c r="F79" s="9"/>
      <c r="G79" s="9"/>
      <c r="H79" s="9"/>
      <c r="I79" s="9"/>
      <c r="J79" s="9"/>
      <c r="K79" s="9"/>
      <c r="L79" s="6"/>
      <c r="M79" s="9"/>
      <c r="N79" s="9"/>
      <c r="O79" s="9"/>
      <c r="P79" s="9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>
      <c r="A80" s="19" t="s">
        <v>12</v>
      </c>
      <c r="B80" s="6"/>
      <c r="C80" s="9"/>
      <c r="D80" s="9"/>
      <c r="E80" s="9"/>
      <c r="F80" s="9"/>
      <c r="G80" s="9"/>
      <c r="H80" s="9"/>
      <c r="I80" s="9"/>
      <c r="J80" s="9"/>
      <c r="K80" s="9"/>
      <c r="L80" s="6"/>
      <c r="M80" s="9"/>
      <c r="N80" s="9"/>
      <c r="O80" s="9"/>
      <c r="P80" s="9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>
      <c r="A81" s="21" t="s">
        <v>129</v>
      </c>
      <c r="B81" s="8" t="s">
        <v>14</v>
      </c>
      <c r="C81" s="9">
        <f aca="true" t="shared" si="15" ref="C81:L84">(C43-B43)/B43*100</f>
        <v>6.609195402298851</v>
      </c>
      <c r="D81" s="9">
        <f t="shared" si="15"/>
        <v>-3.638814016172507</v>
      </c>
      <c r="E81" s="9">
        <f t="shared" si="15"/>
        <v>1.6783216783216783</v>
      </c>
      <c r="F81" s="9">
        <f t="shared" si="15"/>
        <v>7.015130674002751</v>
      </c>
      <c r="G81" s="9">
        <f t="shared" si="15"/>
        <v>-2.377892030848329</v>
      </c>
      <c r="H81" s="9">
        <f t="shared" si="15"/>
        <v>4.871626069782751</v>
      </c>
      <c r="I81" s="9">
        <f t="shared" si="15"/>
        <v>0.8788449466415568</v>
      </c>
      <c r="J81" s="9">
        <f t="shared" si="15"/>
        <v>-0.6222775357809583</v>
      </c>
      <c r="K81" s="9">
        <f t="shared" si="15"/>
        <v>-1.0018785222291797</v>
      </c>
      <c r="L81" s="6">
        <f t="shared" si="15"/>
        <v>2.530044275774826</v>
      </c>
      <c r="M81" s="9">
        <f aca="true" t="shared" si="16" ref="M81:P84">(M43-L43)/L43*100</f>
        <v>-0.24676125848241826</v>
      </c>
      <c r="N81" s="9">
        <f t="shared" si="16"/>
        <v>-1.5460729746444033</v>
      </c>
      <c r="O81" s="9">
        <f t="shared" si="16"/>
        <v>3.4547738693467336</v>
      </c>
      <c r="P81" s="9">
        <f t="shared" si="16"/>
        <v>0.3512446873102661</v>
      </c>
      <c r="Q81" s="6">
        <f aca="true" t="shared" si="17" ref="Q81:Z84">(Q43-P43)/P43*100</f>
        <v>-5.441300592636065</v>
      </c>
      <c r="R81" s="6">
        <f t="shared" si="17"/>
        <v>-32.70642389682452</v>
      </c>
      <c r="S81" s="6">
        <f t="shared" si="17"/>
        <v>48.308498914613395</v>
      </c>
      <c r="T81" s="6">
        <f t="shared" si="17"/>
        <v>5.5916330663903775</v>
      </c>
      <c r="U81" s="6">
        <f t="shared" si="17"/>
        <v>-9.353147436967767</v>
      </c>
      <c r="V81" s="6">
        <f t="shared" si="17"/>
        <v>-1.7002795172717304</v>
      </c>
      <c r="W81" s="6">
        <f t="shared" si="17"/>
        <v>8.095277357386163</v>
      </c>
      <c r="X81" s="6">
        <f t="shared" si="17"/>
        <v>-2.4231111817134723</v>
      </c>
      <c r="Y81" s="6">
        <f t="shared" si="17"/>
        <v>1.3174538571363987</v>
      </c>
      <c r="Z81" s="6">
        <f t="shared" si="17"/>
        <v>4.878011455694463</v>
      </c>
    </row>
    <row r="82" spans="1:26" ht="15.75">
      <c r="A82" s="21" t="s">
        <v>130</v>
      </c>
      <c r="B82" s="8" t="s">
        <v>14</v>
      </c>
      <c r="C82" s="9">
        <f t="shared" si="15"/>
        <v>1.3966480446927374</v>
      </c>
      <c r="D82" s="9">
        <f t="shared" si="15"/>
        <v>-3.581267217630854</v>
      </c>
      <c r="E82" s="9">
        <f t="shared" si="15"/>
        <v>-1.7142857142857144</v>
      </c>
      <c r="F82" s="9">
        <f t="shared" si="15"/>
        <v>0.29069767441860467</v>
      </c>
      <c r="G82" s="9">
        <f t="shared" si="15"/>
        <v>-6.956521739130435</v>
      </c>
      <c r="H82" s="9">
        <f t="shared" si="15"/>
        <v>3.115264797507788</v>
      </c>
      <c r="I82" s="9">
        <f t="shared" si="15"/>
        <v>5.438066465256798</v>
      </c>
      <c r="J82" s="9">
        <f t="shared" si="15"/>
        <v>-5.444126074498568</v>
      </c>
      <c r="K82" s="9">
        <f t="shared" si="15"/>
        <v>3.3333333333333335</v>
      </c>
      <c r="L82" s="6">
        <f t="shared" si="15"/>
        <v>-5.278592375366569</v>
      </c>
      <c r="M82" s="9">
        <f t="shared" si="16"/>
        <v>0.6191950464396285</v>
      </c>
      <c r="N82" s="9">
        <f t="shared" si="16"/>
        <v>-2.1538461538461537</v>
      </c>
      <c r="O82" s="9">
        <f t="shared" si="16"/>
        <v>5.345911949685535</v>
      </c>
      <c r="P82" s="9">
        <f t="shared" si="16"/>
        <v>0.6701492537313446</v>
      </c>
      <c r="Q82" s="6">
        <f t="shared" si="17"/>
        <v>-10.057080164272273</v>
      </c>
      <c r="R82" s="6">
        <f t="shared" si="17"/>
        <v>-6.420442557231764</v>
      </c>
      <c r="S82" s="6">
        <f t="shared" si="17"/>
        <v>7.340771455647814</v>
      </c>
      <c r="T82" s="6">
        <f t="shared" si="17"/>
        <v>6.187600511995802</v>
      </c>
      <c r="U82" s="6">
        <f t="shared" si="17"/>
        <v>-12.072892938496576</v>
      </c>
      <c r="V82" s="6">
        <f t="shared" si="17"/>
        <v>0.36030399111366523</v>
      </c>
      <c r="W82" s="6">
        <f t="shared" si="17"/>
        <v>9.27227703699034</v>
      </c>
      <c r="X82" s="6">
        <f t="shared" si="17"/>
        <v>-11.015449708314648</v>
      </c>
      <c r="Y82" s="6">
        <f t="shared" si="17"/>
        <v>-3.147895999481286</v>
      </c>
      <c r="Z82" s="6">
        <f t="shared" si="17"/>
        <v>6.2728033472803295</v>
      </c>
    </row>
    <row r="83" spans="1:26" ht="15.75">
      <c r="A83" s="21" t="s">
        <v>136</v>
      </c>
      <c r="B83" s="8" t="s">
        <v>14</v>
      </c>
      <c r="C83" s="9">
        <f t="shared" si="15"/>
        <v>112.96296296296295</v>
      </c>
      <c r="D83" s="9">
        <f t="shared" si="15"/>
        <v>27.82608695652174</v>
      </c>
      <c r="E83" s="9">
        <f t="shared" si="15"/>
        <v>28.91156462585034</v>
      </c>
      <c r="F83" s="9">
        <f t="shared" si="15"/>
        <v>18.997361477572557</v>
      </c>
      <c r="G83" s="9">
        <f t="shared" si="15"/>
        <v>9.312638580931264</v>
      </c>
      <c r="H83" s="9">
        <f t="shared" si="15"/>
        <v>3.8539553752535496</v>
      </c>
      <c r="I83" s="9">
        <f t="shared" si="15"/>
        <v>5.6640625</v>
      </c>
      <c r="J83" s="9">
        <f t="shared" si="15"/>
        <v>3.512014787430684</v>
      </c>
      <c r="K83" s="9">
        <f t="shared" si="15"/>
        <v>3.571428571428571</v>
      </c>
      <c r="L83" s="6">
        <f t="shared" si="15"/>
        <v>1.0344827586206897</v>
      </c>
      <c r="M83" s="9">
        <f t="shared" si="16"/>
        <v>-2.901023890784983</v>
      </c>
      <c r="N83" s="9">
        <f t="shared" si="16"/>
        <v>1.054481546572935</v>
      </c>
      <c r="O83" s="9">
        <f t="shared" si="16"/>
        <v>2.086956521739131</v>
      </c>
      <c r="P83" s="9">
        <f t="shared" si="16"/>
        <v>0.7955706984667733</v>
      </c>
      <c r="Q83" s="6">
        <f t="shared" si="17"/>
        <v>-0.005070393969606828</v>
      </c>
      <c r="R83" s="6">
        <f t="shared" si="17"/>
        <v>-4.3648164424312</v>
      </c>
      <c r="S83" s="6">
        <f t="shared" si="17"/>
        <v>-0.42186859332363474</v>
      </c>
      <c r="T83" s="6">
        <f t="shared" si="17"/>
        <v>1.4156175844693828</v>
      </c>
      <c r="U83" s="6">
        <f t="shared" si="17"/>
        <v>-0.7287300601149775</v>
      </c>
      <c r="V83" s="6">
        <f t="shared" si="17"/>
        <v>-4.682842037158807</v>
      </c>
      <c r="W83" s="6">
        <f t="shared" si="17"/>
        <v>1.7687052182629934</v>
      </c>
      <c r="X83" s="6">
        <f t="shared" si="17"/>
        <v>8.877928035170047</v>
      </c>
      <c r="Y83" s="6">
        <f t="shared" si="17"/>
        <v>6.55943754788505</v>
      </c>
      <c r="Z83" s="6">
        <f t="shared" si="17"/>
        <v>5.8290569371604715</v>
      </c>
    </row>
    <row r="84" spans="1:26" ht="15.75">
      <c r="A84" s="21" t="s">
        <v>11</v>
      </c>
      <c r="B84" s="8" t="s">
        <v>14</v>
      </c>
      <c r="C84" s="9">
        <f t="shared" si="15"/>
        <v>-3.7796976241900646</v>
      </c>
      <c r="D84" s="9">
        <f t="shared" si="15"/>
        <v>-11.784511784511785</v>
      </c>
      <c r="E84" s="9">
        <f t="shared" si="15"/>
        <v>-6.997455470737914</v>
      </c>
      <c r="F84" s="9">
        <f t="shared" si="15"/>
        <v>3.9671682626538987</v>
      </c>
      <c r="G84" s="9">
        <f t="shared" si="15"/>
        <v>-7.236842105263158</v>
      </c>
      <c r="H84" s="9">
        <f t="shared" si="15"/>
        <v>6.382978723404255</v>
      </c>
      <c r="I84" s="9">
        <f t="shared" si="15"/>
        <v>-4.3999999999999995</v>
      </c>
      <c r="J84" s="9">
        <f t="shared" si="15"/>
        <v>-1.394700139470014</v>
      </c>
      <c r="K84" s="9">
        <f t="shared" si="15"/>
        <v>-6.647807637906649</v>
      </c>
      <c r="L84" s="6">
        <f t="shared" si="15"/>
        <v>7.878787878787878</v>
      </c>
      <c r="M84" s="9">
        <f t="shared" si="16"/>
        <v>1.544943820224719</v>
      </c>
      <c r="N84" s="9">
        <f t="shared" si="16"/>
        <v>-3.319502074688797</v>
      </c>
      <c r="O84" s="9">
        <f t="shared" si="16"/>
        <v>3.719599427753934</v>
      </c>
      <c r="P84" s="9">
        <f t="shared" si="16"/>
        <v>-0.15586206896551663</v>
      </c>
      <c r="Q84" s="6">
        <f t="shared" si="17"/>
        <v>-7.734261676820423</v>
      </c>
      <c r="R84" s="6">
        <f t="shared" si="17"/>
        <v>-69.75073515760222</v>
      </c>
      <c r="S84" s="6">
        <f t="shared" si="17"/>
        <v>242.34519625798154</v>
      </c>
      <c r="T84" s="6">
        <f t="shared" si="17"/>
        <v>8.730987218784314</v>
      </c>
      <c r="U84" s="6">
        <f t="shared" si="17"/>
        <v>-14.736040062391359</v>
      </c>
      <c r="V84" s="6">
        <f t="shared" si="17"/>
        <v>0.024017167596161678</v>
      </c>
      <c r="W84" s="6">
        <f t="shared" si="17"/>
        <v>12.904724632890623</v>
      </c>
      <c r="X84" s="6">
        <f t="shared" si="17"/>
        <v>-7.308514516770518</v>
      </c>
      <c r="Y84" s="6">
        <f t="shared" si="17"/>
        <v>-1.514440446659361</v>
      </c>
      <c r="Z84" s="6">
        <f t="shared" si="17"/>
        <v>3.392230424785201</v>
      </c>
    </row>
    <row r="85" spans="1:26" ht="15.75">
      <c r="A85" s="22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4"/>
      <c r="M85" s="15"/>
      <c r="N85" s="15"/>
      <c r="O85" s="15"/>
      <c r="P85" s="15"/>
      <c r="Q85" s="14"/>
      <c r="R85" s="14"/>
      <c r="S85" s="14"/>
      <c r="T85" s="14"/>
      <c r="U85" s="14"/>
      <c r="V85" s="14"/>
      <c r="W85" s="14"/>
      <c r="X85" s="14"/>
      <c r="Y85" s="12"/>
      <c r="Z85" s="12"/>
    </row>
    <row r="86" spans="1:26" ht="15.75">
      <c r="A86" s="2"/>
      <c r="B86" s="2"/>
      <c r="C86" s="5"/>
      <c r="D86" s="5"/>
      <c r="E86" s="5"/>
      <c r="F86" s="5"/>
      <c r="G86" s="5"/>
      <c r="H86" s="5"/>
      <c r="I86" s="5"/>
      <c r="J86" s="5"/>
      <c r="K86" s="5"/>
      <c r="L86" s="2"/>
      <c r="M86" s="5"/>
      <c r="N86" s="11"/>
      <c r="O86" s="5"/>
      <c r="P86" s="5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16" ht="15.75">
      <c r="A87" t="s">
        <v>131</v>
      </c>
      <c r="M87" s="4"/>
      <c r="N87" s="4"/>
      <c r="O87" s="4"/>
      <c r="P87" s="4"/>
    </row>
    <row r="88" ht="15.75">
      <c r="A88" t="s">
        <v>143</v>
      </c>
    </row>
    <row r="89" ht="15.75">
      <c r="A89" t="s">
        <v>144</v>
      </c>
    </row>
    <row r="91" ht="15.75">
      <c r="A91" t="s">
        <v>16</v>
      </c>
    </row>
    <row r="92" ht="15.75">
      <c r="A92" t="s">
        <v>138</v>
      </c>
    </row>
    <row r="93" ht="15.75">
      <c r="A93" t="s">
        <v>139</v>
      </c>
    </row>
    <row r="94" ht="15.75">
      <c r="A94" t="s">
        <v>137</v>
      </c>
    </row>
    <row r="95" ht="15.75">
      <c r="A95"/>
    </row>
    <row r="97" ht="15.75">
      <c r="A97" s="1" t="s">
        <v>17</v>
      </c>
    </row>
    <row r="98" ht="15.75">
      <c r="A98" t="s">
        <v>142</v>
      </c>
    </row>
    <row r="100" ht="15.75">
      <c r="A100" s="1" t="s">
        <v>18</v>
      </c>
    </row>
    <row r="101" ht="15.75">
      <c r="A101" s="16" t="s">
        <v>19</v>
      </c>
    </row>
  </sheetData>
  <hyperlinks>
    <hyperlink ref="A101" r:id="rId1" display="http://www.eia.doe.gov/oil_gas/petroleum/info_glance/petroleum.html"/>
  </hyperlinks>
  <printOptions/>
  <pageMargins left="0.5" right="0.5" top="0.5" bottom="0.5" header="0.5" footer="0.5"/>
  <pageSetup fitToHeight="1" fitToWidth="1" horizontalDpi="600" verticalDpi="600" orientation="landscape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4"/>
  <sheetViews>
    <sheetView showOutlineSymbols="0" zoomScale="87" zoomScaleNormal="87" workbookViewId="0" topLeftCell="A1">
      <selection activeCell="A1" sqref="B11"/>
    </sheetView>
  </sheetViews>
  <sheetFormatPr defaultColWidth="8.796875" defaultRowHeight="15.75"/>
  <cols>
    <col min="1" max="16384" width="9.69921875" style="0" customWidth="1"/>
  </cols>
  <sheetData>
    <row r="1" ht="15.75">
      <c r="A1" s="1" t="s">
        <v>20</v>
      </c>
    </row>
    <row r="2" ht="15.75">
      <c r="A2" s="4"/>
    </row>
    <row r="3" ht="15.75">
      <c r="A3" s="4" t="s">
        <v>21</v>
      </c>
    </row>
    <row r="4" ht="15.75">
      <c r="A4" s="4"/>
    </row>
    <row r="5" ht="15.75">
      <c r="A5" s="4" t="s">
        <v>22</v>
      </c>
    </row>
    <row r="6" ht="15.75">
      <c r="A6" s="4" t="s">
        <v>23</v>
      </c>
    </row>
    <row r="7" ht="15.75">
      <c r="A7" s="4" t="s">
        <v>24</v>
      </c>
    </row>
    <row r="8" ht="15.75">
      <c r="A8" s="4" t="s">
        <v>25</v>
      </c>
    </row>
    <row r="9" ht="15.75">
      <c r="A9" s="4" t="s">
        <v>26</v>
      </c>
    </row>
    <row r="10" ht="15.75">
      <c r="A10" s="4" t="s">
        <v>27</v>
      </c>
    </row>
    <row r="11" ht="15.75">
      <c r="A11" s="4" t="s">
        <v>28</v>
      </c>
    </row>
    <row r="12" ht="15.75">
      <c r="A12" s="4" t="s">
        <v>29</v>
      </c>
    </row>
    <row r="13" ht="15.75">
      <c r="A13" s="4"/>
    </row>
    <row r="14" ht="15.75">
      <c r="A14" s="4" t="s">
        <v>30</v>
      </c>
    </row>
    <row r="15" ht="15.75">
      <c r="A15" s="4" t="s">
        <v>31</v>
      </c>
    </row>
    <row r="16" ht="15.75">
      <c r="A16" s="4"/>
    </row>
    <row r="17" ht="15.75">
      <c r="A17" s="4" t="s">
        <v>32</v>
      </c>
    </row>
    <row r="18" ht="15.75">
      <c r="A18" s="4" t="s">
        <v>33</v>
      </c>
    </row>
    <row r="19" ht="15.75">
      <c r="A19" s="4" t="s">
        <v>34</v>
      </c>
    </row>
    <row r="20" ht="15.75">
      <c r="A20" s="4" t="s">
        <v>35</v>
      </c>
    </row>
    <row r="21" ht="15.75">
      <c r="A21" s="4"/>
    </row>
    <row r="22" ht="15.75">
      <c r="A22" s="4" t="s">
        <v>36</v>
      </c>
    </row>
    <row r="23" ht="15.75">
      <c r="A23" s="4" t="s">
        <v>37</v>
      </c>
    </row>
    <row r="24" ht="15.75">
      <c r="A24" s="4" t="s">
        <v>38</v>
      </c>
    </row>
    <row r="25" ht="15.75">
      <c r="A25" s="4" t="s">
        <v>39</v>
      </c>
    </row>
    <row r="26" ht="15.75">
      <c r="A26" s="4" t="s">
        <v>40</v>
      </c>
    </row>
    <row r="27" ht="15.75">
      <c r="A27" s="4" t="s">
        <v>41</v>
      </c>
    </row>
    <row r="28" ht="15.75">
      <c r="A28" s="4"/>
    </row>
    <row r="29" ht="15.75">
      <c r="A29" s="4" t="s">
        <v>42</v>
      </c>
    </row>
    <row r="30" ht="15.75">
      <c r="A30" s="4" t="s">
        <v>43</v>
      </c>
    </row>
    <row r="31" ht="15.75">
      <c r="A31" s="4" t="s">
        <v>44</v>
      </c>
    </row>
    <row r="32" ht="15.75">
      <c r="A32" s="4" t="s">
        <v>45</v>
      </c>
    </row>
    <row r="33" ht="15.75">
      <c r="A33" s="4" t="s">
        <v>46</v>
      </c>
    </row>
    <row r="34" ht="15.75">
      <c r="A34" s="4" t="s">
        <v>47</v>
      </c>
    </row>
    <row r="35" ht="15.75">
      <c r="A35" s="4"/>
    </row>
    <row r="36" ht="15.75">
      <c r="A36" s="4" t="s">
        <v>48</v>
      </c>
    </row>
    <row r="37" ht="15.75">
      <c r="A37" s="4" t="s">
        <v>49</v>
      </c>
    </row>
    <row r="38" ht="15.75">
      <c r="A38" s="4" t="s">
        <v>50</v>
      </c>
    </row>
    <row r="39" ht="15.75">
      <c r="A39" s="4" t="s">
        <v>51</v>
      </c>
    </row>
    <row r="40" ht="15.75">
      <c r="A40" s="4" t="s">
        <v>52</v>
      </c>
    </row>
    <row r="41" ht="15.75">
      <c r="A41" s="4" t="s">
        <v>53</v>
      </c>
    </row>
    <row r="42" ht="15.75">
      <c r="A42" s="4" t="s">
        <v>54</v>
      </c>
    </row>
    <row r="43" ht="15.75">
      <c r="A43" s="4" t="s">
        <v>55</v>
      </c>
    </row>
    <row r="44" ht="15.75">
      <c r="A44" s="4" t="s">
        <v>56</v>
      </c>
    </row>
    <row r="45" ht="15.75">
      <c r="A45" s="4" t="s">
        <v>57</v>
      </c>
    </row>
    <row r="46" ht="15.75">
      <c r="A46" s="4" t="s">
        <v>58</v>
      </c>
    </row>
    <row r="47" ht="15.75">
      <c r="A47" s="4"/>
    </row>
    <row r="48" ht="15.75">
      <c r="A48" s="4" t="s">
        <v>59</v>
      </c>
    </row>
    <row r="49" ht="15.75">
      <c r="A49" s="4" t="s">
        <v>60</v>
      </c>
    </row>
    <row r="50" ht="15.75">
      <c r="A50" s="4" t="s">
        <v>61</v>
      </c>
    </row>
    <row r="51" ht="15.75">
      <c r="A51" s="4" t="s">
        <v>62</v>
      </c>
    </row>
    <row r="52" ht="15.75">
      <c r="A52" s="4"/>
    </row>
    <row r="53" ht="15.75">
      <c r="A53" s="4" t="s">
        <v>63</v>
      </c>
    </row>
    <row r="54" ht="15.75">
      <c r="A54" s="4" t="s">
        <v>64</v>
      </c>
    </row>
    <row r="55" ht="15.75">
      <c r="A55" s="4" t="s">
        <v>65</v>
      </c>
    </row>
    <row r="56" ht="15.75">
      <c r="A56" s="4"/>
    </row>
    <row r="57" ht="15.75">
      <c r="A57" s="4" t="s">
        <v>66</v>
      </c>
    </row>
    <row r="58" ht="15.75">
      <c r="A58" s="4" t="s">
        <v>67</v>
      </c>
    </row>
    <row r="59" ht="15.75">
      <c r="A59" s="4" t="s">
        <v>68</v>
      </c>
    </row>
    <row r="60" ht="15.75">
      <c r="A60" s="4" t="s">
        <v>69</v>
      </c>
    </row>
    <row r="61" ht="15.75">
      <c r="A61" s="4" t="s">
        <v>70</v>
      </c>
    </row>
    <row r="62" ht="15.75">
      <c r="A62" s="4"/>
    </row>
    <row r="63" ht="15.75">
      <c r="A63" s="4" t="s">
        <v>71</v>
      </c>
    </row>
    <row r="64" ht="15.75">
      <c r="A64" s="4" t="s">
        <v>72</v>
      </c>
    </row>
    <row r="65" ht="15.75">
      <c r="A65" s="4" t="s">
        <v>73</v>
      </c>
    </row>
    <row r="66" ht="15.75">
      <c r="A66" s="4" t="s">
        <v>74</v>
      </c>
    </row>
    <row r="67" ht="15.75">
      <c r="A67" s="4"/>
    </row>
    <row r="68" ht="15.75">
      <c r="A68" s="4" t="s">
        <v>75</v>
      </c>
    </row>
    <row r="69" ht="15.75">
      <c r="A69" s="4" t="s">
        <v>76</v>
      </c>
    </row>
    <row r="70" ht="15.75">
      <c r="A70" s="4" t="s">
        <v>77</v>
      </c>
    </row>
    <row r="71" ht="15.75">
      <c r="A71" s="4" t="s">
        <v>78</v>
      </c>
    </row>
    <row r="72" ht="15.75">
      <c r="A72" s="4" t="s">
        <v>79</v>
      </c>
    </row>
    <row r="73" ht="15.75">
      <c r="A73" s="4"/>
    </row>
    <row r="74" ht="15.75">
      <c r="A74" s="4" t="s">
        <v>80</v>
      </c>
    </row>
    <row r="75" ht="15.75">
      <c r="A75" s="4" t="s">
        <v>81</v>
      </c>
    </row>
    <row r="76" ht="15.75">
      <c r="A76" s="4" t="s">
        <v>82</v>
      </c>
    </row>
    <row r="77" ht="15.75">
      <c r="A77" s="4" t="s">
        <v>83</v>
      </c>
    </row>
    <row r="78" ht="15.75">
      <c r="A78" s="4" t="s">
        <v>84</v>
      </c>
    </row>
    <row r="79" ht="15.75">
      <c r="A79" s="4"/>
    </row>
    <row r="80" ht="15.75">
      <c r="A80" s="4" t="s">
        <v>85</v>
      </c>
    </row>
    <row r="81" ht="15.75">
      <c r="A81" s="4" t="s">
        <v>86</v>
      </c>
    </row>
    <row r="82" ht="15.75">
      <c r="A82" s="4" t="s">
        <v>87</v>
      </c>
    </row>
    <row r="83" ht="15.75">
      <c r="A83" s="4" t="s">
        <v>88</v>
      </c>
    </row>
    <row r="84" ht="15.75">
      <c r="A84" s="4" t="s">
        <v>89</v>
      </c>
    </row>
    <row r="85" ht="15.75">
      <c r="A85" s="4" t="s">
        <v>90</v>
      </c>
    </row>
    <row r="86" ht="15.75">
      <c r="A86" s="4" t="s">
        <v>91</v>
      </c>
    </row>
    <row r="87" ht="15.75">
      <c r="A87" s="4" t="s">
        <v>92</v>
      </c>
    </row>
    <row r="88" ht="15.75">
      <c r="A88" s="4" t="s">
        <v>93</v>
      </c>
    </row>
    <row r="89" ht="15.75">
      <c r="A89" s="4"/>
    </row>
    <row r="90" ht="15.75">
      <c r="A90" s="4" t="s">
        <v>94</v>
      </c>
    </row>
    <row r="91" ht="15.75">
      <c r="A91" s="4" t="s">
        <v>95</v>
      </c>
    </row>
    <row r="92" ht="15.75">
      <c r="A92" s="4" t="s">
        <v>96</v>
      </c>
    </row>
    <row r="93" ht="15.75">
      <c r="A93" s="4"/>
    </row>
    <row r="94" ht="15.75">
      <c r="A94" s="5" t="s">
        <v>0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mulli320</cp:lastModifiedBy>
  <cp:lastPrinted>2006-05-25T15:35:48Z</cp:lastPrinted>
  <dcterms:created xsi:type="dcterms:W3CDTF">2006-05-25T15:24:52Z</dcterms:created>
  <dcterms:modified xsi:type="dcterms:W3CDTF">2006-11-06T19:08:58Z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