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7001" yWindow="65476" windowWidth="12120" windowHeight="9120" activeTab="0"/>
  </bookViews>
  <sheets>
    <sheet name="KA03; 110-95" sheetId="1" r:id="rId1"/>
  </sheets>
  <definedNames>
    <definedName name="CRITERIA">'KA03; 110-95'!#REF!</definedName>
    <definedName name="_xlnm.Print_Area" localSheetId="0">'KA03; 110-95'!$A$1:$O$75</definedName>
  </definedNames>
  <calcPr fullCalcOnLoad="1"/>
</workbook>
</file>

<file path=xl/sharedStrings.xml><?xml version="1.0" encoding="utf-8"?>
<sst xmlns="http://schemas.openxmlformats.org/spreadsheetml/2006/main" count="242" uniqueCount="81">
  <si>
    <t>Activity</t>
  </si>
  <si>
    <t xml:space="preserve">Latitude  </t>
  </si>
  <si>
    <t xml:space="preserve">Longitude </t>
  </si>
  <si>
    <t>Deployed</t>
  </si>
  <si>
    <t>Speed</t>
  </si>
  <si>
    <t>Transit</t>
  </si>
  <si>
    <t>Arrive</t>
  </si>
  <si>
    <t>Depart</t>
  </si>
  <si>
    <t>LAT</t>
  </si>
  <si>
    <t>LONG</t>
  </si>
  <si>
    <t>Deg.</t>
  </si>
  <si>
    <t>(mos)</t>
  </si>
  <si>
    <t>(kts)</t>
  </si>
  <si>
    <t>(hrs)</t>
  </si>
  <si>
    <t>Date / Time</t>
  </si>
  <si>
    <t>RECOVER</t>
  </si>
  <si>
    <t>VISIT</t>
  </si>
  <si>
    <t>CORR</t>
  </si>
  <si>
    <t>AT SITE</t>
  </si>
  <si>
    <t>LAST RECOV</t>
  </si>
  <si>
    <t>DIFFERENCE</t>
  </si>
  <si>
    <t>N</t>
  </si>
  <si>
    <t>W</t>
  </si>
  <si>
    <t>CTD</t>
  </si>
  <si>
    <t>R</t>
  </si>
  <si>
    <t>S</t>
  </si>
  <si>
    <t>hrs</t>
  </si>
  <si>
    <t xml:space="preserve">   Minutes</t>
  </si>
  <si>
    <t xml:space="preserve">     CUMULATIVE</t>
  </si>
  <si>
    <t>(nmi)</t>
  </si>
  <si>
    <t>(days)</t>
  </si>
  <si>
    <t>Distance</t>
  </si>
  <si>
    <t>On Sta.</t>
  </si>
  <si>
    <t>SWAP</t>
  </si>
  <si>
    <t>OUT</t>
  </si>
  <si>
    <t>REPAIR</t>
  </si>
  <si>
    <t>SAN DIEGO, CA</t>
  </si>
  <si>
    <t>Days At Sea</t>
  </si>
  <si>
    <t>Nautical Miles</t>
  </si>
  <si>
    <t>Transit =</t>
  </si>
  <si>
    <t>TOTALS =</t>
  </si>
  <si>
    <t>110W =</t>
  </si>
  <si>
    <t>95W =</t>
  </si>
  <si>
    <t>On Station</t>
  </si>
  <si>
    <t>nmi check</t>
  </si>
  <si>
    <t xml:space="preserve"> ALL TIMES ARE PACIFIC STANDARD TIME (-8 GMT)</t>
  </si>
  <si>
    <t>DEPLOY</t>
  </si>
  <si>
    <t>ONLY</t>
  </si>
  <si>
    <t>R E</t>
  </si>
  <si>
    <t>VISIT TAUT-NG =</t>
  </si>
  <si>
    <t>RECOVER TAUT NG =</t>
  </si>
  <si>
    <t>DEPLOY TAUT NG =</t>
  </si>
  <si>
    <t>DEPLOY TAUT NG (INSERT/FAIRED) =</t>
  </si>
  <si>
    <t>REPAIR TAUT-NG (BUOY RIDE) =</t>
  </si>
  <si>
    <t>NOAA SHIP KA'IMIMOANA</t>
  </si>
  <si>
    <t>/D TAUT-NG &amp; CTD</t>
  </si>
  <si>
    <t>RECOVER/DEPLOY SUBSURFACE HARUPHONES =</t>
  </si>
  <si>
    <t>RECOVER TAUT NG (INSERT/FAIRED) =</t>
  </si>
  <si>
    <t xml:space="preserve">TAO ARRAY: 110W &amp; 95W </t>
  </si>
  <si>
    <t>V</t>
  </si>
  <si>
    <t>KA-03-02</t>
  </si>
  <si>
    <t>GP2-03-KA</t>
  </si>
  <si>
    <t>ISIT TAUT-NG &amp; CTD</t>
  </si>
  <si>
    <t>EPAIR TAUT-NG-E &amp; CTD</t>
  </si>
  <si>
    <t>EPAIR TAUT-NG-E (INSERT/FAIR), AVOID HARUPHONE &amp; CTD</t>
  </si>
  <si>
    <t>ISIT  TAUT NX (INSERT AND FAIR) &amp; CTD</t>
  </si>
  <si>
    <t>24 MARCH - 27 APRIL 2003</t>
  </si>
  <si>
    <t>D</t>
  </si>
  <si>
    <t>/D TAUT-NG, AVOID HAURUPHONE &amp; CTD</t>
  </si>
  <si>
    <t>/D TAUT-NG (INSERT/FAIRED) &amp; CTD</t>
  </si>
  <si>
    <t>EPLOY broadband SS ADCP alongside existing ADCP</t>
  </si>
  <si>
    <t>EPAIR TAUT-NG  &amp; CTD</t>
  </si>
  <si>
    <t>/D TAUT-NG</t>
  </si>
  <si>
    <t>/D TAUT-NG-E (INSERT/FAIR) &amp; CTD</t>
  </si>
  <si>
    <t>/D TAUT-NG-E &amp; CTD</t>
  </si>
  <si>
    <t>/D TAUT-NG-E,  AVOID HARUPHONE &amp; CTD</t>
  </si>
  <si>
    <t>ISIT TAUT-NG (CHECK RAIN), AVOID HARUPHONE &amp; CTD</t>
  </si>
  <si>
    <t>MANZANILLO, MX</t>
  </si>
  <si>
    <t>DEPLOY SUBSURFACE ADCP (NO RECOVERY) =</t>
  </si>
  <si>
    <r>
      <t>Six hrs</t>
    </r>
    <r>
      <rPr>
        <sz val="14"/>
        <rFont val="Geneva"/>
        <family val="0"/>
      </rPr>
      <t xml:space="preserve"> of ops time added for CTD's at 12N, 11N, 10N &amp; 9N along trackline from San Diego to 8N/110W</t>
    </r>
  </si>
  <si>
    <r>
      <t>Twelve hrs</t>
    </r>
    <r>
      <rPr>
        <sz val="14"/>
        <rFont val="Geneva"/>
        <family val="0"/>
      </rPr>
      <t xml:space="preserve"> of CTD/Sensor Calibration Ops added at 12N/95W Station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</si>
</sst>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hmm"/>
    <numFmt numFmtId="166" formatCode="hh;"/>
    <numFmt numFmtId="167" formatCode="m/d/yy\ \ \ hh:mm"/>
    <numFmt numFmtId="168" formatCode="d\-mmm\ \ \ hh:mm"/>
    <numFmt numFmtId="169" formatCode="dd\-mmm\ \ \ hh:mm"/>
    <numFmt numFmtId="170" formatCode="00.0"/>
    <numFmt numFmtId="171" formatCode="00.00"/>
    <numFmt numFmtId="172" formatCode="\ 0.0"/>
    <numFmt numFmtId="173" formatCode="\ \ 0.0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i/>
      <sz val="14"/>
      <name val="Geneva"/>
      <family val="0"/>
    </font>
    <font>
      <i/>
      <u val="single"/>
      <sz val="14"/>
      <name val="Geneva"/>
      <family val="0"/>
    </font>
    <font>
      <sz val="14"/>
      <color indexed="10"/>
      <name val="Geneva"/>
      <family val="0"/>
    </font>
    <font>
      <sz val="14"/>
      <color indexed="12"/>
      <name val="Geneva"/>
      <family val="0"/>
    </font>
    <font>
      <sz val="14"/>
      <color indexed="14"/>
      <name val="Geneva"/>
      <family val="0"/>
    </font>
    <font>
      <u val="single"/>
      <sz val="14"/>
      <name val="Geneva"/>
      <family val="0"/>
    </font>
    <font>
      <b/>
      <u val="single"/>
      <sz val="14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color indexed="10"/>
      <name val="Geneva"/>
      <family val="0"/>
    </font>
    <font>
      <b/>
      <i/>
      <sz val="14"/>
      <color indexed="10"/>
      <name val="Geneva"/>
      <family val="0"/>
    </font>
    <font>
      <sz val="9"/>
      <color indexed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71" fontId="6" fillId="0" borderId="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169" fontId="6" fillId="0" borderId="10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8" xfId="0" applyFont="1" applyFill="1" applyBorder="1" applyAlignment="1">
      <alignment/>
    </xf>
    <xf numFmtId="15" fontId="6" fillId="0" borderId="9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71" fontId="6" fillId="0" borderId="1" xfId="0" applyNumberFormat="1" applyFont="1" applyFill="1" applyBorder="1" applyAlignment="1">
      <alignment horizontal="center"/>
    </xf>
    <xf numFmtId="169" fontId="6" fillId="0" borderId="8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15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5" fontId="6" fillId="0" borderId="9" xfId="0" applyNumberFormat="1" applyFont="1" applyBorder="1" applyAlignment="1">
      <alignment/>
    </xf>
    <xf numFmtId="0" fontId="6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15" fontId="9" fillId="0" borderId="9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171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/>
    </xf>
    <xf numFmtId="169" fontId="9" fillId="0" borderId="8" xfId="0" applyNumberFormat="1" applyFont="1" applyFill="1" applyBorder="1" applyAlignment="1">
      <alignment horizontal="center"/>
    </xf>
    <xf numFmtId="0" fontId="9" fillId="0" borderId="8" xfId="0" applyFont="1" applyBorder="1" applyAlignment="1">
      <alignment/>
    </xf>
    <xf numFmtId="15" fontId="9" fillId="0" borderId="9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64" fontId="9" fillId="0" borderId="8" xfId="0" applyNumberFormat="1" applyFont="1" applyBorder="1" applyAlignment="1">
      <alignment horizontal="right"/>
    </xf>
    <xf numFmtId="169" fontId="9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17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12" fillId="2" borderId="1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2" borderId="7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1" fontId="13" fillId="2" borderId="1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164" fontId="6" fillId="0" borderId="1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5" fontId="6" fillId="0" borderId="0" xfId="0" applyNumberFormat="1" applyFont="1" applyAlignment="1">
      <alignment/>
    </xf>
    <xf numFmtId="2" fontId="6" fillId="0" borderId="9" xfId="0" applyNumberFormat="1" applyFont="1" applyFill="1" applyBorder="1" applyAlignment="1">
      <alignment horizontal="center"/>
    </xf>
    <xf numFmtId="169" fontId="6" fillId="2" borderId="10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15" fontId="6" fillId="2" borderId="9" xfId="0" applyNumberFormat="1" applyFont="1" applyFill="1" applyBorder="1" applyAlignment="1">
      <alignment/>
    </xf>
    <xf numFmtId="171" fontId="6" fillId="2" borderId="1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64" fontId="6" fillId="2" borderId="8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right"/>
    </xf>
    <xf numFmtId="164" fontId="6" fillId="2" borderId="8" xfId="0" applyNumberFormat="1" applyFont="1" applyFill="1" applyBorder="1" applyAlignment="1">
      <alignment/>
    </xf>
    <xf numFmtId="169" fontId="6" fillId="2" borderId="8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5" fontId="10" fillId="2" borderId="0" xfId="0" applyNumberFormat="1" applyFont="1" applyFill="1" applyAlignment="1">
      <alignment/>
    </xf>
    <xf numFmtId="2" fontId="11" fillId="2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6" fillId="0" borderId="8" xfId="0" applyFont="1" applyFill="1" applyBorder="1" applyAlignment="1">
      <alignment horizontal="center"/>
    </xf>
    <xf numFmtId="0" fontId="12" fillId="0" borderId="0" xfId="0" applyFont="1" applyAlignment="1">
      <alignment/>
    </xf>
    <xf numFmtId="164" fontId="9" fillId="0" borderId="1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9" fontId="9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/>
    </xf>
    <xf numFmtId="0" fontId="6" fillId="0" borderId="1" xfId="0" applyFont="1" applyBorder="1" applyAlignment="1">
      <alignment/>
    </xf>
    <xf numFmtId="0" fontId="5" fillId="2" borderId="2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2" borderId="14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/>
    </xf>
    <xf numFmtId="0" fontId="13" fillId="2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0" fillId="0" borderId="8" xfId="0" applyFont="1" applyFill="1" applyBorder="1" applyAlignment="1">
      <alignment/>
    </xf>
    <xf numFmtId="15" fontId="10" fillId="0" borderId="9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171" fontId="10" fillId="0" borderId="1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right"/>
    </xf>
    <xf numFmtId="164" fontId="10" fillId="0" borderId="8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right"/>
    </xf>
    <xf numFmtId="169" fontId="10" fillId="0" borderId="8" xfId="0" applyNumberFormat="1" applyFont="1" applyFill="1" applyBorder="1" applyAlignment="1">
      <alignment horizontal="center"/>
    </xf>
    <xf numFmtId="169" fontId="10" fillId="0" borderId="10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164" fontId="10" fillId="0" borderId="8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right"/>
    </xf>
    <xf numFmtId="169" fontId="10" fillId="0" borderId="10" xfId="0" applyNumberFormat="1" applyFont="1" applyBorder="1" applyAlignment="1">
      <alignment horizontal="center"/>
    </xf>
    <xf numFmtId="0" fontId="10" fillId="0" borderId="8" xfId="0" applyFont="1" applyBorder="1" applyAlignment="1">
      <alignment/>
    </xf>
    <xf numFmtId="15" fontId="10" fillId="0" borderId="9" xfId="0" applyNumberFormat="1" applyFont="1" applyBorder="1" applyAlignment="1">
      <alignment/>
    </xf>
    <xf numFmtId="17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="60" zoomScaleNormal="60" zoomScaleSheetLayoutView="75" workbookViewId="0" topLeftCell="A34">
      <selection activeCell="M62" sqref="M62"/>
    </sheetView>
  </sheetViews>
  <sheetFormatPr defaultColWidth="9.00390625" defaultRowHeight="12"/>
  <cols>
    <col min="1" max="1" width="3.00390625" style="2" customWidth="1"/>
    <col min="2" max="2" width="73.625" style="2" customWidth="1"/>
    <col min="3" max="3" width="6.375" style="2" customWidth="1"/>
    <col min="4" max="4" width="10.375" style="2" customWidth="1"/>
    <col min="5" max="5" width="5.125" style="2" customWidth="1"/>
    <col min="6" max="6" width="6.375" style="2" customWidth="1"/>
    <col min="7" max="7" width="11.00390625" style="2" customWidth="1"/>
    <col min="8" max="8" width="9.125" style="2" customWidth="1"/>
    <col min="9" max="9" width="13.125" style="2" customWidth="1"/>
    <col min="10" max="10" width="10.875" style="2" customWidth="1"/>
    <col min="11" max="11" width="7.625" style="2" customWidth="1"/>
    <col min="12" max="12" width="8.00390625" style="2" customWidth="1"/>
    <col min="13" max="13" width="8.875" style="2" customWidth="1"/>
    <col min="14" max="14" width="22.00390625" style="2" customWidth="1"/>
    <col min="15" max="15" width="26.875" style="2" customWidth="1"/>
    <col min="16" max="16" width="12.75390625" style="2" customWidth="1"/>
    <col min="17" max="17" width="11.25390625" style="2" customWidth="1"/>
    <col min="18" max="18" width="15.125" style="2" customWidth="1"/>
    <col min="19" max="19" width="9.875" style="2" customWidth="1"/>
    <col min="20" max="20" width="12.125" style="2" customWidth="1"/>
    <col min="21" max="21" width="10.125" style="2" customWidth="1"/>
    <col min="22" max="22" width="13.125" style="2" customWidth="1"/>
    <col min="23" max="23" width="10.875" style="2" customWidth="1"/>
    <col min="24" max="24" width="10.625" style="2" customWidth="1"/>
    <col min="25" max="25" width="4.125" style="2" customWidth="1"/>
    <col min="26" max="26" width="2.875" style="2" customWidth="1"/>
    <col min="27" max="27" width="7.125" style="2" customWidth="1"/>
    <col min="28" max="28" width="4.00390625" style="1" customWidth="1"/>
    <col min="29" max="29" width="13.875" style="2" customWidth="1"/>
    <col min="30" max="30" width="18.875" style="2" customWidth="1"/>
    <col min="31" max="31" width="19.00390625" style="2" customWidth="1"/>
    <col min="32" max="16384" width="11.375" style="2" customWidth="1"/>
  </cols>
  <sheetData>
    <row r="1" spans="1:17" ht="18">
      <c r="A1" s="152" t="s">
        <v>54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8">
      <c r="A2" s="152" t="s">
        <v>60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17" ht="18">
      <c r="A3" s="153" t="s">
        <v>66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spans="1:17" ht="18">
      <c r="A4" s="152" t="s">
        <v>58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ht="18.75">
      <c r="A5" s="144" t="s">
        <v>61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1:22" ht="18.7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U6" s="4"/>
      <c r="V6" s="4"/>
    </row>
    <row r="7" spans="1:24" ht="18.75">
      <c r="A7" s="5"/>
      <c r="B7" s="6" t="s">
        <v>0</v>
      </c>
      <c r="C7" s="7"/>
      <c r="D7" s="8" t="s">
        <v>1</v>
      </c>
      <c r="E7" s="9"/>
      <c r="F7" s="10"/>
      <c r="G7" s="8" t="s">
        <v>2</v>
      </c>
      <c r="H7" s="11"/>
      <c r="I7" s="12" t="s">
        <v>3</v>
      </c>
      <c r="J7" s="9" t="s">
        <v>31</v>
      </c>
      <c r="K7" s="13" t="s">
        <v>4</v>
      </c>
      <c r="L7" s="13" t="s">
        <v>5</v>
      </c>
      <c r="M7" s="13" t="s">
        <v>32</v>
      </c>
      <c r="N7" s="12" t="s">
        <v>6</v>
      </c>
      <c r="O7" s="11" t="s">
        <v>7</v>
      </c>
      <c r="P7" s="14" t="s">
        <v>28</v>
      </c>
      <c r="Q7" s="15"/>
      <c r="T7" s="4"/>
      <c r="U7" s="4" t="s">
        <v>33</v>
      </c>
      <c r="V7" s="4" t="s">
        <v>46</v>
      </c>
      <c r="W7" s="4" t="s">
        <v>8</v>
      </c>
      <c r="X7" s="4" t="s">
        <v>9</v>
      </c>
    </row>
    <row r="8" spans="1:31" ht="18.75">
      <c r="A8" s="16"/>
      <c r="B8" s="17"/>
      <c r="C8" s="18" t="s">
        <v>10</v>
      </c>
      <c r="D8" s="19" t="s">
        <v>27</v>
      </c>
      <c r="E8" s="11"/>
      <c r="F8" s="20" t="s">
        <v>10</v>
      </c>
      <c r="G8" s="13" t="s">
        <v>27</v>
      </c>
      <c r="H8" s="11"/>
      <c r="I8" s="21" t="s">
        <v>11</v>
      </c>
      <c r="J8" s="19" t="s">
        <v>29</v>
      </c>
      <c r="K8" s="20" t="s">
        <v>12</v>
      </c>
      <c r="L8" s="20" t="s">
        <v>13</v>
      </c>
      <c r="M8" s="20" t="s">
        <v>13</v>
      </c>
      <c r="N8" s="20" t="s">
        <v>14</v>
      </c>
      <c r="O8" s="21" t="s">
        <v>14</v>
      </c>
      <c r="P8" s="18" t="s">
        <v>13</v>
      </c>
      <c r="Q8" s="18" t="s">
        <v>30</v>
      </c>
      <c r="R8" s="22" t="s">
        <v>15</v>
      </c>
      <c r="S8" s="22" t="s">
        <v>16</v>
      </c>
      <c r="T8" s="22" t="s">
        <v>35</v>
      </c>
      <c r="U8" s="22" t="s">
        <v>34</v>
      </c>
      <c r="V8" s="22" t="s">
        <v>47</v>
      </c>
      <c r="W8" s="22" t="s">
        <v>17</v>
      </c>
      <c r="X8" s="22" t="s">
        <v>17</v>
      </c>
      <c r="AC8" s="22" t="s">
        <v>18</v>
      </c>
      <c r="AD8" s="22" t="s">
        <v>19</v>
      </c>
      <c r="AE8" s="22" t="s">
        <v>20</v>
      </c>
    </row>
    <row r="9" spans="1:31" ht="18">
      <c r="A9" s="23"/>
      <c r="B9" s="24" t="s">
        <v>36</v>
      </c>
      <c r="C9" s="3">
        <v>32</v>
      </c>
      <c r="D9" s="25">
        <v>43</v>
      </c>
      <c r="E9" s="26" t="s">
        <v>21</v>
      </c>
      <c r="F9" s="3">
        <v>117</v>
      </c>
      <c r="G9" s="25">
        <v>11</v>
      </c>
      <c r="H9" s="26" t="s">
        <v>22</v>
      </c>
      <c r="I9" s="27">
        <f>IF(R9=1,AE9,IF(S9=1,AE9,IF(T9=1,AE9,"")))</f>
      </c>
      <c r="J9" s="28"/>
      <c r="K9" s="29"/>
      <c r="L9" s="30"/>
      <c r="M9" s="31"/>
      <c r="N9" s="32"/>
      <c r="O9" s="33">
        <v>36242.666666666664</v>
      </c>
      <c r="P9" s="34">
        <v>0</v>
      </c>
      <c r="Q9" s="34">
        <v>0</v>
      </c>
      <c r="R9" s="2">
        <f>IF(A9="R",1,0)</f>
        <v>0</v>
      </c>
      <c r="S9" s="2">
        <f>IF(A9="V",1,0)</f>
        <v>0</v>
      </c>
      <c r="T9" s="2">
        <f>IF(A9="R E",1,0)</f>
        <v>0</v>
      </c>
      <c r="U9" s="2">
        <f>IF(A9="S",1,0)</f>
        <v>0</v>
      </c>
      <c r="V9" s="2">
        <f aca="true" t="shared" si="0" ref="V9:V14">IF(A9="D",1,0)</f>
        <v>0</v>
      </c>
      <c r="W9" s="35">
        <f>IF(E9="N",1,-1)</f>
        <v>1</v>
      </c>
      <c r="X9" s="36">
        <f>IF(H9="W",1,-1)</f>
        <v>1</v>
      </c>
      <c r="Y9" s="2">
        <f>C9</f>
        <v>32</v>
      </c>
      <c r="Z9" s="2" t="str">
        <f aca="true" t="shared" si="1" ref="Z9:AA13">E9</f>
        <v>N</v>
      </c>
      <c r="AA9" s="2">
        <f t="shared" si="1"/>
        <v>117</v>
      </c>
      <c r="AB9" s="1">
        <f>IF(R9=1,"R",IF(S9=1,"V",0))</f>
        <v>0</v>
      </c>
      <c r="AC9" s="37">
        <f>IF(R9=1,N9,IF(S9=1,N9,IF(T9=1,N9,IF(U9=1,N9,IF(V9=1,N9,0)))))</f>
        <v>0</v>
      </c>
      <c r="AD9" s="38"/>
      <c r="AE9" s="37">
        <f aca="true" t="shared" si="2" ref="AE9:AE20">(AC9-AD9)/30.5</f>
        <v>0</v>
      </c>
    </row>
    <row r="10" spans="1:31" ht="18">
      <c r="A10" s="49" t="s">
        <v>24</v>
      </c>
      <c r="B10" s="50" t="s">
        <v>68</v>
      </c>
      <c r="C10" s="61">
        <v>8</v>
      </c>
      <c r="D10" s="62">
        <v>0</v>
      </c>
      <c r="E10" s="27" t="s">
        <v>21</v>
      </c>
      <c r="F10" s="61">
        <v>110</v>
      </c>
      <c r="G10" s="62">
        <v>0</v>
      </c>
      <c r="H10" s="27" t="s">
        <v>22</v>
      </c>
      <c r="I10" s="27">
        <f aca="true" t="shared" si="3" ref="I10:I33">IF(R10=1,AE10,IF(S10=1,AE10,IF(T10=1,AE10,IF(U10=1,AE10,IF(V10=1,AE10,"")))))</f>
        <v>5.259114683574957</v>
      </c>
      <c r="J10" s="132">
        <f aca="true" t="shared" si="4" ref="J10:J16">180/PI()*60*ACOS((SIN(PI()/180*W9*(C9+D9/60))*SIN(PI()/180*W10*(C10+D10/60)))+(COS(PI()/180*W9*(C9+D9/60))*COS(PI()/180*W10*(C10+D10/60))*COS(PI()/180*(X10*(F10+G10/60)-X9*(F9+G9/60)))))</f>
        <v>1535.8835095803165</v>
      </c>
      <c r="K10" s="56">
        <v>9.5</v>
      </c>
      <c r="L10" s="133">
        <f>J10/K10</f>
        <v>161.67194837687543</v>
      </c>
      <c r="M10" s="57">
        <f>IF(R10=1,10,IF(S10=1,4,IF(T10=1,6,IF(U10=1,8,IF(V10=1,5,1)))))+6</f>
        <v>16</v>
      </c>
      <c r="N10" s="58">
        <f>O9+L10/24</f>
        <v>36249.402997849036</v>
      </c>
      <c r="O10" s="134">
        <f>N10+M10/24</f>
        <v>36250.0696645157</v>
      </c>
      <c r="P10" s="44">
        <f>P9+L10+M10</f>
        <v>177.67194837687543</v>
      </c>
      <c r="Q10" s="44">
        <f>P10/24</f>
        <v>7.402997849036477</v>
      </c>
      <c r="R10" s="136">
        <f>IF(A10="R",1,0)</f>
        <v>1</v>
      </c>
      <c r="S10" s="2">
        <f>IF(A10="V",1,0)</f>
        <v>0</v>
      </c>
      <c r="T10" s="2">
        <f>IF(A10="R E",1,0)</f>
        <v>0</v>
      </c>
      <c r="U10" s="2">
        <f>IF(A10="S",1,0)</f>
        <v>0</v>
      </c>
      <c r="V10" s="2">
        <f t="shared" si="0"/>
        <v>0</v>
      </c>
      <c r="W10" s="35">
        <f>IF(E10="N",1,-1)</f>
        <v>1</v>
      </c>
      <c r="X10" s="36">
        <f>IF(H10="W",1,-1)</f>
        <v>1</v>
      </c>
      <c r="Y10" s="136">
        <f>C10</f>
        <v>8</v>
      </c>
      <c r="Z10" s="136" t="str">
        <f t="shared" si="1"/>
        <v>N</v>
      </c>
      <c r="AA10" s="136">
        <f t="shared" si="1"/>
        <v>110</v>
      </c>
      <c r="AB10" s="135" t="str">
        <f>IF(R10=1,"R",IF(S10=1,"V",0))</f>
        <v>R</v>
      </c>
      <c r="AC10" s="37">
        <f>IF(R10=1,N10,IF(S10=1,N10,IF(T10=1,N10,IF(U10=1,N10,IF(V10=1,N10,0)))))</f>
        <v>36249.402997849036</v>
      </c>
      <c r="AD10" s="45">
        <v>36089</v>
      </c>
      <c r="AE10" s="46">
        <f t="shared" si="2"/>
        <v>5.259114683574957</v>
      </c>
    </row>
    <row r="11" spans="1:31" ht="18">
      <c r="A11" s="39"/>
      <c r="B11" s="40" t="s">
        <v>23</v>
      </c>
      <c r="C11" s="41">
        <v>7</v>
      </c>
      <c r="D11" s="25">
        <v>0</v>
      </c>
      <c r="E11" s="3" t="s">
        <v>21</v>
      </c>
      <c r="F11" s="183">
        <v>110</v>
      </c>
      <c r="G11" s="42">
        <v>0</v>
      </c>
      <c r="H11" s="48" t="s">
        <v>22</v>
      </c>
      <c r="I11" s="27">
        <f t="shared" si="3"/>
      </c>
      <c r="J11" s="28">
        <f t="shared" si="4"/>
        <v>60.00000000001535</v>
      </c>
      <c r="K11" s="29">
        <v>9.5</v>
      </c>
      <c r="L11" s="30">
        <f>J11/K11</f>
        <v>6.315789473685826</v>
      </c>
      <c r="M11" s="31">
        <f aca="true" t="shared" si="5" ref="M11:M16">IF(R11=1,10,IF(S11=1,4,IF(T11=1,6,IF(U11=1,8,IF(V11=1,5,1)))))</f>
        <v>1</v>
      </c>
      <c r="N11" s="43">
        <f>O10+L11/24</f>
        <v>36250.33282241044</v>
      </c>
      <c r="O11" s="33">
        <f>N11+M11/24</f>
        <v>36250.374489077105</v>
      </c>
      <c r="P11" s="44">
        <f>P10+L11+M11</f>
        <v>184.98773785056127</v>
      </c>
      <c r="Q11" s="44">
        <f aca="true" t="shared" si="6" ref="Q11:Q16">P11/24</f>
        <v>7.707822410440053</v>
      </c>
      <c r="R11" s="2">
        <f>IF(A11="R",1,0)</f>
        <v>0</v>
      </c>
      <c r="S11" s="2">
        <f>IF(A11="V",1,0)</f>
        <v>0</v>
      </c>
      <c r="T11" s="2">
        <f>IF(A11="R E",1,0)</f>
        <v>0</v>
      </c>
      <c r="U11" s="2">
        <f>IF(A11="S",1,0)</f>
        <v>0</v>
      </c>
      <c r="V11" s="2">
        <f t="shared" si="0"/>
        <v>0</v>
      </c>
      <c r="W11" s="35">
        <f>IF(E11="N",1,-1)</f>
        <v>1</v>
      </c>
      <c r="X11" s="36">
        <f>IF(H11="W",1,-1)</f>
        <v>1</v>
      </c>
      <c r="Y11" s="2">
        <f>C11</f>
        <v>7</v>
      </c>
      <c r="Z11" s="2" t="str">
        <f t="shared" si="1"/>
        <v>N</v>
      </c>
      <c r="AA11" s="2">
        <f t="shared" si="1"/>
        <v>110</v>
      </c>
      <c r="AB11" s="1">
        <f>IF(R11=1,"R",IF(S11=1,"V",0))</f>
        <v>0</v>
      </c>
      <c r="AC11" s="37">
        <f>IF(R11=1,N11,IF(S11=1,N11,IF(T11=1,N11,IF(U11=1,N11,IF(V11=1,N11,0)))))</f>
        <v>0</v>
      </c>
      <c r="AD11" s="112"/>
      <c r="AE11" s="37">
        <f t="shared" si="2"/>
        <v>0</v>
      </c>
    </row>
    <row r="12" spans="1:31" ht="18">
      <c r="A12" s="39"/>
      <c r="B12" s="40" t="s">
        <v>23</v>
      </c>
      <c r="C12" s="3">
        <v>6</v>
      </c>
      <c r="D12" s="25">
        <v>0</v>
      </c>
      <c r="E12" s="65" t="s">
        <v>21</v>
      </c>
      <c r="F12" s="3">
        <v>110</v>
      </c>
      <c r="G12" s="25">
        <v>0</v>
      </c>
      <c r="H12" s="65" t="s">
        <v>22</v>
      </c>
      <c r="I12" s="27">
        <f t="shared" si="3"/>
      </c>
      <c r="J12" s="28">
        <f t="shared" si="4"/>
        <v>60.00000000003748</v>
      </c>
      <c r="K12" s="29">
        <v>9.5</v>
      </c>
      <c r="L12" s="30">
        <f>J12/K12</f>
        <v>6.315789473688156</v>
      </c>
      <c r="M12" s="31">
        <f t="shared" si="5"/>
        <v>1</v>
      </c>
      <c r="N12" s="43">
        <f>O11+L12/24</f>
        <v>36250.637646971845</v>
      </c>
      <c r="O12" s="33">
        <f>N12+M12/24</f>
        <v>36250.67931363851</v>
      </c>
      <c r="P12" s="44">
        <f>P11+L12+M12</f>
        <v>192.30352732424944</v>
      </c>
      <c r="Q12" s="44">
        <f t="shared" si="6"/>
        <v>8.012646971843727</v>
      </c>
      <c r="R12" s="2">
        <f>IF(A12="R",1,0)</f>
        <v>0</v>
      </c>
      <c r="S12" s="2">
        <f>IF(A12="V",1,0)</f>
        <v>0</v>
      </c>
      <c r="T12" s="2">
        <f>IF(A12="R E",1,0)</f>
        <v>0</v>
      </c>
      <c r="U12" s="2">
        <f>IF(A12="S",1,0)</f>
        <v>0</v>
      </c>
      <c r="V12" s="2">
        <f t="shared" si="0"/>
        <v>0</v>
      </c>
      <c r="W12" s="35">
        <f>IF(E12="N",1,-1)</f>
        <v>1</v>
      </c>
      <c r="X12" s="36">
        <f>IF(H12="W",1,-1)</f>
        <v>1</v>
      </c>
      <c r="Y12" s="2">
        <f>C12</f>
        <v>6</v>
      </c>
      <c r="Z12" s="2" t="str">
        <f t="shared" si="1"/>
        <v>N</v>
      </c>
      <c r="AA12" s="2">
        <f t="shared" si="1"/>
        <v>110</v>
      </c>
      <c r="AB12" s="1">
        <f>IF(R12=1,"R",IF(S12=1,"V",0))</f>
        <v>0</v>
      </c>
      <c r="AC12" s="37">
        <f>IF(R12=1,N12,IF(S12=1,N12,IF(T12=1,N12,IF(U12=1,N12,IF(V12=1,N12,0)))))</f>
        <v>0</v>
      </c>
      <c r="AE12" s="37">
        <f>(AC12-AD12)/30.5</f>
        <v>0</v>
      </c>
    </row>
    <row r="13" spans="1:31" ht="18">
      <c r="A13" s="178" t="s">
        <v>59</v>
      </c>
      <c r="B13" s="182" t="s">
        <v>62</v>
      </c>
      <c r="C13" s="181">
        <v>5</v>
      </c>
      <c r="D13" s="180">
        <v>0</v>
      </c>
      <c r="E13" s="173" t="s">
        <v>21</v>
      </c>
      <c r="F13" s="181">
        <v>110</v>
      </c>
      <c r="G13" s="180">
        <v>0</v>
      </c>
      <c r="H13" s="173" t="s">
        <v>22</v>
      </c>
      <c r="I13" s="173">
        <f t="shared" si="3"/>
        <v>5.309589230598354</v>
      </c>
      <c r="J13" s="174">
        <f t="shared" si="4"/>
        <v>60.00000000001535</v>
      </c>
      <c r="K13" s="175">
        <v>9.5</v>
      </c>
      <c r="L13" s="176">
        <f>J13/K13</f>
        <v>6.315789473685826</v>
      </c>
      <c r="M13" s="57">
        <f t="shared" si="5"/>
        <v>4</v>
      </c>
      <c r="N13" s="170">
        <f>O12+L13/24</f>
        <v>36250.94247153325</v>
      </c>
      <c r="O13" s="177">
        <f>N13+M13/24</f>
        <v>36251.109138199914</v>
      </c>
      <c r="P13" s="44">
        <f>P12+L13+M13</f>
        <v>202.61931679793528</v>
      </c>
      <c r="Q13" s="44">
        <f t="shared" si="6"/>
        <v>8.442471533247303</v>
      </c>
      <c r="R13" s="2">
        <f>IF(A13="R",1,0)</f>
        <v>0</v>
      </c>
      <c r="S13" s="136">
        <f>IF(A13="V",1,0)</f>
        <v>1</v>
      </c>
      <c r="T13" s="2">
        <f>IF(A13="R E",1,0)</f>
        <v>0</v>
      </c>
      <c r="U13" s="2">
        <f>IF(A13="S",1,0)</f>
        <v>0</v>
      </c>
      <c r="V13" s="2">
        <f t="shared" si="0"/>
        <v>0</v>
      </c>
      <c r="W13" s="35">
        <f>IF(E13="N",1,-1)</f>
        <v>1</v>
      </c>
      <c r="X13" s="36">
        <f>IF(H13="W",1,-1)</f>
        <v>1</v>
      </c>
      <c r="Y13" s="136">
        <f>C13</f>
        <v>5</v>
      </c>
      <c r="Z13" s="136" t="str">
        <f t="shared" si="1"/>
        <v>N</v>
      </c>
      <c r="AA13" s="136">
        <f t="shared" si="1"/>
        <v>110</v>
      </c>
      <c r="AB13" s="135" t="str">
        <f>IF(R13=1,"R",IF(S13=1,"V",0))</f>
        <v>V</v>
      </c>
      <c r="AC13" s="37">
        <f>IF(R13=1,N13,IF(S13=1,N13,IF(T13=1,N13,IF(U13=1,N13,IF(V13=1,N13,0)))))</f>
        <v>36250.94247153325</v>
      </c>
      <c r="AD13" s="45">
        <v>36089</v>
      </c>
      <c r="AE13" s="46">
        <f>(AC13-AD13)/30.5</f>
        <v>5.309589230598354</v>
      </c>
    </row>
    <row r="14" spans="1:31" ht="18">
      <c r="A14" s="39"/>
      <c r="B14" s="40" t="s">
        <v>23</v>
      </c>
      <c r="C14" s="41">
        <v>4</v>
      </c>
      <c r="D14" s="42">
        <v>0</v>
      </c>
      <c r="E14" s="110" t="s">
        <v>21</v>
      </c>
      <c r="F14" s="183">
        <v>110</v>
      </c>
      <c r="G14" s="42">
        <v>0</v>
      </c>
      <c r="H14" s="113" t="s">
        <v>22</v>
      </c>
      <c r="I14" s="27">
        <f t="shared" si="3"/>
      </c>
      <c r="J14" s="28">
        <f t="shared" si="4"/>
        <v>60.00000000001535</v>
      </c>
      <c r="K14" s="29">
        <v>9.5</v>
      </c>
      <c r="L14" s="30">
        <f aca="true" t="shared" si="7" ref="L14:L58">J14/K14</f>
        <v>6.315789473685826</v>
      </c>
      <c r="M14" s="31">
        <f t="shared" si="5"/>
        <v>1</v>
      </c>
      <c r="N14" s="43">
        <f aca="true" t="shared" si="8" ref="N14:N58">O13+L14/24</f>
        <v>36251.372296094654</v>
      </c>
      <c r="O14" s="33">
        <f aca="true" t="shared" si="9" ref="O14:O58">N14+M14/24</f>
        <v>36251.41396276132</v>
      </c>
      <c r="P14" s="44">
        <f aca="true" t="shared" si="10" ref="P14:P58">P13+L14+M14</f>
        <v>209.93510627162112</v>
      </c>
      <c r="Q14" s="44">
        <f t="shared" si="6"/>
        <v>8.74729609465088</v>
      </c>
      <c r="R14" s="2">
        <f aca="true" t="shared" si="11" ref="R14:R58">IF(A14="R",1,0)</f>
        <v>0</v>
      </c>
      <c r="S14" s="2">
        <f aca="true" t="shared" si="12" ref="S14:S58">IF(A14="V",1,0)</f>
        <v>0</v>
      </c>
      <c r="T14" s="2">
        <f aca="true" t="shared" si="13" ref="T14:T58">IF(A14="R E",1,0)</f>
        <v>0</v>
      </c>
      <c r="U14" s="2">
        <f aca="true" t="shared" si="14" ref="U14:U58">IF(A14="S",1,0)</f>
        <v>0</v>
      </c>
      <c r="V14" s="2">
        <f t="shared" si="0"/>
        <v>0</v>
      </c>
      <c r="W14" s="35">
        <f aca="true" t="shared" si="15" ref="W14:W58">IF(E14="N",1,-1)</f>
        <v>1</v>
      </c>
      <c r="X14" s="36">
        <f aca="true" t="shared" si="16" ref="X14:X58">IF(H14="W",1,-1)</f>
        <v>1</v>
      </c>
      <c r="Y14" s="2">
        <f aca="true" t="shared" si="17" ref="Y14:Y58">C14</f>
        <v>4</v>
      </c>
      <c r="Z14" s="2" t="str">
        <f aca="true" t="shared" si="18" ref="Z14:Z58">E14</f>
        <v>N</v>
      </c>
      <c r="AA14" s="2">
        <f aca="true" t="shared" si="19" ref="AA14:AA58">F14</f>
        <v>110</v>
      </c>
      <c r="AB14" s="1">
        <f aca="true" t="shared" si="20" ref="AB14:AB58">IF(R14=1,"R",IF(S14=1,"V",0))</f>
        <v>0</v>
      </c>
      <c r="AC14" s="37">
        <f aca="true" t="shared" si="21" ref="AC14:AC58">IF(R14=1,N14,IF(S14=1,N14,IF(T14=1,N14,IF(U14=1,N14,IF(V14=1,N14,0)))))</f>
        <v>0</v>
      </c>
      <c r="AD14" s="45"/>
      <c r="AE14" s="37">
        <f>(AC14-AD14)/30.5</f>
        <v>0</v>
      </c>
    </row>
    <row r="15" spans="1:32" ht="18">
      <c r="A15" s="23"/>
      <c r="B15" s="47" t="s">
        <v>23</v>
      </c>
      <c r="C15" s="3">
        <v>3</v>
      </c>
      <c r="D15" s="25">
        <v>0</v>
      </c>
      <c r="E15" s="64" t="s">
        <v>21</v>
      </c>
      <c r="F15" s="32">
        <v>110</v>
      </c>
      <c r="G15" s="25">
        <v>0</v>
      </c>
      <c r="H15" s="65" t="s">
        <v>22</v>
      </c>
      <c r="I15" s="27">
        <f t="shared" si="3"/>
      </c>
      <c r="J15" s="28">
        <f t="shared" si="4"/>
        <v>60.00000000001535</v>
      </c>
      <c r="K15" s="29">
        <v>9.5</v>
      </c>
      <c r="L15" s="30">
        <f t="shared" si="7"/>
        <v>6.315789473685826</v>
      </c>
      <c r="M15" s="31">
        <f t="shared" si="5"/>
        <v>1</v>
      </c>
      <c r="N15" s="43">
        <f t="shared" si="8"/>
        <v>36251.67712065606</v>
      </c>
      <c r="O15" s="33">
        <f t="shared" si="9"/>
        <v>36251.71878732272</v>
      </c>
      <c r="P15" s="44">
        <f t="shared" si="10"/>
        <v>217.25089574530696</v>
      </c>
      <c r="Q15" s="44">
        <f t="shared" si="6"/>
        <v>9.052120656054457</v>
      </c>
      <c r="R15" s="2">
        <f t="shared" si="11"/>
        <v>0</v>
      </c>
      <c r="S15" s="2">
        <f t="shared" si="12"/>
        <v>0</v>
      </c>
      <c r="T15" s="2">
        <f t="shared" si="13"/>
        <v>0</v>
      </c>
      <c r="U15" s="2">
        <f t="shared" si="14"/>
        <v>0</v>
      </c>
      <c r="V15" s="2">
        <f aca="true" t="shared" si="22" ref="V15:V58">IF(A15="D",1,0)</f>
        <v>0</v>
      </c>
      <c r="W15" s="35">
        <f t="shared" si="15"/>
        <v>1</v>
      </c>
      <c r="X15" s="36">
        <f t="shared" si="16"/>
        <v>1</v>
      </c>
      <c r="Y15" s="2">
        <f t="shared" si="17"/>
        <v>3</v>
      </c>
      <c r="Z15" s="2" t="str">
        <f t="shared" si="18"/>
        <v>N</v>
      </c>
      <c r="AA15" s="2">
        <f t="shared" si="19"/>
        <v>110</v>
      </c>
      <c r="AB15" s="1">
        <f t="shared" si="20"/>
        <v>0</v>
      </c>
      <c r="AC15" s="37">
        <f t="shared" si="21"/>
        <v>0</v>
      </c>
      <c r="AD15" s="38"/>
      <c r="AE15" s="37">
        <f t="shared" si="2"/>
        <v>0</v>
      </c>
      <c r="AF15" s="68"/>
    </row>
    <row r="16" spans="1:31" ht="18">
      <c r="A16" s="23"/>
      <c r="B16" s="47" t="s">
        <v>23</v>
      </c>
      <c r="C16" s="3">
        <v>2</v>
      </c>
      <c r="D16" s="25">
        <v>30</v>
      </c>
      <c r="E16" s="64" t="s">
        <v>21</v>
      </c>
      <c r="F16" s="32">
        <v>110</v>
      </c>
      <c r="G16" s="25">
        <v>0</v>
      </c>
      <c r="H16" s="65" t="s">
        <v>22</v>
      </c>
      <c r="I16" s="27">
        <f t="shared" si="3"/>
      </c>
      <c r="J16" s="28">
        <f t="shared" si="4"/>
        <v>29.99999999999126</v>
      </c>
      <c r="K16" s="29">
        <v>9.5</v>
      </c>
      <c r="L16" s="30">
        <f t="shared" si="7"/>
        <v>3.157894736841185</v>
      </c>
      <c r="M16" s="31">
        <f t="shared" si="5"/>
        <v>1</v>
      </c>
      <c r="N16" s="43">
        <f t="shared" si="8"/>
        <v>36251.85036627009</v>
      </c>
      <c r="O16" s="33">
        <f t="shared" si="9"/>
        <v>36251.892032936754</v>
      </c>
      <c r="P16" s="44">
        <f t="shared" si="10"/>
        <v>221.40879048214813</v>
      </c>
      <c r="Q16" s="44">
        <f t="shared" si="6"/>
        <v>9.225366270089506</v>
      </c>
      <c r="R16" s="2">
        <f t="shared" si="11"/>
        <v>0</v>
      </c>
      <c r="S16" s="2">
        <f t="shared" si="12"/>
        <v>0</v>
      </c>
      <c r="T16" s="2">
        <f t="shared" si="13"/>
        <v>0</v>
      </c>
      <c r="U16" s="2">
        <f t="shared" si="14"/>
        <v>0</v>
      </c>
      <c r="V16" s="2">
        <f t="shared" si="22"/>
        <v>0</v>
      </c>
      <c r="W16" s="35">
        <f t="shared" si="15"/>
        <v>1</v>
      </c>
      <c r="X16" s="36">
        <f t="shared" si="16"/>
        <v>1</v>
      </c>
      <c r="Y16" s="2">
        <f t="shared" si="17"/>
        <v>2</v>
      </c>
      <c r="Z16" s="2" t="str">
        <f t="shared" si="18"/>
        <v>N</v>
      </c>
      <c r="AA16" s="2">
        <f t="shared" si="19"/>
        <v>110</v>
      </c>
      <c r="AB16" s="1">
        <f t="shared" si="20"/>
        <v>0</v>
      </c>
      <c r="AC16" s="37">
        <f t="shared" si="21"/>
        <v>0</v>
      </c>
      <c r="AD16" s="45"/>
      <c r="AE16" s="37">
        <f t="shared" si="2"/>
        <v>0</v>
      </c>
    </row>
    <row r="17" spans="1:31" ht="18">
      <c r="A17" s="59" t="s">
        <v>24</v>
      </c>
      <c r="B17" s="60" t="s">
        <v>69</v>
      </c>
      <c r="C17" s="61">
        <v>2</v>
      </c>
      <c r="D17" s="62">
        <v>0</v>
      </c>
      <c r="E17" s="63" t="s">
        <v>21</v>
      </c>
      <c r="F17" s="184">
        <v>110</v>
      </c>
      <c r="G17" s="52">
        <v>0</v>
      </c>
      <c r="H17" s="55" t="s">
        <v>22</v>
      </c>
      <c r="I17" s="27">
        <f t="shared" si="3"/>
        <v>5.34503645521706</v>
      </c>
      <c r="J17" s="67">
        <f aca="true" t="shared" si="23" ref="J17:J57">180/PI()*60*ACOS((SIN(PI()/180*W16*(C16+D16/60))*SIN(PI()/180*W17*(C17+D17/60)))+(COS(PI()/180*W16*(C16+D16/60))*COS(PI()/180*W17*(C17+D17/60))*COS(PI()/180*(X17*(F17+G17/60)-X16*(F16+G16/60)))))</f>
        <v>29.99999999994775</v>
      </c>
      <c r="K17" s="56">
        <v>9.5</v>
      </c>
      <c r="L17" s="69">
        <f t="shared" si="7"/>
        <v>3.1578947368366053</v>
      </c>
      <c r="M17" s="57">
        <f>IF(R17=1,10,IF(S17=1,4,IF(T17=1,6,IF(U17=1,8,IF(V17=1,5,1)))))+9</f>
        <v>19</v>
      </c>
      <c r="N17" s="58">
        <f t="shared" si="8"/>
        <v>36252.02361188412</v>
      </c>
      <c r="O17" s="70">
        <f t="shared" si="9"/>
        <v>36252.815278550785</v>
      </c>
      <c r="P17" s="44">
        <f t="shared" si="10"/>
        <v>243.56668521898473</v>
      </c>
      <c r="Q17" s="44">
        <f aca="true" t="shared" si="24" ref="Q17:Q62">P17/24</f>
        <v>10.148611884124364</v>
      </c>
      <c r="R17" s="136">
        <f t="shared" si="11"/>
        <v>1</v>
      </c>
      <c r="S17" s="2">
        <f t="shared" si="12"/>
        <v>0</v>
      </c>
      <c r="T17" s="2">
        <f t="shared" si="13"/>
        <v>0</v>
      </c>
      <c r="U17" s="2">
        <f t="shared" si="14"/>
        <v>0</v>
      </c>
      <c r="V17" s="2">
        <f t="shared" si="22"/>
        <v>0</v>
      </c>
      <c r="W17" s="35">
        <f t="shared" si="15"/>
        <v>1</v>
      </c>
      <c r="X17" s="36">
        <f t="shared" si="16"/>
        <v>1</v>
      </c>
      <c r="Y17" s="136">
        <f t="shared" si="17"/>
        <v>2</v>
      </c>
      <c r="Z17" s="136" t="str">
        <f t="shared" si="18"/>
        <v>N</v>
      </c>
      <c r="AA17" s="136">
        <f t="shared" si="19"/>
        <v>110</v>
      </c>
      <c r="AB17" s="135" t="str">
        <f t="shared" si="20"/>
        <v>R</v>
      </c>
      <c r="AC17" s="37">
        <f t="shared" si="21"/>
        <v>36252.02361188412</v>
      </c>
      <c r="AD17" s="45">
        <v>36089</v>
      </c>
      <c r="AE17" s="46">
        <f t="shared" si="2"/>
        <v>5.34503645521706</v>
      </c>
    </row>
    <row r="18" spans="1:31" ht="18">
      <c r="A18" s="23"/>
      <c r="B18" s="47" t="s">
        <v>23</v>
      </c>
      <c r="C18" s="3">
        <v>1</v>
      </c>
      <c r="D18" s="25">
        <v>30</v>
      </c>
      <c r="E18" s="64" t="s">
        <v>21</v>
      </c>
      <c r="F18" s="32">
        <v>110</v>
      </c>
      <c r="G18" s="25">
        <v>0</v>
      </c>
      <c r="H18" s="65" t="s">
        <v>22</v>
      </c>
      <c r="I18" s="27">
        <f t="shared" si="3"/>
      </c>
      <c r="J18" s="28">
        <f t="shared" si="23"/>
        <v>29.99999999999126</v>
      </c>
      <c r="K18" s="29">
        <v>9.5</v>
      </c>
      <c r="L18" s="30">
        <f t="shared" si="7"/>
        <v>3.157894736841185</v>
      </c>
      <c r="M18" s="31">
        <f>IF(R18=1,10,IF(S18=1,4,IF(T18=1,6,IF(U18=1,8,IF(V18=1,5,1)))))</f>
        <v>1</v>
      </c>
      <c r="N18" s="43">
        <f t="shared" si="8"/>
        <v>36252.94685749815</v>
      </c>
      <c r="O18" s="33">
        <f t="shared" si="9"/>
        <v>36252.988524164815</v>
      </c>
      <c r="P18" s="44">
        <f t="shared" si="10"/>
        <v>247.7245799558259</v>
      </c>
      <c r="Q18" s="44">
        <f t="shared" si="24"/>
        <v>10.321857498159412</v>
      </c>
      <c r="R18" s="2">
        <f t="shared" si="11"/>
        <v>0</v>
      </c>
      <c r="S18" s="2">
        <f t="shared" si="12"/>
        <v>0</v>
      </c>
      <c r="T18" s="2">
        <f t="shared" si="13"/>
        <v>0</v>
      </c>
      <c r="U18" s="2">
        <f t="shared" si="14"/>
        <v>0</v>
      </c>
      <c r="V18" s="2">
        <f t="shared" si="22"/>
        <v>0</v>
      </c>
      <c r="W18" s="35">
        <f t="shared" si="15"/>
        <v>1</v>
      </c>
      <c r="X18" s="36">
        <f t="shared" si="16"/>
        <v>1</v>
      </c>
      <c r="Y18" s="2">
        <f t="shared" si="17"/>
        <v>1</v>
      </c>
      <c r="Z18" s="2" t="str">
        <f t="shared" si="18"/>
        <v>N</v>
      </c>
      <c r="AA18" s="2">
        <f t="shared" si="19"/>
        <v>110</v>
      </c>
      <c r="AB18" s="1">
        <f t="shared" si="20"/>
        <v>0</v>
      </c>
      <c r="AC18" s="37">
        <f t="shared" si="21"/>
        <v>0</v>
      </c>
      <c r="AD18" s="38"/>
      <c r="AE18" s="37">
        <f t="shared" si="2"/>
        <v>0</v>
      </c>
    </row>
    <row r="19" spans="1:31" ht="18">
      <c r="A19" s="39"/>
      <c r="B19" s="40" t="s">
        <v>23</v>
      </c>
      <c r="C19" s="3">
        <v>1</v>
      </c>
      <c r="D19" s="25">
        <v>0</v>
      </c>
      <c r="E19" s="64" t="s">
        <v>21</v>
      </c>
      <c r="F19" s="32">
        <v>110</v>
      </c>
      <c r="G19" s="25">
        <v>0</v>
      </c>
      <c r="H19" s="65" t="s">
        <v>22</v>
      </c>
      <c r="I19" s="27">
        <f t="shared" si="3"/>
      </c>
      <c r="J19" s="28">
        <f t="shared" si="23"/>
        <v>29.99999999999126</v>
      </c>
      <c r="K19" s="29">
        <v>9.5</v>
      </c>
      <c r="L19" s="30">
        <f t="shared" si="7"/>
        <v>3.157894736841185</v>
      </c>
      <c r="M19" s="31">
        <f>IF(R19=1,10,IF(S19=1,4,IF(T19=1,6,IF(U19=1,8,IF(V19=1,5,1)))))</f>
        <v>1</v>
      </c>
      <c r="N19" s="43">
        <f t="shared" si="8"/>
        <v>36253.12010311218</v>
      </c>
      <c r="O19" s="33">
        <f t="shared" si="9"/>
        <v>36253.161769778846</v>
      </c>
      <c r="P19" s="44">
        <f t="shared" si="10"/>
        <v>251.88247469266707</v>
      </c>
      <c r="Q19" s="44">
        <f t="shared" si="24"/>
        <v>10.495103112194462</v>
      </c>
      <c r="R19" s="2">
        <f t="shared" si="11"/>
        <v>0</v>
      </c>
      <c r="S19" s="2">
        <f t="shared" si="12"/>
        <v>0</v>
      </c>
      <c r="T19" s="2">
        <f t="shared" si="13"/>
        <v>0</v>
      </c>
      <c r="U19" s="2">
        <f t="shared" si="14"/>
        <v>0</v>
      </c>
      <c r="V19" s="2">
        <f t="shared" si="22"/>
        <v>0</v>
      </c>
      <c r="W19" s="35">
        <f t="shared" si="15"/>
        <v>1</v>
      </c>
      <c r="X19" s="36">
        <f t="shared" si="16"/>
        <v>1</v>
      </c>
      <c r="Y19" s="2">
        <f t="shared" si="17"/>
        <v>1</v>
      </c>
      <c r="Z19" s="2" t="str">
        <f t="shared" si="18"/>
        <v>N</v>
      </c>
      <c r="AA19" s="2">
        <f t="shared" si="19"/>
        <v>110</v>
      </c>
      <c r="AB19" s="1">
        <f t="shared" si="20"/>
        <v>0</v>
      </c>
      <c r="AC19" s="37">
        <f t="shared" si="21"/>
        <v>0</v>
      </c>
      <c r="AD19" s="112"/>
      <c r="AE19" s="37">
        <f t="shared" si="2"/>
        <v>0</v>
      </c>
    </row>
    <row r="20" spans="1:31" ht="18">
      <c r="A20" s="23"/>
      <c r="B20" s="47" t="s">
        <v>23</v>
      </c>
      <c r="C20" s="3">
        <v>0</v>
      </c>
      <c r="D20" s="25">
        <v>30</v>
      </c>
      <c r="E20" s="64" t="s">
        <v>21</v>
      </c>
      <c r="F20" s="32">
        <v>110</v>
      </c>
      <c r="G20" s="25">
        <v>0</v>
      </c>
      <c r="H20" s="65" t="s">
        <v>22</v>
      </c>
      <c r="I20" s="27">
        <f t="shared" si="3"/>
      </c>
      <c r="J20" s="28">
        <f t="shared" si="23"/>
        <v>29.99999999999126</v>
      </c>
      <c r="K20" s="29">
        <v>9.5</v>
      </c>
      <c r="L20" s="30">
        <f t="shared" si="7"/>
        <v>3.157894736841185</v>
      </c>
      <c r="M20" s="31">
        <f>IF(R20=1,10,IF(S20=1,4,IF(T20=1,6,IF(U20=1,8,IF(V20=1,5,1)))))</f>
        <v>1</v>
      </c>
      <c r="N20" s="43">
        <f t="shared" si="8"/>
        <v>36253.29334872621</v>
      </c>
      <c r="O20" s="33">
        <f t="shared" si="9"/>
        <v>36253.33501539288</v>
      </c>
      <c r="P20" s="44">
        <f t="shared" si="10"/>
        <v>256.04036942950825</v>
      </c>
      <c r="Q20" s="44">
        <f t="shared" si="24"/>
        <v>10.66834872622951</v>
      </c>
      <c r="R20" s="2">
        <f t="shared" si="11"/>
        <v>0</v>
      </c>
      <c r="S20" s="2">
        <f t="shared" si="12"/>
        <v>0</v>
      </c>
      <c r="T20" s="2">
        <f t="shared" si="13"/>
        <v>0</v>
      </c>
      <c r="U20" s="2">
        <f t="shared" si="14"/>
        <v>0</v>
      </c>
      <c r="V20" s="2">
        <f t="shared" si="22"/>
        <v>0</v>
      </c>
      <c r="W20" s="35">
        <f t="shared" si="15"/>
        <v>1</v>
      </c>
      <c r="X20" s="36">
        <f t="shared" si="16"/>
        <v>1</v>
      </c>
      <c r="Y20" s="2">
        <f t="shared" si="17"/>
        <v>0</v>
      </c>
      <c r="Z20" s="2" t="str">
        <f t="shared" si="18"/>
        <v>N</v>
      </c>
      <c r="AA20" s="2">
        <f t="shared" si="19"/>
        <v>110</v>
      </c>
      <c r="AB20" s="1">
        <f t="shared" si="20"/>
        <v>0</v>
      </c>
      <c r="AC20" s="37">
        <f t="shared" si="21"/>
        <v>0</v>
      </c>
      <c r="AD20" s="38"/>
      <c r="AE20" s="37">
        <f t="shared" si="2"/>
        <v>0</v>
      </c>
    </row>
    <row r="21" spans="1:31" s="129" customFormat="1" ht="18">
      <c r="A21" s="49" t="s">
        <v>24</v>
      </c>
      <c r="B21" s="50" t="s">
        <v>69</v>
      </c>
      <c r="C21" s="61">
        <v>0</v>
      </c>
      <c r="D21" s="62">
        <v>0</v>
      </c>
      <c r="E21" s="63"/>
      <c r="F21" s="184">
        <v>110</v>
      </c>
      <c r="G21" s="62">
        <v>0</v>
      </c>
      <c r="H21" s="27" t="s">
        <v>22</v>
      </c>
      <c r="I21" s="27">
        <f t="shared" si="3"/>
        <v>5.392347355417813</v>
      </c>
      <c r="J21" s="67">
        <f t="shared" si="23"/>
        <v>29.99999999999126</v>
      </c>
      <c r="K21" s="56">
        <v>9.5</v>
      </c>
      <c r="L21" s="69">
        <f t="shared" si="7"/>
        <v>3.157894736841185</v>
      </c>
      <c r="M21" s="57">
        <f>IF(R21=1,10,IF(S21=1,4,IF(T21=1,6,IF(U21=1,8,IF(V21=1,5,1)))))+2</f>
        <v>12</v>
      </c>
      <c r="N21" s="58">
        <f t="shared" si="8"/>
        <v>36253.46659434024</v>
      </c>
      <c r="O21" s="70">
        <f t="shared" si="9"/>
        <v>36253.96659434024</v>
      </c>
      <c r="P21" s="44">
        <f t="shared" si="10"/>
        <v>271.1982641663494</v>
      </c>
      <c r="Q21" s="44">
        <f t="shared" si="24"/>
        <v>11.299927673597892</v>
      </c>
      <c r="R21" s="136">
        <f t="shared" si="11"/>
        <v>1</v>
      </c>
      <c r="S21" s="2">
        <f t="shared" si="12"/>
        <v>0</v>
      </c>
      <c r="T21" s="2">
        <f t="shared" si="13"/>
        <v>0</v>
      </c>
      <c r="U21" s="2">
        <f t="shared" si="14"/>
        <v>0</v>
      </c>
      <c r="V21" s="2">
        <f t="shared" si="22"/>
        <v>0</v>
      </c>
      <c r="W21" s="35">
        <f t="shared" si="15"/>
        <v>-1</v>
      </c>
      <c r="X21" s="36">
        <f t="shared" si="16"/>
        <v>1</v>
      </c>
      <c r="Y21" s="136">
        <f t="shared" si="17"/>
        <v>0</v>
      </c>
      <c r="Z21" s="136">
        <f t="shared" si="18"/>
        <v>0</v>
      </c>
      <c r="AA21" s="136">
        <f t="shared" si="19"/>
        <v>110</v>
      </c>
      <c r="AB21" s="135" t="str">
        <f t="shared" si="20"/>
        <v>R</v>
      </c>
      <c r="AC21" s="37">
        <f t="shared" si="21"/>
        <v>36253.46659434024</v>
      </c>
      <c r="AD21" s="45">
        <v>36089</v>
      </c>
      <c r="AE21" s="46">
        <f aca="true" t="shared" si="25" ref="AE21:AE33">(AC21-AD21)/30.5</f>
        <v>5.392347355417813</v>
      </c>
    </row>
    <row r="22" spans="1:31" s="129" customFormat="1" ht="18">
      <c r="A22" s="49" t="s">
        <v>67</v>
      </c>
      <c r="B22" s="50" t="s">
        <v>70</v>
      </c>
      <c r="C22" s="51">
        <v>0</v>
      </c>
      <c r="D22" s="52">
        <v>0</v>
      </c>
      <c r="E22" s="53"/>
      <c r="F22" s="184">
        <v>110</v>
      </c>
      <c r="G22" s="52">
        <v>0</v>
      </c>
      <c r="H22" s="66" t="s">
        <v>22</v>
      </c>
      <c r="I22" s="27">
        <f t="shared" si="3"/>
        <v>5.408740798040765</v>
      </c>
      <c r="J22" s="67">
        <f t="shared" si="23"/>
        <v>0</v>
      </c>
      <c r="K22" s="56">
        <v>9.5</v>
      </c>
      <c r="L22" s="69">
        <f t="shared" si="7"/>
        <v>0</v>
      </c>
      <c r="M22" s="57">
        <f>IF(R22=1,10,IF(S22=1,4,IF(T22=1,6,IF(U22=1,8,IF(V22=1,5,1)))))+8</f>
        <v>13</v>
      </c>
      <c r="N22" s="58">
        <f t="shared" si="8"/>
        <v>36253.96659434024</v>
      </c>
      <c r="O22" s="70">
        <f t="shared" si="9"/>
        <v>36254.50826100691</v>
      </c>
      <c r="P22" s="44">
        <f t="shared" si="10"/>
        <v>284.1982641663494</v>
      </c>
      <c r="Q22" s="44">
        <f t="shared" si="24"/>
        <v>11.841594340264558</v>
      </c>
      <c r="R22" s="2">
        <f t="shared" si="11"/>
        <v>0</v>
      </c>
      <c r="S22" s="2">
        <f t="shared" si="12"/>
        <v>0</v>
      </c>
      <c r="T22" s="2">
        <f t="shared" si="13"/>
        <v>0</v>
      </c>
      <c r="U22" s="2">
        <f t="shared" si="14"/>
        <v>0</v>
      </c>
      <c r="V22" s="136">
        <f t="shared" si="22"/>
        <v>1</v>
      </c>
      <c r="W22" s="35">
        <f t="shared" si="15"/>
        <v>-1</v>
      </c>
      <c r="X22" s="36">
        <f t="shared" si="16"/>
        <v>1</v>
      </c>
      <c r="Y22" s="136">
        <f t="shared" si="17"/>
        <v>0</v>
      </c>
      <c r="Z22" s="136">
        <f t="shared" si="18"/>
        <v>0</v>
      </c>
      <c r="AA22" s="136">
        <f t="shared" si="19"/>
        <v>110</v>
      </c>
      <c r="AB22" s="135">
        <f t="shared" si="20"/>
        <v>0</v>
      </c>
      <c r="AC22" s="37">
        <f t="shared" si="21"/>
        <v>36253.96659434024</v>
      </c>
      <c r="AD22" s="45">
        <v>36089</v>
      </c>
      <c r="AE22" s="46">
        <f t="shared" si="25"/>
        <v>5.408740798040765</v>
      </c>
    </row>
    <row r="23" spans="1:31" ht="18">
      <c r="A23" s="23"/>
      <c r="B23" s="47" t="s">
        <v>23</v>
      </c>
      <c r="C23" s="3">
        <v>0</v>
      </c>
      <c r="D23" s="25">
        <v>30</v>
      </c>
      <c r="E23" s="64" t="s">
        <v>25</v>
      </c>
      <c r="F23" s="32">
        <v>110</v>
      </c>
      <c r="G23" s="25">
        <v>0</v>
      </c>
      <c r="H23" s="65" t="s">
        <v>22</v>
      </c>
      <c r="I23" s="27">
        <f t="shared" si="3"/>
      </c>
      <c r="J23" s="28">
        <f t="shared" si="23"/>
        <v>29.99999999999126</v>
      </c>
      <c r="K23" s="29">
        <v>9.5</v>
      </c>
      <c r="L23" s="30">
        <f t="shared" si="7"/>
        <v>3.157894736841185</v>
      </c>
      <c r="M23" s="31">
        <f>IF(R23=1,10,IF(S23=1,4,IF(T23=1,6,IF(U23=1,8,IF(V23=1,5,1)))))</f>
        <v>1</v>
      </c>
      <c r="N23" s="43">
        <f t="shared" si="8"/>
        <v>36254.639839954274</v>
      </c>
      <c r="O23" s="33">
        <f t="shared" si="9"/>
        <v>36254.68150662094</v>
      </c>
      <c r="P23" s="44">
        <f t="shared" si="10"/>
        <v>288.3561589031906</v>
      </c>
      <c r="Q23" s="44">
        <f t="shared" si="24"/>
        <v>12.014839954299608</v>
      </c>
      <c r="R23" s="2">
        <f t="shared" si="11"/>
        <v>0</v>
      </c>
      <c r="S23" s="2">
        <f t="shared" si="12"/>
        <v>0</v>
      </c>
      <c r="T23" s="2">
        <f t="shared" si="13"/>
        <v>0</v>
      </c>
      <c r="U23" s="2">
        <f t="shared" si="14"/>
        <v>0</v>
      </c>
      <c r="V23" s="2">
        <f t="shared" si="22"/>
        <v>0</v>
      </c>
      <c r="W23" s="35">
        <f t="shared" si="15"/>
        <v>-1</v>
      </c>
      <c r="X23" s="36">
        <f t="shared" si="16"/>
        <v>1</v>
      </c>
      <c r="Y23" s="2">
        <f t="shared" si="17"/>
        <v>0</v>
      </c>
      <c r="Z23" s="2" t="str">
        <f t="shared" si="18"/>
        <v>S</v>
      </c>
      <c r="AA23" s="2">
        <f t="shared" si="19"/>
        <v>110</v>
      </c>
      <c r="AB23" s="1">
        <f t="shared" si="20"/>
        <v>0</v>
      </c>
      <c r="AC23" s="37">
        <f t="shared" si="21"/>
        <v>0</v>
      </c>
      <c r="AD23" s="38"/>
      <c r="AE23" s="37">
        <f t="shared" si="25"/>
        <v>0</v>
      </c>
    </row>
    <row r="24" spans="1:31" ht="18">
      <c r="A24" s="23"/>
      <c r="B24" s="47" t="s">
        <v>23</v>
      </c>
      <c r="C24" s="3">
        <v>1</v>
      </c>
      <c r="D24" s="25">
        <v>0</v>
      </c>
      <c r="E24" s="64" t="s">
        <v>25</v>
      </c>
      <c r="F24" s="32">
        <v>110</v>
      </c>
      <c r="G24" s="25">
        <v>0</v>
      </c>
      <c r="H24" s="65" t="s">
        <v>22</v>
      </c>
      <c r="I24" s="27">
        <f t="shared" si="3"/>
      </c>
      <c r="J24" s="28">
        <f t="shared" si="23"/>
        <v>29.99999999999126</v>
      </c>
      <c r="K24" s="29">
        <v>9.5</v>
      </c>
      <c r="L24" s="30">
        <f t="shared" si="7"/>
        <v>3.157894736841185</v>
      </c>
      <c r="M24" s="31">
        <f>IF(R24=1,10,IF(S24=1,4,IF(T24=1,6,IF(U24=1,8,IF(V24=1,5,1)))))</f>
        <v>1</v>
      </c>
      <c r="N24" s="43">
        <f t="shared" si="8"/>
        <v>36254.813085568305</v>
      </c>
      <c r="O24" s="33">
        <f t="shared" si="9"/>
        <v>36254.85475223497</v>
      </c>
      <c r="P24" s="44">
        <f t="shared" si="10"/>
        <v>292.51405364003176</v>
      </c>
      <c r="Q24" s="44">
        <f t="shared" si="24"/>
        <v>12.188085568334657</v>
      </c>
      <c r="R24" s="2">
        <f t="shared" si="11"/>
        <v>0</v>
      </c>
      <c r="S24" s="2">
        <f t="shared" si="12"/>
        <v>0</v>
      </c>
      <c r="T24" s="2">
        <f t="shared" si="13"/>
        <v>0</v>
      </c>
      <c r="U24" s="2">
        <f t="shared" si="14"/>
        <v>0</v>
      </c>
      <c r="V24" s="2">
        <f t="shared" si="22"/>
        <v>0</v>
      </c>
      <c r="W24" s="35">
        <f t="shared" si="15"/>
        <v>-1</v>
      </c>
      <c r="X24" s="36">
        <f t="shared" si="16"/>
        <v>1</v>
      </c>
      <c r="Y24" s="2">
        <f t="shared" si="17"/>
        <v>1</v>
      </c>
      <c r="Z24" s="2" t="str">
        <f t="shared" si="18"/>
        <v>S</v>
      </c>
      <c r="AA24" s="2">
        <f t="shared" si="19"/>
        <v>110</v>
      </c>
      <c r="AB24" s="1">
        <f t="shared" si="20"/>
        <v>0</v>
      </c>
      <c r="AC24" s="37">
        <f t="shared" si="21"/>
        <v>0</v>
      </c>
      <c r="AD24" s="38"/>
      <c r="AE24" s="37">
        <f t="shared" si="25"/>
        <v>0</v>
      </c>
    </row>
    <row r="25" spans="1:31" ht="18">
      <c r="A25" s="23"/>
      <c r="B25" s="47" t="s">
        <v>23</v>
      </c>
      <c r="C25" s="3">
        <v>1</v>
      </c>
      <c r="D25" s="25">
        <v>30</v>
      </c>
      <c r="E25" s="64" t="s">
        <v>25</v>
      </c>
      <c r="F25" s="32">
        <v>110</v>
      </c>
      <c r="G25" s="25">
        <v>0</v>
      </c>
      <c r="H25" s="65" t="s">
        <v>22</v>
      </c>
      <c r="I25" s="27">
        <f t="shared" si="3"/>
      </c>
      <c r="J25" s="28">
        <f t="shared" si="23"/>
        <v>29.99999999999126</v>
      </c>
      <c r="K25" s="29">
        <v>9.5</v>
      </c>
      <c r="L25" s="30">
        <f t="shared" si="7"/>
        <v>3.157894736841185</v>
      </c>
      <c r="M25" s="31">
        <f>IF(R25=1,10,IF(S25=1,4,IF(T25=1,6,IF(U25=1,8,IF(V25=1,5,1)))))</f>
        <v>1</v>
      </c>
      <c r="N25" s="43">
        <f t="shared" si="8"/>
        <v>36254.986331182336</v>
      </c>
      <c r="O25" s="33">
        <f t="shared" si="9"/>
        <v>36255.027997849</v>
      </c>
      <c r="P25" s="44">
        <f t="shared" si="10"/>
        <v>296.67194837687293</v>
      </c>
      <c r="Q25" s="44">
        <f t="shared" si="24"/>
        <v>12.361331182369705</v>
      </c>
      <c r="R25" s="2">
        <f t="shared" si="11"/>
        <v>0</v>
      </c>
      <c r="S25" s="2">
        <f t="shared" si="12"/>
        <v>0</v>
      </c>
      <c r="T25" s="2">
        <f t="shared" si="13"/>
        <v>0</v>
      </c>
      <c r="U25" s="2">
        <f t="shared" si="14"/>
        <v>0</v>
      </c>
      <c r="V25" s="2">
        <f t="shared" si="22"/>
        <v>0</v>
      </c>
      <c r="W25" s="35">
        <f t="shared" si="15"/>
        <v>-1</v>
      </c>
      <c r="X25" s="36">
        <f t="shared" si="16"/>
        <v>1</v>
      </c>
      <c r="Y25" s="2">
        <f t="shared" si="17"/>
        <v>1</v>
      </c>
      <c r="Z25" s="2" t="str">
        <f t="shared" si="18"/>
        <v>S</v>
      </c>
      <c r="AA25" s="2">
        <f t="shared" si="19"/>
        <v>110</v>
      </c>
      <c r="AB25" s="1">
        <f t="shared" si="20"/>
        <v>0</v>
      </c>
      <c r="AC25" s="37">
        <f t="shared" si="21"/>
        <v>0</v>
      </c>
      <c r="AD25" s="38"/>
      <c r="AE25" s="37">
        <f t="shared" si="25"/>
        <v>0</v>
      </c>
    </row>
    <row r="26" spans="1:31" ht="18">
      <c r="A26" s="49" t="s">
        <v>48</v>
      </c>
      <c r="B26" s="50" t="s">
        <v>71</v>
      </c>
      <c r="C26" s="51">
        <v>2</v>
      </c>
      <c r="D26" s="52">
        <v>0</v>
      </c>
      <c r="E26" s="51" t="s">
        <v>25</v>
      </c>
      <c r="F26" s="184">
        <v>110</v>
      </c>
      <c r="G26" s="52">
        <v>0</v>
      </c>
      <c r="H26" s="66" t="s">
        <v>22</v>
      </c>
      <c r="I26" s="27">
        <f t="shared" si="3"/>
        <v>5.447854976930043</v>
      </c>
      <c r="J26" s="67">
        <f t="shared" si="23"/>
        <v>29.99999999999126</v>
      </c>
      <c r="K26" s="56">
        <v>9.5</v>
      </c>
      <c r="L26" s="69">
        <f t="shared" si="7"/>
        <v>3.157894736841185</v>
      </c>
      <c r="M26" s="57">
        <f>IF(R26=1,10,IF(S26=1,4,IF(T26=1,6,IF(U26=1,8,IF(V26=1,5,1)))))+2.5</f>
        <v>8.5</v>
      </c>
      <c r="N26" s="58">
        <f t="shared" si="8"/>
        <v>36255.159576796366</v>
      </c>
      <c r="O26" s="70">
        <f t="shared" si="9"/>
        <v>36255.51374346303</v>
      </c>
      <c r="P26" s="44">
        <f t="shared" si="10"/>
        <v>308.3298431137141</v>
      </c>
      <c r="Q26" s="44">
        <f t="shared" si="24"/>
        <v>12.847076796404755</v>
      </c>
      <c r="R26" s="2">
        <f t="shared" si="11"/>
        <v>0</v>
      </c>
      <c r="S26" s="2">
        <f t="shared" si="12"/>
        <v>0</v>
      </c>
      <c r="T26" s="136">
        <f t="shared" si="13"/>
        <v>1</v>
      </c>
      <c r="U26" s="2">
        <f t="shared" si="14"/>
        <v>0</v>
      </c>
      <c r="V26" s="2">
        <f t="shared" si="22"/>
        <v>0</v>
      </c>
      <c r="W26" s="35">
        <f t="shared" si="15"/>
        <v>-1</v>
      </c>
      <c r="X26" s="36">
        <f t="shared" si="16"/>
        <v>1</v>
      </c>
      <c r="Y26" s="136">
        <f t="shared" si="17"/>
        <v>2</v>
      </c>
      <c r="Z26" s="136" t="str">
        <f t="shared" si="18"/>
        <v>S</v>
      </c>
      <c r="AA26" s="136">
        <f t="shared" si="19"/>
        <v>110</v>
      </c>
      <c r="AB26" s="135">
        <f t="shared" si="20"/>
        <v>0</v>
      </c>
      <c r="AC26" s="37">
        <f t="shared" si="21"/>
        <v>36255.159576796366</v>
      </c>
      <c r="AD26" s="45">
        <v>36089</v>
      </c>
      <c r="AE26" s="46">
        <f t="shared" si="25"/>
        <v>5.447854976930043</v>
      </c>
    </row>
    <row r="27" spans="1:31" ht="18">
      <c r="A27" s="23"/>
      <c r="B27" s="47" t="s">
        <v>23</v>
      </c>
      <c r="C27" s="3">
        <v>2</v>
      </c>
      <c r="D27" s="25">
        <v>30</v>
      </c>
      <c r="E27" s="64" t="s">
        <v>25</v>
      </c>
      <c r="F27" s="32">
        <v>110</v>
      </c>
      <c r="G27" s="25">
        <v>0</v>
      </c>
      <c r="H27" s="65" t="s">
        <v>22</v>
      </c>
      <c r="I27" s="27">
        <f t="shared" si="3"/>
      </c>
      <c r="J27" s="28">
        <f t="shared" si="23"/>
        <v>29.99999999994775</v>
      </c>
      <c r="K27" s="29">
        <v>9.5</v>
      </c>
      <c r="L27" s="30">
        <f t="shared" si="7"/>
        <v>3.1578947368366053</v>
      </c>
      <c r="M27" s="31">
        <f aca="true" t="shared" si="26" ref="M27:M33">IF(R27=1,10,IF(S27=1,4,IF(T27=1,6,IF(U27=1,8,IF(V27=1,5,1)))))</f>
        <v>1</v>
      </c>
      <c r="N27" s="43">
        <f t="shared" si="8"/>
        <v>36255.6453224104</v>
      </c>
      <c r="O27" s="33">
        <f t="shared" si="9"/>
        <v>36255.68698907706</v>
      </c>
      <c r="P27" s="44">
        <f t="shared" si="10"/>
        <v>312.48773785055073</v>
      </c>
      <c r="Q27" s="44">
        <f t="shared" si="24"/>
        <v>13.020322410439613</v>
      </c>
      <c r="R27" s="2">
        <f t="shared" si="11"/>
        <v>0</v>
      </c>
      <c r="S27" s="2">
        <f t="shared" si="12"/>
        <v>0</v>
      </c>
      <c r="T27" s="2">
        <f t="shared" si="13"/>
        <v>0</v>
      </c>
      <c r="U27" s="2">
        <f t="shared" si="14"/>
        <v>0</v>
      </c>
      <c r="V27" s="2">
        <f t="shared" si="22"/>
        <v>0</v>
      </c>
      <c r="W27" s="35">
        <f t="shared" si="15"/>
        <v>-1</v>
      </c>
      <c r="X27" s="36">
        <f t="shared" si="16"/>
        <v>1</v>
      </c>
      <c r="Y27" s="2">
        <f t="shared" si="17"/>
        <v>2</v>
      </c>
      <c r="Z27" s="2" t="str">
        <f t="shared" si="18"/>
        <v>S</v>
      </c>
      <c r="AA27" s="2">
        <f t="shared" si="19"/>
        <v>110</v>
      </c>
      <c r="AB27" s="1">
        <f t="shared" si="20"/>
        <v>0</v>
      </c>
      <c r="AC27" s="37">
        <f t="shared" si="21"/>
        <v>0</v>
      </c>
      <c r="AD27" s="38"/>
      <c r="AE27" s="37">
        <f t="shared" si="25"/>
        <v>0</v>
      </c>
    </row>
    <row r="28" spans="1:31" ht="18">
      <c r="A28" s="23"/>
      <c r="B28" s="47" t="s">
        <v>23</v>
      </c>
      <c r="C28" s="3">
        <v>3</v>
      </c>
      <c r="D28" s="25">
        <v>0</v>
      </c>
      <c r="E28" s="64" t="s">
        <v>25</v>
      </c>
      <c r="F28" s="32">
        <v>110</v>
      </c>
      <c r="G28" s="25">
        <v>0</v>
      </c>
      <c r="H28" s="65" t="s">
        <v>22</v>
      </c>
      <c r="I28" s="27">
        <f t="shared" si="3"/>
      </c>
      <c r="J28" s="28">
        <f t="shared" si="23"/>
        <v>29.99999999999126</v>
      </c>
      <c r="K28" s="29">
        <v>9.5</v>
      </c>
      <c r="L28" s="30">
        <f t="shared" si="7"/>
        <v>3.157894736841185</v>
      </c>
      <c r="M28" s="31">
        <f t="shared" si="26"/>
        <v>1</v>
      </c>
      <c r="N28" s="43">
        <f t="shared" si="8"/>
        <v>36255.81856802443</v>
      </c>
      <c r="O28" s="33">
        <f t="shared" si="9"/>
        <v>36255.86023469109</v>
      </c>
      <c r="P28" s="44">
        <f t="shared" si="10"/>
        <v>316.6456325873919</v>
      </c>
      <c r="Q28" s="44">
        <f t="shared" si="24"/>
        <v>13.193568024474663</v>
      </c>
      <c r="R28" s="2">
        <f t="shared" si="11"/>
        <v>0</v>
      </c>
      <c r="S28" s="2">
        <f t="shared" si="12"/>
        <v>0</v>
      </c>
      <c r="T28" s="2">
        <f t="shared" si="13"/>
        <v>0</v>
      </c>
      <c r="U28" s="2">
        <f t="shared" si="14"/>
        <v>0</v>
      </c>
      <c r="V28" s="2">
        <f t="shared" si="22"/>
        <v>0</v>
      </c>
      <c r="W28" s="35">
        <f t="shared" si="15"/>
        <v>-1</v>
      </c>
      <c r="X28" s="36">
        <f t="shared" si="16"/>
        <v>1</v>
      </c>
      <c r="Y28" s="2">
        <f t="shared" si="17"/>
        <v>3</v>
      </c>
      <c r="Z28" s="2" t="str">
        <f t="shared" si="18"/>
        <v>S</v>
      </c>
      <c r="AA28" s="2">
        <f t="shared" si="19"/>
        <v>110</v>
      </c>
      <c r="AB28" s="1">
        <f t="shared" si="20"/>
        <v>0</v>
      </c>
      <c r="AC28" s="37">
        <f t="shared" si="21"/>
        <v>0</v>
      </c>
      <c r="AD28" s="38"/>
      <c r="AE28" s="37">
        <f t="shared" si="25"/>
        <v>0</v>
      </c>
    </row>
    <row r="29" spans="1:31" ht="18">
      <c r="A29" s="23"/>
      <c r="B29" s="47" t="s">
        <v>23</v>
      </c>
      <c r="C29" s="3">
        <v>4</v>
      </c>
      <c r="D29" s="25">
        <v>0</v>
      </c>
      <c r="E29" s="64" t="s">
        <v>25</v>
      </c>
      <c r="F29" s="32">
        <v>110</v>
      </c>
      <c r="G29" s="25">
        <v>0</v>
      </c>
      <c r="H29" s="65" t="s">
        <v>22</v>
      </c>
      <c r="I29" s="27">
        <f t="shared" si="3"/>
      </c>
      <c r="J29" s="28">
        <f t="shared" si="23"/>
        <v>60.00000000001535</v>
      </c>
      <c r="K29" s="29">
        <v>9.5</v>
      </c>
      <c r="L29" s="30">
        <f t="shared" si="7"/>
        <v>6.315789473685826</v>
      </c>
      <c r="M29" s="31">
        <f t="shared" si="26"/>
        <v>1</v>
      </c>
      <c r="N29" s="43">
        <f t="shared" si="8"/>
        <v>36256.12339258583</v>
      </c>
      <c r="O29" s="33">
        <f t="shared" si="9"/>
        <v>36256.1650592525</v>
      </c>
      <c r="P29" s="44">
        <f t="shared" si="10"/>
        <v>323.9614220610777</v>
      </c>
      <c r="Q29" s="44">
        <f t="shared" si="24"/>
        <v>13.498392585878237</v>
      </c>
      <c r="R29" s="2">
        <f t="shared" si="11"/>
        <v>0</v>
      </c>
      <c r="S29" s="2">
        <f t="shared" si="12"/>
        <v>0</v>
      </c>
      <c r="T29" s="2">
        <f t="shared" si="13"/>
        <v>0</v>
      </c>
      <c r="U29" s="2">
        <f t="shared" si="14"/>
        <v>0</v>
      </c>
      <c r="V29" s="2">
        <f t="shared" si="22"/>
        <v>0</v>
      </c>
      <c r="W29" s="35">
        <f t="shared" si="15"/>
        <v>-1</v>
      </c>
      <c r="X29" s="36">
        <f t="shared" si="16"/>
        <v>1</v>
      </c>
      <c r="Y29" s="2">
        <f t="shared" si="17"/>
        <v>4</v>
      </c>
      <c r="Z29" s="2" t="str">
        <f t="shared" si="18"/>
        <v>S</v>
      </c>
      <c r="AA29" s="2">
        <f t="shared" si="19"/>
        <v>110</v>
      </c>
      <c r="AB29" s="1">
        <f t="shared" si="20"/>
        <v>0</v>
      </c>
      <c r="AC29" s="37">
        <f t="shared" si="21"/>
        <v>0</v>
      </c>
      <c r="AD29" s="38"/>
      <c r="AE29" s="37">
        <f t="shared" si="25"/>
        <v>0</v>
      </c>
    </row>
    <row r="30" spans="1:31" s="129" customFormat="1" ht="18">
      <c r="A30" s="160" t="s">
        <v>59</v>
      </c>
      <c r="B30" s="161" t="s">
        <v>62</v>
      </c>
      <c r="C30" s="162">
        <v>5</v>
      </c>
      <c r="D30" s="163">
        <v>0</v>
      </c>
      <c r="E30" s="162" t="s">
        <v>25</v>
      </c>
      <c r="F30" s="185">
        <v>110</v>
      </c>
      <c r="G30" s="163">
        <v>0</v>
      </c>
      <c r="H30" s="165" t="s">
        <v>22</v>
      </c>
      <c r="I30" s="173">
        <f t="shared" si="3"/>
        <v>5.489449742532356</v>
      </c>
      <c r="J30" s="174">
        <f t="shared" si="23"/>
        <v>60.00000000001535</v>
      </c>
      <c r="K30" s="175">
        <v>9.5</v>
      </c>
      <c r="L30" s="176">
        <f t="shared" si="7"/>
        <v>6.315789473685826</v>
      </c>
      <c r="M30" s="57">
        <f t="shared" si="26"/>
        <v>4</v>
      </c>
      <c r="N30" s="170">
        <f t="shared" si="8"/>
        <v>36256.42821714724</v>
      </c>
      <c r="O30" s="177">
        <f t="shared" si="9"/>
        <v>36256.5948838139</v>
      </c>
      <c r="P30" s="44">
        <f t="shared" si="10"/>
        <v>334.2772115347635</v>
      </c>
      <c r="Q30" s="44">
        <f t="shared" si="24"/>
        <v>13.928217147281813</v>
      </c>
      <c r="R30" s="2">
        <f t="shared" si="11"/>
        <v>0</v>
      </c>
      <c r="S30" s="136">
        <f t="shared" si="12"/>
        <v>1</v>
      </c>
      <c r="T30" s="2">
        <f t="shared" si="13"/>
        <v>0</v>
      </c>
      <c r="U30" s="2">
        <f t="shared" si="14"/>
        <v>0</v>
      </c>
      <c r="V30" s="2">
        <f t="shared" si="22"/>
        <v>0</v>
      </c>
      <c r="W30" s="35">
        <f t="shared" si="15"/>
        <v>-1</v>
      </c>
      <c r="X30" s="36">
        <f t="shared" si="16"/>
        <v>1</v>
      </c>
      <c r="Y30" s="136">
        <f t="shared" si="17"/>
        <v>5</v>
      </c>
      <c r="Z30" s="136" t="str">
        <f t="shared" si="18"/>
        <v>S</v>
      </c>
      <c r="AA30" s="136">
        <f t="shared" si="19"/>
        <v>110</v>
      </c>
      <c r="AB30" s="135" t="str">
        <f t="shared" si="20"/>
        <v>V</v>
      </c>
      <c r="AC30" s="37">
        <f t="shared" si="21"/>
        <v>36256.42821714724</v>
      </c>
      <c r="AD30" s="45">
        <v>36089</v>
      </c>
      <c r="AE30" s="46">
        <f t="shared" si="25"/>
        <v>5.489449742532356</v>
      </c>
    </row>
    <row r="31" spans="1:31" ht="18">
      <c r="A31" s="23"/>
      <c r="B31" s="47" t="s">
        <v>23</v>
      </c>
      <c r="C31" s="3">
        <v>6</v>
      </c>
      <c r="D31" s="25">
        <v>0</v>
      </c>
      <c r="E31" s="64" t="s">
        <v>25</v>
      </c>
      <c r="F31" s="32">
        <v>110</v>
      </c>
      <c r="G31" s="25">
        <v>0</v>
      </c>
      <c r="H31" s="65" t="s">
        <v>22</v>
      </c>
      <c r="I31" s="27">
        <f t="shared" si="3"/>
      </c>
      <c r="J31" s="28">
        <f t="shared" si="23"/>
        <v>60.00000000001535</v>
      </c>
      <c r="K31" s="29">
        <v>9.5</v>
      </c>
      <c r="L31" s="30">
        <f t="shared" si="7"/>
        <v>6.315789473685826</v>
      </c>
      <c r="M31" s="31">
        <f t="shared" si="26"/>
        <v>1</v>
      </c>
      <c r="N31" s="43">
        <f t="shared" si="8"/>
        <v>36256.85804170864</v>
      </c>
      <c r="O31" s="33">
        <f t="shared" si="9"/>
        <v>36256.899708375306</v>
      </c>
      <c r="P31" s="44">
        <f t="shared" si="10"/>
        <v>341.59300100844933</v>
      </c>
      <c r="Q31" s="44">
        <f t="shared" si="24"/>
        <v>14.23304170868539</v>
      </c>
      <c r="R31" s="2">
        <f t="shared" si="11"/>
        <v>0</v>
      </c>
      <c r="S31" s="2">
        <f t="shared" si="12"/>
        <v>0</v>
      </c>
      <c r="T31" s="2">
        <f t="shared" si="13"/>
        <v>0</v>
      </c>
      <c r="U31" s="2">
        <f t="shared" si="14"/>
        <v>0</v>
      </c>
      <c r="V31" s="2">
        <f t="shared" si="22"/>
        <v>0</v>
      </c>
      <c r="W31" s="35">
        <f t="shared" si="15"/>
        <v>-1</v>
      </c>
      <c r="X31" s="36">
        <f t="shared" si="16"/>
        <v>1</v>
      </c>
      <c r="Y31" s="2">
        <f t="shared" si="17"/>
        <v>6</v>
      </c>
      <c r="Z31" s="2" t="str">
        <f t="shared" si="18"/>
        <v>S</v>
      </c>
      <c r="AA31" s="2">
        <f t="shared" si="19"/>
        <v>110</v>
      </c>
      <c r="AB31" s="1">
        <f t="shared" si="20"/>
        <v>0</v>
      </c>
      <c r="AC31" s="37">
        <f t="shared" si="21"/>
        <v>0</v>
      </c>
      <c r="AD31" s="38"/>
      <c r="AE31" s="37">
        <f t="shared" si="25"/>
        <v>0</v>
      </c>
    </row>
    <row r="32" spans="1:31" ht="18">
      <c r="A32" s="23"/>
      <c r="B32" s="47" t="s">
        <v>23</v>
      </c>
      <c r="C32" s="3">
        <v>7</v>
      </c>
      <c r="D32" s="25">
        <v>0</v>
      </c>
      <c r="E32" s="64" t="s">
        <v>25</v>
      </c>
      <c r="F32" s="32">
        <v>110</v>
      </c>
      <c r="G32" s="25">
        <v>0</v>
      </c>
      <c r="H32" s="65" t="s">
        <v>22</v>
      </c>
      <c r="I32" s="27">
        <f t="shared" si="3"/>
      </c>
      <c r="J32" s="28">
        <f>180/PI()*60*ACOS((SIN(PI()/180*W31*(C31+D31/60))*SIN(PI()/180*W32*(C32+D32/60)))+(COS(PI()/180*W31*(C31+D31/60))*COS(PI()/180*W32*(C32+D32/60))*COS(PI()/180*(X32*(F32+G32/60)-X31*(F31+G31/60)))))</f>
        <v>60.00000000003748</v>
      </c>
      <c r="K32" s="29">
        <v>9.5</v>
      </c>
      <c r="L32" s="30">
        <f t="shared" si="7"/>
        <v>6.315789473688156</v>
      </c>
      <c r="M32" s="31">
        <f t="shared" si="26"/>
        <v>1</v>
      </c>
      <c r="N32" s="43">
        <f t="shared" si="8"/>
        <v>36257.162866270046</v>
      </c>
      <c r="O32" s="33">
        <f t="shared" si="9"/>
        <v>36257.20453293671</v>
      </c>
      <c r="P32" s="44">
        <f t="shared" si="10"/>
        <v>348.9087904821375</v>
      </c>
      <c r="Q32" s="44">
        <f t="shared" si="24"/>
        <v>14.537866270089062</v>
      </c>
      <c r="R32" s="2">
        <f t="shared" si="11"/>
        <v>0</v>
      </c>
      <c r="S32" s="2">
        <f t="shared" si="12"/>
        <v>0</v>
      </c>
      <c r="T32" s="2">
        <f t="shared" si="13"/>
        <v>0</v>
      </c>
      <c r="U32" s="2">
        <f t="shared" si="14"/>
        <v>0</v>
      </c>
      <c r="V32" s="2">
        <f t="shared" si="22"/>
        <v>0</v>
      </c>
      <c r="W32" s="35">
        <f t="shared" si="15"/>
        <v>-1</v>
      </c>
      <c r="X32" s="36">
        <f t="shared" si="16"/>
        <v>1</v>
      </c>
      <c r="Y32" s="2">
        <f t="shared" si="17"/>
        <v>7</v>
      </c>
      <c r="Z32" s="2" t="str">
        <f t="shared" si="18"/>
        <v>S</v>
      </c>
      <c r="AA32" s="2">
        <f t="shared" si="19"/>
        <v>110</v>
      </c>
      <c r="AB32" s="1">
        <f t="shared" si="20"/>
        <v>0</v>
      </c>
      <c r="AC32" s="37">
        <f t="shared" si="21"/>
        <v>0</v>
      </c>
      <c r="AD32" s="38"/>
      <c r="AE32" s="37">
        <f t="shared" si="25"/>
        <v>0</v>
      </c>
    </row>
    <row r="33" spans="1:31" ht="18">
      <c r="A33" s="59" t="s">
        <v>24</v>
      </c>
      <c r="B33" s="60" t="s">
        <v>55</v>
      </c>
      <c r="C33" s="61">
        <v>8</v>
      </c>
      <c r="D33" s="62">
        <v>0</v>
      </c>
      <c r="E33" s="63" t="s">
        <v>25</v>
      </c>
      <c r="F33" s="184">
        <v>110</v>
      </c>
      <c r="G33" s="62">
        <v>0</v>
      </c>
      <c r="H33" s="27" t="s">
        <v>22</v>
      </c>
      <c r="I33" s="27">
        <f t="shared" si="3"/>
        <v>5.523530846932802</v>
      </c>
      <c r="J33" s="67">
        <f>180/PI()*60*ACOS((SIN(PI()/180*W32*(C32+D32/60))*SIN(PI()/180*W33*(C33+D33/60)))+(COS(PI()/180*W32*(C32+D32/60))*COS(PI()/180*W33*(C33+D33/60))*COS(PI()/180*(X33*(F33+G33/60)-X32*(F32+G32/60)))))</f>
        <v>60.00000000001535</v>
      </c>
      <c r="K33" s="56">
        <v>9.5</v>
      </c>
      <c r="L33" s="69">
        <f t="shared" si="7"/>
        <v>6.315789473685826</v>
      </c>
      <c r="M33" s="57">
        <f t="shared" si="26"/>
        <v>10</v>
      </c>
      <c r="N33" s="58">
        <f t="shared" si="8"/>
        <v>36257.46769083145</v>
      </c>
      <c r="O33" s="70">
        <f t="shared" si="9"/>
        <v>36257.884357498115</v>
      </c>
      <c r="P33" s="44">
        <f t="shared" si="10"/>
        <v>365.2245799558233</v>
      </c>
      <c r="Q33" s="44">
        <f t="shared" si="24"/>
        <v>15.217690831492638</v>
      </c>
      <c r="R33" s="136">
        <f t="shared" si="11"/>
        <v>1</v>
      </c>
      <c r="S33" s="2">
        <f t="shared" si="12"/>
        <v>0</v>
      </c>
      <c r="T33" s="2">
        <f t="shared" si="13"/>
        <v>0</v>
      </c>
      <c r="U33" s="2">
        <f t="shared" si="14"/>
        <v>0</v>
      </c>
      <c r="V33" s="2">
        <f t="shared" si="22"/>
        <v>0</v>
      </c>
      <c r="W33" s="35">
        <f t="shared" si="15"/>
        <v>-1</v>
      </c>
      <c r="X33" s="36">
        <f t="shared" si="16"/>
        <v>1</v>
      </c>
      <c r="Y33" s="136">
        <f t="shared" si="17"/>
        <v>8</v>
      </c>
      <c r="Z33" s="136" t="str">
        <f t="shared" si="18"/>
        <v>S</v>
      </c>
      <c r="AA33" s="136">
        <f t="shared" si="19"/>
        <v>110</v>
      </c>
      <c r="AB33" s="135" t="str">
        <f t="shared" si="20"/>
        <v>R</v>
      </c>
      <c r="AC33" s="37">
        <f t="shared" si="21"/>
        <v>36257.46769083145</v>
      </c>
      <c r="AD33" s="45">
        <v>36089</v>
      </c>
      <c r="AE33" s="46">
        <f t="shared" si="25"/>
        <v>5.523530846932802</v>
      </c>
    </row>
    <row r="34" spans="1:31" s="116" customFormat="1" ht="4.5" customHeight="1">
      <c r="A34" s="16"/>
      <c r="B34" s="117"/>
      <c r="C34" s="19"/>
      <c r="D34" s="118"/>
      <c r="E34" s="19"/>
      <c r="F34" s="20"/>
      <c r="G34" s="118"/>
      <c r="H34" s="18"/>
      <c r="I34" s="119"/>
      <c r="J34" s="120"/>
      <c r="K34" s="121"/>
      <c r="L34" s="122"/>
      <c r="M34" s="123"/>
      <c r="N34" s="124"/>
      <c r="O34" s="114"/>
      <c r="P34" s="115"/>
      <c r="Q34" s="115"/>
      <c r="V34" s="125"/>
      <c r="W34" s="125"/>
      <c r="X34" s="126"/>
      <c r="AB34" s="158"/>
      <c r="AC34" s="127"/>
      <c r="AD34" s="127"/>
      <c r="AE34" s="128"/>
    </row>
    <row r="35" spans="1:31" ht="18">
      <c r="A35" s="49" t="s">
        <v>24</v>
      </c>
      <c r="B35" s="50" t="s">
        <v>72</v>
      </c>
      <c r="C35" s="51">
        <v>8</v>
      </c>
      <c r="D35" s="52">
        <v>0</v>
      </c>
      <c r="E35" s="51" t="s">
        <v>25</v>
      </c>
      <c r="F35" s="54">
        <v>95</v>
      </c>
      <c r="G35" s="52">
        <v>0</v>
      </c>
      <c r="H35" s="66" t="s">
        <v>22</v>
      </c>
      <c r="I35" s="27">
        <f aca="true" t="shared" si="27" ref="I35:I49">IF(R35=1,AE35,IF(S35=1,AE35,IF(T35=1,AE35,IF(U35=1,AE35,IF(V35=1,AE35,"")))))</f>
        <v>5.665347302326795</v>
      </c>
      <c r="J35" s="132">
        <f>180/PI()*60*ACOS((SIN(PI()/180*W33*(C33+D33/60))*SIN(PI()/180*W35*(C35+D35/60)))+(COS(PI()/180*W33*(C33+D33/60))*COS(PI()/180*W35*(C35+D35/60))*COS(PI()/180*(X35*(F35+G35/60)-X33*(F33+G33/60)))))</f>
        <v>891.1916308095829</v>
      </c>
      <c r="K35" s="56">
        <v>9.5</v>
      </c>
      <c r="L35" s="133">
        <f>J35/K35</f>
        <v>93.80964534837715</v>
      </c>
      <c r="M35" s="57">
        <f>IF(R35=1,10,IF(S35=1,4,IF(T35=1,6,IF(U35=1,8,IF(V35=1,5,1)))))+13</f>
        <v>23</v>
      </c>
      <c r="N35" s="58">
        <f>O33+L35/24</f>
        <v>36261.79309272097</v>
      </c>
      <c r="O35" s="134">
        <f>N35+M35/24</f>
        <v>36262.7514260543</v>
      </c>
      <c r="P35" s="44">
        <f>P33+L35+M35</f>
        <v>482.03422530420045</v>
      </c>
      <c r="Q35" s="44">
        <f>P35/24</f>
        <v>20.084759387675017</v>
      </c>
      <c r="R35" s="136">
        <f>IF(A35="R",1,0)</f>
        <v>1</v>
      </c>
      <c r="S35" s="2">
        <f>IF(A35="V",1,0)</f>
        <v>0</v>
      </c>
      <c r="T35" s="2">
        <f>IF(A35="R E",1,0)</f>
        <v>0</v>
      </c>
      <c r="U35" s="2">
        <f>IF(A35="S",1,0)</f>
        <v>0</v>
      </c>
      <c r="V35" s="2">
        <f>IF(A35="D",1,0)</f>
        <v>0</v>
      </c>
      <c r="W35" s="35">
        <f>IF(E35="N",1,-1)</f>
        <v>-1</v>
      </c>
      <c r="X35" s="36">
        <f>IF(H35="W",1,-1)</f>
        <v>1</v>
      </c>
      <c r="Y35" s="136">
        <f>C35</f>
        <v>8</v>
      </c>
      <c r="Z35" s="136" t="str">
        <f>E35</f>
        <v>S</v>
      </c>
      <c r="AA35" s="136">
        <f>F35</f>
        <v>95</v>
      </c>
      <c r="AB35" s="135" t="str">
        <f>IF(R35=1,"R",IF(S35=1,"V",0))</f>
        <v>R</v>
      </c>
      <c r="AC35" s="37">
        <f>IF(R35=1,N35,IF(S35=1,N35,IF(T35=1,N35,IF(U35=1,N35,IF(V35=1,N35,0)))))</f>
        <v>36261.79309272097</v>
      </c>
      <c r="AD35" s="45">
        <v>36089</v>
      </c>
      <c r="AE35" s="46">
        <f aca="true" t="shared" si="28" ref="AE35:AE63">(AC35-AD35)/30.5</f>
        <v>5.665347302326795</v>
      </c>
    </row>
    <row r="36" spans="1:31" ht="18">
      <c r="A36" s="23"/>
      <c r="B36" s="47" t="s">
        <v>23</v>
      </c>
      <c r="C36" s="3">
        <v>7</v>
      </c>
      <c r="D36" s="25">
        <v>0</v>
      </c>
      <c r="E36" s="3" t="s">
        <v>25</v>
      </c>
      <c r="F36" s="130">
        <v>95</v>
      </c>
      <c r="G36" s="42">
        <v>0</v>
      </c>
      <c r="H36" s="48" t="s">
        <v>22</v>
      </c>
      <c r="I36" s="27">
        <f t="shared" si="27"/>
      </c>
      <c r="J36" s="28">
        <f>180/PI()*60*ACOS((SIN(PI()/180*W35*(C35+D35/60))*SIN(PI()/180*W36*(C36+D36/60)))+(COS(PI()/180*W35*(C35+D35/60))*COS(PI()/180*W36*(C36+D36/60))*COS(PI()/180*(X36*(F36+G36/60)-X35*(F35+G35/60)))))</f>
        <v>60.00000000001535</v>
      </c>
      <c r="K36" s="29">
        <v>9.5</v>
      </c>
      <c r="L36" s="30">
        <f t="shared" si="7"/>
        <v>6.315789473685826</v>
      </c>
      <c r="M36" s="31">
        <f aca="true" t="shared" si="29" ref="M36:M41">IF(R36=1,10,IF(S36=1,4,IF(T36=1,6,IF(U36=1,8,IF(V36=1,5,1)))))</f>
        <v>1</v>
      </c>
      <c r="N36" s="43">
        <f t="shared" si="8"/>
        <v>36263.01458394904</v>
      </c>
      <c r="O36" s="33">
        <f t="shared" si="9"/>
        <v>36263.05625061571</v>
      </c>
      <c r="P36" s="44">
        <f>P35+L36+M36</f>
        <v>489.35001477788626</v>
      </c>
      <c r="Q36" s="44">
        <f t="shared" si="24"/>
        <v>20.389583949078595</v>
      </c>
      <c r="R36" s="2">
        <f t="shared" si="11"/>
        <v>0</v>
      </c>
      <c r="S36" s="2">
        <f t="shared" si="12"/>
        <v>0</v>
      </c>
      <c r="T36" s="2">
        <f t="shared" si="13"/>
        <v>0</v>
      </c>
      <c r="U36" s="2">
        <f t="shared" si="14"/>
        <v>0</v>
      </c>
      <c r="V36" s="2">
        <f t="shared" si="22"/>
        <v>0</v>
      </c>
      <c r="W36" s="35">
        <f t="shared" si="15"/>
        <v>-1</v>
      </c>
      <c r="X36" s="36">
        <f t="shared" si="16"/>
        <v>1</v>
      </c>
      <c r="Y36" s="2">
        <f t="shared" si="17"/>
        <v>7</v>
      </c>
      <c r="Z36" s="2" t="str">
        <f t="shared" si="18"/>
        <v>S</v>
      </c>
      <c r="AA36" s="2">
        <f t="shared" si="19"/>
        <v>95</v>
      </c>
      <c r="AB36" s="1">
        <f t="shared" si="20"/>
        <v>0</v>
      </c>
      <c r="AC36" s="37">
        <f t="shared" si="21"/>
        <v>0</v>
      </c>
      <c r="AD36" s="38"/>
      <c r="AE36" s="37">
        <f t="shared" si="28"/>
        <v>0</v>
      </c>
    </row>
    <row r="37" spans="1:31" ht="18">
      <c r="A37" s="23"/>
      <c r="B37" s="47" t="s">
        <v>23</v>
      </c>
      <c r="C37" s="3">
        <v>6</v>
      </c>
      <c r="D37" s="25">
        <v>0</v>
      </c>
      <c r="E37" s="3" t="s">
        <v>25</v>
      </c>
      <c r="F37" s="130">
        <v>95</v>
      </c>
      <c r="G37" s="42">
        <v>0</v>
      </c>
      <c r="H37" s="48" t="s">
        <v>22</v>
      </c>
      <c r="I37" s="27">
        <f t="shared" si="27"/>
      </c>
      <c r="J37" s="28">
        <f t="shared" si="23"/>
        <v>60.00000000003748</v>
      </c>
      <c r="K37" s="29">
        <v>9.5</v>
      </c>
      <c r="L37" s="30">
        <f t="shared" si="7"/>
        <v>6.315789473688156</v>
      </c>
      <c r="M37" s="31">
        <f t="shared" si="29"/>
        <v>1</v>
      </c>
      <c r="N37" s="43">
        <f t="shared" si="8"/>
        <v>36263.31940851045</v>
      </c>
      <c r="O37" s="33">
        <f t="shared" si="9"/>
        <v>36263.36107517711</v>
      </c>
      <c r="P37" s="44">
        <f t="shared" si="10"/>
        <v>496.6658042515744</v>
      </c>
      <c r="Q37" s="44">
        <f t="shared" si="24"/>
        <v>20.694408510482265</v>
      </c>
      <c r="R37" s="2">
        <f t="shared" si="11"/>
        <v>0</v>
      </c>
      <c r="S37" s="2">
        <f t="shared" si="12"/>
        <v>0</v>
      </c>
      <c r="T37" s="2">
        <f t="shared" si="13"/>
        <v>0</v>
      </c>
      <c r="U37" s="2">
        <f t="shared" si="14"/>
        <v>0</v>
      </c>
      <c r="V37" s="2">
        <f t="shared" si="22"/>
        <v>0</v>
      </c>
      <c r="W37" s="35">
        <f t="shared" si="15"/>
        <v>-1</v>
      </c>
      <c r="X37" s="36">
        <f t="shared" si="16"/>
        <v>1</v>
      </c>
      <c r="Y37" s="2">
        <f t="shared" si="17"/>
        <v>6</v>
      </c>
      <c r="Z37" s="2" t="str">
        <f t="shared" si="18"/>
        <v>S</v>
      </c>
      <c r="AA37" s="2">
        <f t="shared" si="19"/>
        <v>95</v>
      </c>
      <c r="AB37" s="1">
        <f t="shared" si="20"/>
        <v>0</v>
      </c>
      <c r="AC37" s="37">
        <f t="shared" si="21"/>
        <v>0</v>
      </c>
      <c r="AD37" s="38"/>
      <c r="AE37" s="37">
        <f t="shared" si="28"/>
        <v>0</v>
      </c>
    </row>
    <row r="38" spans="1:31" ht="18">
      <c r="A38" s="59" t="s">
        <v>48</v>
      </c>
      <c r="B38" s="60" t="s">
        <v>63</v>
      </c>
      <c r="C38" s="61">
        <v>5</v>
      </c>
      <c r="D38" s="62">
        <v>0</v>
      </c>
      <c r="E38" s="63" t="s">
        <v>25</v>
      </c>
      <c r="F38" s="54">
        <v>95</v>
      </c>
      <c r="G38" s="62">
        <v>0</v>
      </c>
      <c r="H38" s="27" t="s">
        <v>22</v>
      </c>
      <c r="I38" s="27">
        <f t="shared" si="27"/>
        <v>5.725384690880405</v>
      </c>
      <c r="J38" s="67">
        <f t="shared" si="23"/>
        <v>60.00000000001535</v>
      </c>
      <c r="K38" s="56">
        <v>9.5</v>
      </c>
      <c r="L38" s="69">
        <f t="shared" si="7"/>
        <v>6.315789473685826</v>
      </c>
      <c r="M38" s="57">
        <f t="shared" si="29"/>
        <v>6</v>
      </c>
      <c r="N38" s="58">
        <f t="shared" si="8"/>
        <v>36263.62423307185</v>
      </c>
      <c r="O38" s="70">
        <f t="shared" si="9"/>
        <v>36263.87423307185</v>
      </c>
      <c r="P38" s="44">
        <f t="shared" si="10"/>
        <v>508.9815937252602</v>
      </c>
      <c r="Q38" s="44">
        <f t="shared" si="24"/>
        <v>21.207566405219175</v>
      </c>
      <c r="R38" s="2">
        <f t="shared" si="11"/>
        <v>0</v>
      </c>
      <c r="S38" s="2">
        <f t="shared" si="12"/>
        <v>0</v>
      </c>
      <c r="T38" s="136">
        <f t="shared" si="13"/>
        <v>1</v>
      </c>
      <c r="U38" s="2">
        <f t="shared" si="14"/>
        <v>0</v>
      </c>
      <c r="V38" s="2">
        <f t="shared" si="22"/>
        <v>0</v>
      </c>
      <c r="W38" s="35">
        <f t="shared" si="15"/>
        <v>-1</v>
      </c>
      <c r="X38" s="36">
        <f t="shared" si="16"/>
        <v>1</v>
      </c>
      <c r="Y38" s="136">
        <f t="shared" si="17"/>
        <v>5</v>
      </c>
      <c r="Z38" s="136" t="str">
        <f t="shared" si="18"/>
        <v>S</v>
      </c>
      <c r="AA38" s="136">
        <f t="shared" si="19"/>
        <v>95</v>
      </c>
      <c r="AB38" s="135">
        <f t="shared" si="20"/>
        <v>0</v>
      </c>
      <c r="AC38" s="37">
        <f t="shared" si="21"/>
        <v>36263.62423307185</v>
      </c>
      <c r="AD38" s="45">
        <v>36089</v>
      </c>
      <c r="AE38" s="46">
        <f t="shared" si="28"/>
        <v>5.725384690880405</v>
      </c>
    </row>
    <row r="39" spans="1:31" ht="18">
      <c r="A39" s="23"/>
      <c r="B39" s="47" t="s">
        <v>23</v>
      </c>
      <c r="C39" s="3">
        <v>4</v>
      </c>
      <c r="D39" s="25">
        <v>0</v>
      </c>
      <c r="E39" s="64" t="s">
        <v>25</v>
      </c>
      <c r="F39" s="130">
        <v>95</v>
      </c>
      <c r="G39" s="25">
        <v>0</v>
      </c>
      <c r="H39" s="65" t="s">
        <v>22</v>
      </c>
      <c r="I39" s="27">
        <f t="shared" si="27"/>
      </c>
      <c r="J39" s="28">
        <f t="shared" si="23"/>
        <v>60.00000000001535</v>
      </c>
      <c r="K39" s="29">
        <v>9.5</v>
      </c>
      <c r="L39" s="30">
        <f t="shared" si="7"/>
        <v>6.315789473685826</v>
      </c>
      <c r="M39" s="31">
        <f t="shared" si="29"/>
        <v>1</v>
      </c>
      <c r="N39" s="43">
        <f t="shared" si="8"/>
        <v>36264.13739096659</v>
      </c>
      <c r="O39" s="33">
        <f t="shared" si="9"/>
        <v>36264.17905763326</v>
      </c>
      <c r="P39" s="44">
        <f t="shared" si="10"/>
        <v>516.297383198946</v>
      </c>
      <c r="Q39" s="44">
        <f t="shared" si="24"/>
        <v>21.51239096662275</v>
      </c>
      <c r="R39" s="2">
        <f t="shared" si="11"/>
        <v>0</v>
      </c>
      <c r="S39" s="2">
        <f t="shared" si="12"/>
        <v>0</v>
      </c>
      <c r="T39" s="2">
        <f t="shared" si="13"/>
        <v>0</v>
      </c>
      <c r="U39" s="2">
        <f t="shared" si="14"/>
        <v>0</v>
      </c>
      <c r="V39" s="2">
        <f t="shared" si="22"/>
        <v>0</v>
      </c>
      <c r="W39" s="35">
        <f t="shared" si="15"/>
        <v>-1</v>
      </c>
      <c r="X39" s="36">
        <f t="shared" si="16"/>
        <v>1</v>
      </c>
      <c r="Y39" s="2">
        <f t="shared" si="17"/>
        <v>4</v>
      </c>
      <c r="Z39" s="2" t="str">
        <f t="shared" si="18"/>
        <v>S</v>
      </c>
      <c r="AA39" s="2">
        <f t="shared" si="19"/>
        <v>95</v>
      </c>
      <c r="AB39" s="1">
        <f t="shared" si="20"/>
        <v>0</v>
      </c>
      <c r="AC39" s="37">
        <f t="shared" si="21"/>
        <v>0</v>
      </c>
      <c r="AD39" s="38"/>
      <c r="AE39" s="37">
        <f t="shared" si="28"/>
        <v>0</v>
      </c>
    </row>
    <row r="40" spans="1:31" ht="18">
      <c r="A40" s="23"/>
      <c r="B40" s="47" t="s">
        <v>23</v>
      </c>
      <c r="C40" s="3">
        <v>3</v>
      </c>
      <c r="D40" s="25">
        <v>0</v>
      </c>
      <c r="E40" s="3" t="s">
        <v>25</v>
      </c>
      <c r="F40" s="130">
        <v>95</v>
      </c>
      <c r="G40" s="42">
        <v>0</v>
      </c>
      <c r="H40" s="48" t="s">
        <v>22</v>
      </c>
      <c r="I40" s="27">
        <f t="shared" si="27"/>
      </c>
      <c r="J40" s="28">
        <f t="shared" si="23"/>
        <v>60.00000000001535</v>
      </c>
      <c r="K40" s="29">
        <v>9.5</v>
      </c>
      <c r="L40" s="30">
        <f t="shared" si="7"/>
        <v>6.315789473685826</v>
      </c>
      <c r="M40" s="31">
        <f t="shared" si="29"/>
        <v>1</v>
      </c>
      <c r="N40" s="43">
        <f t="shared" si="8"/>
        <v>36264.442215528</v>
      </c>
      <c r="O40" s="33">
        <f t="shared" si="9"/>
        <v>36264.48388219466</v>
      </c>
      <c r="P40" s="44">
        <f t="shared" si="10"/>
        <v>523.6131726726319</v>
      </c>
      <c r="Q40" s="44">
        <f t="shared" si="24"/>
        <v>21.817215528026328</v>
      </c>
      <c r="R40" s="2">
        <f t="shared" si="11"/>
        <v>0</v>
      </c>
      <c r="S40" s="2">
        <f t="shared" si="12"/>
        <v>0</v>
      </c>
      <c r="T40" s="2">
        <f t="shared" si="13"/>
        <v>0</v>
      </c>
      <c r="U40" s="2">
        <f t="shared" si="14"/>
        <v>0</v>
      </c>
      <c r="V40" s="2">
        <f t="shared" si="22"/>
        <v>0</v>
      </c>
      <c r="W40" s="35">
        <f t="shared" si="15"/>
        <v>-1</v>
      </c>
      <c r="X40" s="36">
        <f t="shared" si="16"/>
        <v>1</v>
      </c>
      <c r="Y40" s="2">
        <f t="shared" si="17"/>
        <v>3</v>
      </c>
      <c r="Z40" s="2" t="str">
        <f t="shared" si="18"/>
        <v>S</v>
      </c>
      <c r="AA40" s="2">
        <f t="shared" si="19"/>
        <v>95</v>
      </c>
      <c r="AB40" s="1">
        <f t="shared" si="20"/>
        <v>0</v>
      </c>
      <c r="AC40" s="37">
        <f t="shared" si="21"/>
        <v>0</v>
      </c>
      <c r="AD40" s="38"/>
      <c r="AE40" s="37">
        <f t="shared" si="28"/>
        <v>0</v>
      </c>
    </row>
    <row r="41" spans="1:31" ht="18">
      <c r="A41" s="23"/>
      <c r="B41" s="47" t="s">
        <v>23</v>
      </c>
      <c r="C41" s="3">
        <v>2</v>
      </c>
      <c r="D41" s="25">
        <v>30</v>
      </c>
      <c r="E41" s="3" t="s">
        <v>25</v>
      </c>
      <c r="F41" s="130">
        <v>95</v>
      </c>
      <c r="G41" s="42">
        <v>0</v>
      </c>
      <c r="H41" s="48" t="s">
        <v>22</v>
      </c>
      <c r="I41" s="27">
        <f t="shared" si="27"/>
      </c>
      <c r="J41" s="28">
        <f t="shared" si="23"/>
        <v>29.99999999999126</v>
      </c>
      <c r="K41" s="29">
        <v>9.5</v>
      </c>
      <c r="L41" s="30">
        <f t="shared" si="7"/>
        <v>3.157894736841185</v>
      </c>
      <c r="M41" s="31">
        <f t="shared" si="29"/>
        <v>1</v>
      </c>
      <c r="N41" s="43">
        <f t="shared" si="8"/>
        <v>36264.61546114203</v>
      </c>
      <c r="O41" s="33">
        <f t="shared" si="9"/>
        <v>36264.65712780869</v>
      </c>
      <c r="P41" s="44">
        <f t="shared" si="10"/>
        <v>527.7710674094731</v>
      </c>
      <c r="Q41" s="44">
        <f t="shared" si="24"/>
        <v>21.990461142061378</v>
      </c>
      <c r="R41" s="2">
        <f t="shared" si="11"/>
        <v>0</v>
      </c>
      <c r="S41" s="2">
        <f t="shared" si="12"/>
        <v>0</v>
      </c>
      <c r="T41" s="2">
        <f t="shared" si="13"/>
        <v>0</v>
      </c>
      <c r="U41" s="2">
        <f t="shared" si="14"/>
        <v>0</v>
      </c>
      <c r="V41" s="2">
        <f t="shared" si="22"/>
        <v>0</v>
      </c>
      <c r="W41" s="35">
        <f t="shared" si="15"/>
        <v>-1</v>
      </c>
      <c r="X41" s="36">
        <f t="shared" si="16"/>
        <v>1</v>
      </c>
      <c r="Y41" s="2">
        <f t="shared" si="17"/>
        <v>2</v>
      </c>
      <c r="Z41" s="2" t="str">
        <f t="shared" si="18"/>
        <v>S</v>
      </c>
      <c r="AA41" s="2">
        <f t="shared" si="19"/>
        <v>95</v>
      </c>
      <c r="AB41" s="1">
        <f t="shared" si="20"/>
        <v>0</v>
      </c>
      <c r="AC41" s="37">
        <f t="shared" si="21"/>
        <v>0</v>
      </c>
      <c r="AD41" s="38"/>
      <c r="AE41" s="37">
        <f t="shared" si="28"/>
        <v>0</v>
      </c>
    </row>
    <row r="42" spans="1:31" ht="18">
      <c r="A42" s="49" t="s">
        <v>24</v>
      </c>
      <c r="B42" s="50" t="s">
        <v>55</v>
      </c>
      <c r="C42" s="51">
        <v>2</v>
      </c>
      <c r="D42" s="52">
        <v>0</v>
      </c>
      <c r="E42" s="53" t="s">
        <v>25</v>
      </c>
      <c r="F42" s="54">
        <v>95</v>
      </c>
      <c r="G42" s="52">
        <v>0</v>
      </c>
      <c r="H42" s="55" t="s">
        <v>22</v>
      </c>
      <c r="I42" s="27">
        <f t="shared" si="27"/>
        <v>5.76356415593635</v>
      </c>
      <c r="J42" s="67">
        <f t="shared" si="23"/>
        <v>29.99999999994775</v>
      </c>
      <c r="K42" s="56">
        <v>9.5</v>
      </c>
      <c r="L42" s="69">
        <f t="shared" si="7"/>
        <v>3.1578947368366053</v>
      </c>
      <c r="M42" s="57">
        <f>IF(R42=1,10,IF(S42=1,4,IF(T42=1,6,IF(U42=1,8,IF(V42=1,5,1)))))+13</f>
        <v>23</v>
      </c>
      <c r="N42" s="58">
        <f t="shared" si="8"/>
        <v>36264.78870675606</v>
      </c>
      <c r="O42" s="70">
        <f t="shared" si="9"/>
        <v>36265.747040089394</v>
      </c>
      <c r="P42" s="44">
        <f t="shared" si="10"/>
        <v>553.9289621463097</v>
      </c>
      <c r="Q42" s="44">
        <f t="shared" si="24"/>
        <v>23.080373422762904</v>
      </c>
      <c r="R42" s="136">
        <f t="shared" si="11"/>
        <v>1</v>
      </c>
      <c r="S42" s="2">
        <f t="shared" si="12"/>
        <v>0</v>
      </c>
      <c r="T42" s="2">
        <f t="shared" si="13"/>
        <v>0</v>
      </c>
      <c r="U42" s="2">
        <f t="shared" si="14"/>
        <v>0</v>
      </c>
      <c r="V42" s="2">
        <f t="shared" si="22"/>
        <v>0</v>
      </c>
      <c r="W42" s="35">
        <f t="shared" si="15"/>
        <v>-1</v>
      </c>
      <c r="X42" s="36">
        <f t="shared" si="16"/>
        <v>1</v>
      </c>
      <c r="Y42" s="136">
        <f t="shared" si="17"/>
        <v>2</v>
      </c>
      <c r="Z42" s="136" t="str">
        <f t="shared" si="18"/>
        <v>S</v>
      </c>
      <c r="AA42" s="136">
        <f t="shared" si="19"/>
        <v>95</v>
      </c>
      <c r="AB42" s="135" t="str">
        <f t="shared" si="20"/>
        <v>R</v>
      </c>
      <c r="AC42" s="37">
        <f t="shared" si="21"/>
        <v>36264.78870675606</v>
      </c>
      <c r="AD42" s="45">
        <v>36089</v>
      </c>
      <c r="AE42" s="46">
        <f t="shared" si="28"/>
        <v>5.76356415593635</v>
      </c>
    </row>
    <row r="43" spans="1:31" ht="18">
      <c r="A43" s="23"/>
      <c r="B43" s="47" t="s">
        <v>23</v>
      </c>
      <c r="C43" s="3">
        <v>1</v>
      </c>
      <c r="D43" s="25">
        <v>30</v>
      </c>
      <c r="E43" s="3" t="s">
        <v>25</v>
      </c>
      <c r="F43" s="130">
        <v>95</v>
      </c>
      <c r="G43" s="42">
        <v>0</v>
      </c>
      <c r="H43" s="48" t="s">
        <v>22</v>
      </c>
      <c r="I43" s="27">
        <f t="shared" si="27"/>
      </c>
      <c r="J43" s="28">
        <f>180/PI()*60*ACOS((SIN(PI()/180*W42*(C42+D42/60))*SIN(PI()/180*W43*(C43+D43/60)))+(COS(PI()/180*W42*(C42+D42/60))*COS(PI()/180*W43*(C43+D43/60))*COS(PI()/180*(X43*(F43+G43/60)-X42*(F42+G42/60)))))</f>
        <v>29.99999999999126</v>
      </c>
      <c r="K43" s="29">
        <v>9.5</v>
      </c>
      <c r="L43" s="30">
        <f t="shared" si="7"/>
        <v>3.157894736841185</v>
      </c>
      <c r="M43" s="31">
        <f aca="true" t="shared" si="30" ref="M43:M49">IF(R43=1,10,IF(S43=1,4,IF(T43=1,6,IF(U43=1,8,IF(V43=1,5,1)))))</f>
        <v>1</v>
      </c>
      <c r="N43" s="43">
        <f aca="true" t="shared" si="31" ref="N43:N48">O42+L43/24</f>
        <v>36265.87861903676</v>
      </c>
      <c r="O43" s="33">
        <f t="shared" si="9"/>
        <v>36265.920285703425</v>
      </c>
      <c r="P43" s="44">
        <f>P42+L43+M43</f>
        <v>558.0868568831509</v>
      </c>
      <c r="Q43" s="44">
        <f t="shared" si="24"/>
        <v>23.253619036797954</v>
      </c>
      <c r="R43" s="2">
        <f t="shared" si="11"/>
        <v>0</v>
      </c>
      <c r="S43" s="2">
        <f t="shared" si="12"/>
        <v>0</v>
      </c>
      <c r="T43" s="2">
        <f t="shared" si="13"/>
        <v>0</v>
      </c>
      <c r="U43" s="2">
        <f t="shared" si="14"/>
        <v>0</v>
      </c>
      <c r="V43" s="2">
        <f t="shared" si="22"/>
        <v>0</v>
      </c>
      <c r="W43" s="35">
        <f t="shared" si="15"/>
        <v>-1</v>
      </c>
      <c r="X43" s="36">
        <f t="shared" si="16"/>
        <v>1</v>
      </c>
      <c r="Y43" s="2">
        <f t="shared" si="17"/>
        <v>1</v>
      </c>
      <c r="Z43" s="2" t="str">
        <f t="shared" si="18"/>
        <v>S</v>
      </c>
      <c r="AA43" s="2">
        <f t="shared" si="19"/>
        <v>95</v>
      </c>
      <c r="AB43" s="1">
        <f t="shared" si="20"/>
        <v>0</v>
      </c>
      <c r="AC43" s="37">
        <f t="shared" si="21"/>
        <v>0</v>
      </c>
      <c r="AD43" s="38"/>
      <c r="AE43" s="37">
        <f t="shared" si="28"/>
        <v>0</v>
      </c>
    </row>
    <row r="44" spans="1:31" ht="18">
      <c r="A44" s="23"/>
      <c r="B44" s="47" t="s">
        <v>23</v>
      </c>
      <c r="C44" s="3">
        <v>1</v>
      </c>
      <c r="D44" s="25">
        <v>0</v>
      </c>
      <c r="E44" s="3" t="s">
        <v>25</v>
      </c>
      <c r="F44" s="130">
        <v>95</v>
      </c>
      <c r="G44" s="42">
        <v>0</v>
      </c>
      <c r="H44" s="48" t="s">
        <v>22</v>
      </c>
      <c r="I44" s="27">
        <f t="shared" si="27"/>
      </c>
      <c r="J44" s="28">
        <f t="shared" si="23"/>
        <v>29.99999999999126</v>
      </c>
      <c r="K44" s="29">
        <v>9.5</v>
      </c>
      <c r="L44" s="30">
        <f t="shared" si="7"/>
        <v>3.157894736841185</v>
      </c>
      <c r="M44" s="31">
        <f t="shared" si="30"/>
        <v>1</v>
      </c>
      <c r="N44" s="43">
        <f t="shared" si="31"/>
        <v>36266.05186465079</v>
      </c>
      <c r="O44" s="33">
        <f>N44+M44/24</f>
        <v>36266.093531317456</v>
      </c>
      <c r="P44" s="44">
        <f t="shared" si="10"/>
        <v>562.244751619992</v>
      </c>
      <c r="Q44" s="44">
        <f t="shared" si="24"/>
        <v>23.426864650833</v>
      </c>
      <c r="R44" s="2">
        <f t="shared" si="11"/>
        <v>0</v>
      </c>
      <c r="S44" s="2">
        <f t="shared" si="12"/>
        <v>0</v>
      </c>
      <c r="T44" s="2">
        <f t="shared" si="13"/>
        <v>0</v>
      </c>
      <c r="U44" s="2">
        <f t="shared" si="14"/>
        <v>0</v>
      </c>
      <c r="V44" s="2">
        <f t="shared" si="22"/>
        <v>0</v>
      </c>
      <c r="W44" s="35">
        <f t="shared" si="15"/>
        <v>-1</v>
      </c>
      <c r="X44" s="36">
        <f t="shared" si="16"/>
        <v>1</v>
      </c>
      <c r="Y44" s="2">
        <f t="shared" si="17"/>
        <v>1</v>
      </c>
      <c r="Z44" s="2" t="str">
        <f t="shared" si="18"/>
        <v>S</v>
      </c>
      <c r="AA44" s="2">
        <f t="shared" si="19"/>
        <v>95</v>
      </c>
      <c r="AB44" s="1">
        <f t="shared" si="20"/>
        <v>0</v>
      </c>
      <c r="AC44" s="37">
        <f t="shared" si="21"/>
        <v>0</v>
      </c>
      <c r="AD44" s="38"/>
      <c r="AE44" s="37">
        <f t="shared" si="28"/>
        <v>0</v>
      </c>
    </row>
    <row r="45" spans="1:31" ht="18">
      <c r="A45" s="23"/>
      <c r="B45" s="47" t="s">
        <v>23</v>
      </c>
      <c r="C45" s="3">
        <v>0</v>
      </c>
      <c r="D45" s="25">
        <v>30</v>
      </c>
      <c r="E45" s="3" t="s">
        <v>25</v>
      </c>
      <c r="F45" s="130">
        <v>95</v>
      </c>
      <c r="G45" s="42">
        <v>0</v>
      </c>
      <c r="H45" s="48" t="s">
        <v>22</v>
      </c>
      <c r="I45" s="27">
        <f t="shared" si="27"/>
      </c>
      <c r="J45" s="28">
        <f>180/PI()*60*ACOS((SIN(PI()/180*W44*(C44+D44/60))*SIN(PI()/180*W45*(C45+D45/60)))+(COS(PI()/180*W44*(C44+D44/60))*COS(PI()/180*W45*(C45+D45/60))*COS(PI()/180*(X45*(F45+G45/60)-X44*(F44+G44/60)))))</f>
        <v>29.99999999999126</v>
      </c>
      <c r="K45" s="29">
        <v>9.5</v>
      </c>
      <c r="L45" s="30">
        <f>J45/K45</f>
        <v>3.157894736841185</v>
      </c>
      <c r="M45" s="31">
        <f t="shared" si="30"/>
        <v>1</v>
      </c>
      <c r="N45" s="43">
        <f>O44+L45/24</f>
        <v>36266.22511026482</v>
      </c>
      <c r="O45" s="33">
        <f>N45+M45/24</f>
        <v>36266.26677693149</v>
      </c>
      <c r="P45" s="44">
        <f>P44+L45+M45</f>
        <v>566.4026463568332</v>
      </c>
      <c r="Q45" s="44">
        <f t="shared" si="24"/>
        <v>23.60011026486805</v>
      </c>
      <c r="R45" s="2">
        <f t="shared" si="11"/>
        <v>0</v>
      </c>
      <c r="S45" s="2">
        <f t="shared" si="12"/>
        <v>0</v>
      </c>
      <c r="T45" s="2">
        <f t="shared" si="13"/>
        <v>0</v>
      </c>
      <c r="U45" s="2">
        <f t="shared" si="14"/>
        <v>0</v>
      </c>
      <c r="V45" s="2">
        <f t="shared" si="22"/>
        <v>0</v>
      </c>
      <c r="W45" s="35">
        <f t="shared" si="15"/>
        <v>-1</v>
      </c>
      <c r="X45" s="36">
        <f t="shared" si="16"/>
        <v>1</v>
      </c>
      <c r="Y45" s="2">
        <f t="shared" si="17"/>
        <v>0</v>
      </c>
      <c r="Z45" s="2" t="str">
        <f t="shared" si="18"/>
        <v>S</v>
      </c>
      <c r="AA45" s="2">
        <f t="shared" si="19"/>
        <v>95</v>
      </c>
      <c r="AB45" s="1">
        <f t="shared" si="20"/>
        <v>0</v>
      </c>
      <c r="AC45" s="37">
        <f t="shared" si="21"/>
        <v>0</v>
      </c>
      <c r="AD45" s="38"/>
      <c r="AE45" s="37">
        <f t="shared" si="28"/>
        <v>0</v>
      </c>
    </row>
    <row r="46" spans="1:31" ht="18">
      <c r="A46" s="49" t="s">
        <v>48</v>
      </c>
      <c r="B46" s="50" t="s">
        <v>64</v>
      </c>
      <c r="C46" s="51">
        <v>0</v>
      </c>
      <c r="D46" s="52">
        <v>0</v>
      </c>
      <c r="E46" s="53"/>
      <c r="F46" s="54">
        <v>95</v>
      </c>
      <c r="G46" s="52">
        <v>0</v>
      </c>
      <c r="H46" s="55" t="s">
        <v>22</v>
      </c>
      <c r="I46" s="27">
        <f>IF(R46=1,AE46,IF(S46=1,AE46,IF(T46=1,AE46,IF(U46=1,AE46,IF(V46=1,AE46,"")))))</f>
        <v>5.816339537011579</v>
      </c>
      <c r="J46" s="67">
        <f>180/PI()*60*ACOS((SIN(PI()/180*W45*(C45+D45/60))*SIN(PI()/180*W46*(C46+D46/60)))+(COS(PI()/180*W45*(C45+D45/60))*COS(PI()/180*W46*(C46+D46/60))*COS(PI()/180*(X46*(F46+G46/60)-X45*(F45+G45/60)))))</f>
        <v>29.99999999999126</v>
      </c>
      <c r="K46" s="56">
        <v>9.5</v>
      </c>
      <c r="L46" s="69">
        <f t="shared" si="7"/>
        <v>3.157894736841185</v>
      </c>
      <c r="M46" s="57">
        <f t="shared" si="30"/>
        <v>6</v>
      </c>
      <c r="N46" s="58">
        <f t="shared" si="31"/>
        <v>36266.39835587885</v>
      </c>
      <c r="O46" s="70">
        <f t="shared" si="9"/>
        <v>36266.64835587885</v>
      </c>
      <c r="P46" s="44">
        <f t="shared" si="10"/>
        <v>575.5605410936744</v>
      </c>
      <c r="Q46" s="44">
        <f t="shared" si="24"/>
        <v>23.981689212236432</v>
      </c>
      <c r="R46" s="2">
        <f t="shared" si="11"/>
        <v>0</v>
      </c>
      <c r="S46" s="2">
        <f t="shared" si="12"/>
        <v>0</v>
      </c>
      <c r="T46" s="136">
        <f t="shared" si="13"/>
        <v>1</v>
      </c>
      <c r="U46" s="2">
        <f t="shared" si="14"/>
        <v>0</v>
      </c>
      <c r="V46" s="2">
        <f t="shared" si="22"/>
        <v>0</v>
      </c>
      <c r="W46" s="35">
        <f t="shared" si="15"/>
        <v>-1</v>
      </c>
      <c r="X46" s="36">
        <f t="shared" si="16"/>
        <v>1</v>
      </c>
      <c r="Y46" s="136">
        <f t="shared" si="17"/>
        <v>0</v>
      </c>
      <c r="Z46" s="136">
        <f t="shared" si="18"/>
        <v>0</v>
      </c>
      <c r="AA46" s="136">
        <f t="shared" si="19"/>
        <v>95</v>
      </c>
      <c r="AB46" s="135">
        <f t="shared" si="20"/>
        <v>0</v>
      </c>
      <c r="AC46" s="37">
        <f t="shared" si="21"/>
        <v>36266.39835587885</v>
      </c>
      <c r="AD46" s="45">
        <v>36089</v>
      </c>
      <c r="AE46" s="46">
        <f t="shared" si="28"/>
        <v>5.816339537011579</v>
      </c>
    </row>
    <row r="47" spans="1:31" ht="18">
      <c r="A47" s="39"/>
      <c r="B47" s="40" t="s">
        <v>23</v>
      </c>
      <c r="C47" s="3">
        <v>0</v>
      </c>
      <c r="D47" s="25">
        <v>30</v>
      </c>
      <c r="E47" s="3" t="s">
        <v>21</v>
      </c>
      <c r="F47" s="130">
        <v>95</v>
      </c>
      <c r="G47" s="42">
        <v>0</v>
      </c>
      <c r="H47" s="48" t="s">
        <v>22</v>
      </c>
      <c r="I47" s="27">
        <f t="shared" si="27"/>
      </c>
      <c r="J47" s="28">
        <f>180/PI()*60*ACOS((SIN(PI()/180*W46*(C46+D46/60))*SIN(PI()/180*W47*(C47+D47/60)))+(COS(PI()/180*W46*(C46+D46/60))*COS(PI()/180*W47*(C47+D47/60))*COS(PI()/180*(X47*(F47+G47/60)-X46*(F46+G46/60)))))</f>
        <v>29.99999999999126</v>
      </c>
      <c r="K47" s="29">
        <v>9.5</v>
      </c>
      <c r="L47" s="30">
        <f>J47/K47</f>
        <v>3.157894736841185</v>
      </c>
      <c r="M47" s="31">
        <f t="shared" si="30"/>
        <v>1</v>
      </c>
      <c r="N47" s="43">
        <f t="shared" si="31"/>
        <v>36266.77993482622</v>
      </c>
      <c r="O47" s="33">
        <f>N47+M47/24</f>
        <v>36266.821601492884</v>
      </c>
      <c r="P47" s="44">
        <f>P46+L47+M47</f>
        <v>579.7184358305155</v>
      </c>
      <c r="Q47" s="44">
        <f t="shared" si="24"/>
        <v>24.154934826271482</v>
      </c>
      <c r="R47" s="2">
        <f>IF(A47="R",1,0)</f>
        <v>0</v>
      </c>
      <c r="S47" s="2">
        <f>IF(A47="V",1,0)</f>
        <v>0</v>
      </c>
      <c r="T47" s="2">
        <f>IF(A47="R E",1,0)</f>
        <v>0</v>
      </c>
      <c r="U47" s="2">
        <f>IF(A47="S",1,0)</f>
        <v>0</v>
      </c>
      <c r="V47" s="2">
        <f>IF(A47="D",1,0)</f>
        <v>0</v>
      </c>
      <c r="W47" s="35">
        <f>IF(E47="N",1,-1)</f>
        <v>1</v>
      </c>
      <c r="X47" s="36">
        <f>IF(H47="W",1,-1)</f>
        <v>1</v>
      </c>
      <c r="Y47" s="136">
        <f>C47</f>
        <v>0</v>
      </c>
      <c r="Z47" s="136" t="str">
        <f>E47</f>
        <v>N</v>
      </c>
      <c r="AA47" s="136">
        <f>F47</f>
        <v>95</v>
      </c>
      <c r="AB47" s="135">
        <f>IF(R47=1,"R",IF(S47=1,"V",0))</f>
        <v>0</v>
      </c>
      <c r="AC47" s="37">
        <f>IF(R47=1,N47,IF(S47=1,N47,IF(T47=1,N47,IF(U47=1,N47,IF(V47=1,N47,0)))))</f>
        <v>0</v>
      </c>
      <c r="AD47" s="112"/>
      <c r="AE47" s="37">
        <f t="shared" si="28"/>
        <v>0</v>
      </c>
    </row>
    <row r="48" spans="1:31" ht="18">
      <c r="A48" s="23"/>
      <c r="B48" s="47" t="s">
        <v>23</v>
      </c>
      <c r="C48" s="3">
        <v>1</v>
      </c>
      <c r="D48" s="25">
        <v>0</v>
      </c>
      <c r="E48" s="3" t="s">
        <v>21</v>
      </c>
      <c r="F48" s="130">
        <v>95</v>
      </c>
      <c r="G48" s="42">
        <v>0</v>
      </c>
      <c r="H48" s="48" t="s">
        <v>22</v>
      </c>
      <c r="I48" s="27">
        <f t="shared" si="27"/>
      </c>
      <c r="J48" s="28">
        <f>180/PI()*60*ACOS((SIN(PI()/180*W47*(C47+D47/60))*SIN(PI()/180*W48*(C48+D48/60)))+(COS(PI()/180*W47*(C47+D47/60))*COS(PI()/180*W48*(C48+D48/60))*COS(PI()/180*(X48*(F48+G48/60)-X47*(F47+G47/60)))))</f>
        <v>29.99999999999126</v>
      </c>
      <c r="K48" s="29">
        <v>9.5</v>
      </c>
      <c r="L48" s="30">
        <f>J48/K48</f>
        <v>3.157894736841185</v>
      </c>
      <c r="M48" s="31">
        <f t="shared" si="30"/>
        <v>1</v>
      </c>
      <c r="N48" s="43">
        <f t="shared" si="31"/>
        <v>36266.95318044025</v>
      </c>
      <c r="O48" s="33">
        <f>N48+M48/24</f>
        <v>36266.994847106915</v>
      </c>
      <c r="P48" s="44">
        <f>P47+L48+M48</f>
        <v>583.8763305673567</v>
      </c>
      <c r="Q48" s="44">
        <f t="shared" si="24"/>
        <v>24.32818044030653</v>
      </c>
      <c r="R48" s="2">
        <f>IF(A48="R",1,0)</f>
        <v>0</v>
      </c>
      <c r="S48" s="2">
        <f>IF(A48="V",1,0)</f>
        <v>0</v>
      </c>
      <c r="T48" s="2">
        <f>IF(A48="R E",1,0)</f>
        <v>0</v>
      </c>
      <c r="U48" s="2">
        <f>IF(A48="S",1,0)</f>
        <v>0</v>
      </c>
      <c r="V48" s="2">
        <f>IF(A48="D",1,0)</f>
        <v>0</v>
      </c>
      <c r="W48" s="35">
        <f>IF(E48="N",1,-1)</f>
        <v>1</v>
      </c>
      <c r="X48" s="36">
        <f>IF(H48="W",1,-1)</f>
        <v>1</v>
      </c>
      <c r="Y48" s="2">
        <f>C48</f>
        <v>1</v>
      </c>
      <c r="Z48" s="2" t="str">
        <f>E48</f>
        <v>N</v>
      </c>
      <c r="AA48" s="2">
        <f>F48</f>
        <v>95</v>
      </c>
      <c r="AB48" s="1">
        <f>IF(R48=1,"R",IF(S48=1,"V",0))</f>
        <v>0</v>
      </c>
      <c r="AC48" s="37">
        <f>IF(R48=1,N48,IF(S48=1,N48,IF(T48=1,N48,IF(U48=1,N48,IF(V48=1,N48,0)))))</f>
        <v>0</v>
      </c>
      <c r="AD48" s="38"/>
      <c r="AE48" s="37">
        <f t="shared" si="28"/>
        <v>0</v>
      </c>
    </row>
    <row r="49" spans="1:31" ht="18">
      <c r="A49" s="23"/>
      <c r="B49" s="47" t="s">
        <v>23</v>
      </c>
      <c r="C49" s="3">
        <v>1</v>
      </c>
      <c r="D49" s="25">
        <v>30</v>
      </c>
      <c r="E49" s="3" t="s">
        <v>21</v>
      </c>
      <c r="F49" s="130">
        <v>95</v>
      </c>
      <c r="G49" s="42">
        <v>0</v>
      </c>
      <c r="H49" s="48" t="s">
        <v>22</v>
      </c>
      <c r="I49" s="27">
        <f t="shared" si="27"/>
      </c>
      <c r="J49" s="28">
        <f t="shared" si="23"/>
        <v>29.99999999999126</v>
      </c>
      <c r="K49" s="29">
        <v>9.5</v>
      </c>
      <c r="L49" s="30">
        <f t="shared" si="7"/>
        <v>3.157894736841185</v>
      </c>
      <c r="M49" s="31">
        <f t="shared" si="30"/>
        <v>1</v>
      </c>
      <c r="N49" s="43">
        <f t="shared" si="8"/>
        <v>36267.12642605428</v>
      </c>
      <c r="O49" s="33">
        <f t="shared" si="9"/>
        <v>36267.168092720945</v>
      </c>
      <c r="P49" s="44">
        <f t="shared" si="10"/>
        <v>588.0342253041979</v>
      </c>
      <c r="Q49" s="44">
        <f t="shared" si="24"/>
        <v>24.50142605434158</v>
      </c>
      <c r="R49" s="2">
        <f t="shared" si="11"/>
        <v>0</v>
      </c>
      <c r="S49" s="2">
        <f t="shared" si="12"/>
        <v>0</v>
      </c>
      <c r="T49" s="2">
        <f t="shared" si="13"/>
        <v>0</v>
      </c>
      <c r="U49" s="2">
        <f t="shared" si="14"/>
        <v>0</v>
      </c>
      <c r="V49" s="2">
        <f t="shared" si="22"/>
        <v>0</v>
      </c>
      <c r="W49" s="35">
        <f t="shared" si="15"/>
        <v>1</v>
      </c>
      <c r="X49" s="36">
        <f t="shared" si="16"/>
        <v>1</v>
      </c>
      <c r="Y49" s="2">
        <f t="shared" si="17"/>
        <v>1</v>
      </c>
      <c r="Z49" s="2" t="str">
        <f t="shared" si="18"/>
        <v>N</v>
      </c>
      <c r="AA49" s="2">
        <f t="shared" si="19"/>
        <v>95</v>
      </c>
      <c r="AB49" s="1">
        <f t="shared" si="20"/>
        <v>0</v>
      </c>
      <c r="AC49" s="37">
        <f t="shared" si="21"/>
        <v>0</v>
      </c>
      <c r="AD49" s="38"/>
      <c r="AE49" s="37">
        <f t="shared" si="28"/>
        <v>0</v>
      </c>
    </row>
    <row r="50" spans="1:31" ht="18">
      <c r="A50" s="49" t="s">
        <v>24</v>
      </c>
      <c r="B50" s="50" t="s">
        <v>73</v>
      </c>
      <c r="C50" s="61">
        <v>2</v>
      </c>
      <c r="D50" s="62">
        <v>0</v>
      </c>
      <c r="E50" s="61" t="s">
        <v>21</v>
      </c>
      <c r="F50" s="54">
        <v>95</v>
      </c>
      <c r="G50" s="52">
        <v>0</v>
      </c>
      <c r="H50" s="66" t="s">
        <v>22</v>
      </c>
      <c r="I50" s="27">
        <f>IF(R50=1,AE50,IF(S50=1,AE50,IF(T50=1,AE50,IF(U50=1,AE50,IF(V50=1,AE50,"")))))</f>
        <v>5.845890874370883</v>
      </c>
      <c r="J50" s="67">
        <f>180/PI()*60*ACOS((SIN(PI()/180*W49*(C49+D49/60))*SIN(PI()/180*W50*(C50+D50/60)))+(COS(PI()/180*W49*(C49+D49/60))*COS(PI()/180*W50*(C50+D50/60))*COS(PI()/180*(X50*(F50+G50/60)-X49*(F49+G49/60)))))</f>
        <v>29.99999999999126</v>
      </c>
      <c r="K50" s="56">
        <v>9.5</v>
      </c>
      <c r="L50" s="69">
        <f t="shared" si="7"/>
        <v>3.157894736841185</v>
      </c>
      <c r="M50" s="57">
        <f>IF(R50=1,10,IF(S50=1,4,IF(T50=1,6,IF(U50=1,8,IF(V50=1,5,1)))))+2</f>
        <v>12</v>
      </c>
      <c r="N50" s="58">
        <f t="shared" si="8"/>
        <v>36267.29967166831</v>
      </c>
      <c r="O50" s="70">
        <f t="shared" si="9"/>
        <v>36267.79967166831</v>
      </c>
      <c r="P50" s="44">
        <f t="shared" si="10"/>
        <v>603.1921200410391</v>
      </c>
      <c r="Q50" s="44">
        <f t="shared" si="24"/>
        <v>25.13300500170996</v>
      </c>
      <c r="R50" s="2">
        <f t="shared" si="11"/>
        <v>1</v>
      </c>
      <c r="S50" s="2">
        <f t="shared" si="12"/>
        <v>0</v>
      </c>
      <c r="T50" s="2">
        <f t="shared" si="13"/>
        <v>0</v>
      </c>
      <c r="U50" s="2">
        <f t="shared" si="14"/>
        <v>0</v>
      </c>
      <c r="V50" s="68">
        <f t="shared" si="22"/>
        <v>0</v>
      </c>
      <c r="W50" s="35">
        <f t="shared" si="15"/>
        <v>1</v>
      </c>
      <c r="X50" s="36">
        <f t="shared" si="16"/>
        <v>1</v>
      </c>
      <c r="Y50" s="136">
        <f t="shared" si="17"/>
        <v>2</v>
      </c>
      <c r="Z50" s="136" t="str">
        <f t="shared" si="18"/>
        <v>N</v>
      </c>
      <c r="AA50" s="136">
        <f t="shared" si="19"/>
        <v>95</v>
      </c>
      <c r="AB50" s="135" t="str">
        <f t="shared" si="20"/>
        <v>R</v>
      </c>
      <c r="AC50" s="37">
        <f t="shared" si="21"/>
        <v>36267.29967166831</v>
      </c>
      <c r="AD50" s="45">
        <v>36089</v>
      </c>
      <c r="AE50" s="46">
        <f t="shared" si="28"/>
        <v>5.845890874370883</v>
      </c>
    </row>
    <row r="51" spans="1:31" s="129" customFormat="1" ht="18">
      <c r="A51" s="39"/>
      <c r="B51" s="40" t="s">
        <v>23</v>
      </c>
      <c r="C51" s="41">
        <v>2</v>
      </c>
      <c r="D51" s="42">
        <v>30</v>
      </c>
      <c r="E51" s="110" t="s">
        <v>21</v>
      </c>
      <c r="F51" s="130">
        <v>95</v>
      </c>
      <c r="G51" s="42">
        <v>0</v>
      </c>
      <c r="H51" s="111" t="s">
        <v>22</v>
      </c>
      <c r="I51" s="27">
        <f aca="true" t="shared" si="32" ref="I51:I63">IF(R51=1,AE51,IF(S51=1,AE51,IF(T51=1,AE51,IF(U51=1,AE51,IF(V51=1,AE51,"")))))</f>
      </c>
      <c r="J51" s="28">
        <f t="shared" si="23"/>
        <v>29.99999999994775</v>
      </c>
      <c r="K51" s="29">
        <v>9.5</v>
      </c>
      <c r="L51" s="30">
        <f t="shared" si="7"/>
        <v>3.1578947368366053</v>
      </c>
      <c r="M51" s="31">
        <f>IF(R51=1,10,IF(S51=1,4,IF(T51=1,6,IF(U51=1,8,IF(V51=1,5,1)))))</f>
        <v>1</v>
      </c>
      <c r="N51" s="43">
        <f t="shared" si="8"/>
        <v>36267.93125061568</v>
      </c>
      <c r="O51" s="33">
        <f t="shared" si="9"/>
        <v>36267.97291728234</v>
      </c>
      <c r="P51" s="44">
        <f t="shared" si="10"/>
        <v>607.3500147778757</v>
      </c>
      <c r="Q51" s="44">
        <f t="shared" si="24"/>
        <v>25.30625061574482</v>
      </c>
      <c r="R51" s="2">
        <f t="shared" si="11"/>
        <v>0</v>
      </c>
      <c r="S51" s="2">
        <f t="shared" si="12"/>
        <v>0</v>
      </c>
      <c r="T51" s="2">
        <f t="shared" si="13"/>
        <v>0</v>
      </c>
      <c r="U51" s="2">
        <f t="shared" si="14"/>
        <v>0</v>
      </c>
      <c r="V51" s="2">
        <f t="shared" si="22"/>
        <v>0</v>
      </c>
      <c r="W51" s="35">
        <f t="shared" si="15"/>
        <v>1</v>
      </c>
      <c r="X51" s="36">
        <f t="shared" si="16"/>
        <v>1</v>
      </c>
      <c r="Y51" s="2">
        <f t="shared" si="17"/>
        <v>2</v>
      </c>
      <c r="Z51" s="2" t="str">
        <f t="shared" si="18"/>
        <v>N</v>
      </c>
      <c r="AA51" s="2">
        <f t="shared" si="19"/>
        <v>95</v>
      </c>
      <c r="AB51" s="1">
        <f t="shared" si="20"/>
        <v>0</v>
      </c>
      <c r="AC51" s="37">
        <f t="shared" si="21"/>
        <v>0</v>
      </c>
      <c r="AD51" s="45"/>
      <c r="AE51" s="37">
        <f t="shared" si="28"/>
        <v>0</v>
      </c>
    </row>
    <row r="52" spans="1:31" ht="18">
      <c r="A52" s="23"/>
      <c r="B52" s="47" t="s">
        <v>23</v>
      </c>
      <c r="C52" s="3">
        <v>3</v>
      </c>
      <c r="D52" s="25">
        <v>0</v>
      </c>
      <c r="E52" s="64" t="s">
        <v>21</v>
      </c>
      <c r="F52" s="130">
        <v>95</v>
      </c>
      <c r="G52" s="25">
        <v>0</v>
      </c>
      <c r="H52" s="65" t="s">
        <v>22</v>
      </c>
      <c r="I52" s="27">
        <f t="shared" si="32"/>
      </c>
      <c r="J52" s="28">
        <f t="shared" si="23"/>
        <v>29.99999999999126</v>
      </c>
      <c r="K52" s="29">
        <v>9.5</v>
      </c>
      <c r="L52" s="30">
        <f t="shared" si="7"/>
        <v>3.157894736841185</v>
      </c>
      <c r="M52" s="31">
        <f>IF(R52=1,10,IF(S52=1,4,IF(T52=1,6,IF(U52=1,8,IF(V52=1,5,1)))))</f>
        <v>1</v>
      </c>
      <c r="N52" s="43">
        <f t="shared" si="8"/>
        <v>36268.10449622971</v>
      </c>
      <c r="O52" s="33">
        <f t="shared" si="9"/>
        <v>36268.14616289637</v>
      </c>
      <c r="P52" s="44">
        <f t="shared" si="10"/>
        <v>611.5079095147169</v>
      </c>
      <c r="Q52" s="44">
        <f t="shared" si="24"/>
        <v>25.47949622977987</v>
      </c>
      <c r="R52" s="2">
        <f t="shared" si="11"/>
        <v>0</v>
      </c>
      <c r="S52" s="2">
        <f t="shared" si="12"/>
        <v>0</v>
      </c>
      <c r="T52" s="2">
        <f t="shared" si="13"/>
        <v>0</v>
      </c>
      <c r="U52" s="2">
        <f t="shared" si="14"/>
        <v>0</v>
      </c>
      <c r="V52" s="2">
        <f t="shared" si="22"/>
        <v>0</v>
      </c>
      <c r="W52" s="35">
        <f t="shared" si="15"/>
        <v>1</v>
      </c>
      <c r="X52" s="36">
        <f t="shared" si="16"/>
        <v>1</v>
      </c>
      <c r="Y52" s="2">
        <f t="shared" si="17"/>
        <v>3</v>
      </c>
      <c r="Z52" s="2" t="str">
        <f t="shared" si="18"/>
        <v>N</v>
      </c>
      <c r="AA52" s="2">
        <f t="shared" si="19"/>
        <v>95</v>
      </c>
      <c r="AB52" s="1">
        <f t="shared" si="20"/>
        <v>0</v>
      </c>
      <c r="AC52" s="37">
        <f t="shared" si="21"/>
        <v>0</v>
      </c>
      <c r="AD52" s="38"/>
      <c r="AE52" s="37">
        <f t="shared" si="28"/>
        <v>0</v>
      </c>
    </row>
    <row r="53" spans="1:31" ht="18">
      <c r="A53" s="160" t="s">
        <v>59</v>
      </c>
      <c r="B53" s="161" t="s">
        <v>65</v>
      </c>
      <c r="C53" s="162">
        <v>3</v>
      </c>
      <c r="D53" s="163">
        <v>30</v>
      </c>
      <c r="E53" s="172" t="s">
        <v>21</v>
      </c>
      <c r="F53" s="164">
        <v>95</v>
      </c>
      <c r="G53" s="163">
        <v>0</v>
      </c>
      <c r="H53" s="166" t="s">
        <v>22</v>
      </c>
      <c r="I53" s="173">
        <f t="shared" si="32"/>
        <v>5.87795874897508</v>
      </c>
      <c r="J53" s="174">
        <f t="shared" si="23"/>
        <v>30.000000000035534</v>
      </c>
      <c r="K53" s="175">
        <v>9.5</v>
      </c>
      <c r="L53" s="176">
        <f t="shared" si="7"/>
        <v>3.157894736845846</v>
      </c>
      <c r="M53" s="57">
        <f>IF(R53=1,10,IF(S53=1,4,IF(T53=1,6,IF(U53=1,8,IF(V53=1,5,1)))))</f>
        <v>4</v>
      </c>
      <c r="N53" s="170">
        <f t="shared" si="8"/>
        <v>36268.27774184374</v>
      </c>
      <c r="O53" s="177">
        <f t="shared" si="9"/>
        <v>36268.444408510404</v>
      </c>
      <c r="P53" s="44">
        <f t="shared" si="10"/>
        <v>618.6658042515627</v>
      </c>
      <c r="Q53" s="44">
        <f t="shared" si="24"/>
        <v>25.77774184381511</v>
      </c>
      <c r="R53" s="2">
        <f t="shared" si="11"/>
        <v>0</v>
      </c>
      <c r="S53" s="136">
        <f t="shared" si="12"/>
        <v>1</v>
      </c>
      <c r="T53" s="2">
        <f t="shared" si="13"/>
        <v>0</v>
      </c>
      <c r="U53" s="2">
        <f t="shared" si="14"/>
        <v>0</v>
      </c>
      <c r="V53" s="2">
        <f t="shared" si="22"/>
        <v>0</v>
      </c>
      <c r="W53" s="35">
        <f t="shared" si="15"/>
        <v>1</v>
      </c>
      <c r="X53" s="36">
        <f t="shared" si="16"/>
        <v>1</v>
      </c>
      <c r="Y53" s="136">
        <f t="shared" si="17"/>
        <v>3</v>
      </c>
      <c r="Z53" s="136" t="str">
        <f t="shared" si="18"/>
        <v>N</v>
      </c>
      <c r="AA53" s="136">
        <f t="shared" si="19"/>
        <v>95</v>
      </c>
      <c r="AB53" s="135" t="str">
        <f t="shared" si="20"/>
        <v>V</v>
      </c>
      <c r="AC53" s="37">
        <f t="shared" si="21"/>
        <v>36268.27774184374</v>
      </c>
      <c r="AD53" s="45">
        <v>36089</v>
      </c>
      <c r="AE53" s="46">
        <f t="shared" si="28"/>
        <v>5.87795874897508</v>
      </c>
    </row>
    <row r="54" spans="1:31" ht="18">
      <c r="A54" s="39"/>
      <c r="B54" s="40" t="s">
        <v>23</v>
      </c>
      <c r="C54" s="41">
        <v>4</v>
      </c>
      <c r="D54" s="25">
        <v>0</v>
      </c>
      <c r="E54" s="3" t="s">
        <v>21</v>
      </c>
      <c r="F54" s="130">
        <v>95</v>
      </c>
      <c r="G54" s="42">
        <v>0</v>
      </c>
      <c r="H54" s="48" t="s">
        <v>22</v>
      </c>
      <c r="I54" s="27">
        <f t="shared" si="32"/>
      </c>
      <c r="J54" s="28">
        <f t="shared" si="23"/>
        <v>30.000000000035534</v>
      </c>
      <c r="K54" s="29">
        <v>9.5</v>
      </c>
      <c r="L54" s="30">
        <f t="shared" si="7"/>
        <v>3.157894736845846</v>
      </c>
      <c r="M54" s="31">
        <f>IF(R54=1,10,IF(S54=1,4,IF(T54=1,6,IF(U54=1,8,IF(V54=1,5,1)))))</f>
        <v>1</v>
      </c>
      <c r="N54" s="43">
        <f t="shared" si="8"/>
        <v>36268.57598745777</v>
      </c>
      <c r="O54" s="33">
        <f t="shared" si="9"/>
        <v>36268.617654124435</v>
      </c>
      <c r="P54" s="44">
        <f t="shared" si="10"/>
        <v>622.8236989884085</v>
      </c>
      <c r="Q54" s="44">
        <f t="shared" si="24"/>
        <v>25.950987457850356</v>
      </c>
      <c r="R54" s="2">
        <f t="shared" si="11"/>
        <v>0</v>
      </c>
      <c r="S54" s="2">
        <f t="shared" si="12"/>
        <v>0</v>
      </c>
      <c r="T54" s="2">
        <f t="shared" si="13"/>
        <v>0</v>
      </c>
      <c r="U54" s="2">
        <f t="shared" si="14"/>
        <v>0</v>
      </c>
      <c r="V54" s="2">
        <f t="shared" si="22"/>
        <v>0</v>
      </c>
      <c r="W54" s="35">
        <f t="shared" si="15"/>
        <v>1</v>
      </c>
      <c r="X54" s="36">
        <f t="shared" si="16"/>
        <v>1</v>
      </c>
      <c r="Y54" s="2">
        <f t="shared" si="17"/>
        <v>4</v>
      </c>
      <c r="Z54" s="2" t="str">
        <f t="shared" si="18"/>
        <v>N</v>
      </c>
      <c r="AA54" s="2">
        <f t="shared" si="19"/>
        <v>95</v>
      </c>
      <c r="AB54" s="1">
        <f t="shared" si="20"/>
        <v>0</v>
      </c>
      <c r="AC54" s="37">
        <f t="shared" si="21"/>
        <v>0</v>
      </c>
      <c r="AD54" s="112"/>
      <c r="AE54" s="37">
        <f t="shared" si="28"/>
        <v>0</v>
      </c>
    </row>
    <row r="55" spans="1:31" ht="18">
      <c r="A55" s="49" t="s">
        <v>24</v>
      </c>
      <c r="B55" s="50" t="s">
        <v>74</v>
      </c>
      <c r="C55" s="51">
        <v>5</v>
      </c>
      <c r="D55" s="62">
        <v>0</v>
      </c>
      <c r="E55" s="61" t="s">
        <v>21</v>
      </c>
      <c r="F55" s="54">
        <v>95</v>
      </c>
      <c r="G55" s="52">
        <v>0</v>
      </c>
      <c r="H55" s="66" t="s">
        <v>22</v>
      </c>
      <c r="I55" s="27">
        <f t="shared" si="32"/>
        <v>5.897731541612302</v>
      </c>
      <c r="J55" s="67">
        <f t="shared" si="23"/>
        <v>60.00000000001535</v>
      </c>
      <c r="K55" s="56">
        <v>9.5</v>
      </c>
      <c r="L55" s="69">
        <f t="shared" si="7"/>
        <v>6.315789473685826</v>
      </c>
      <c r="M55" s="57">
        <f>IF(R55=1,10,IF(S55=1,4,IF(T55=1,6,IF(U55=1,8,IF(V55=1,5,1)))))+11</f>
        <v>21</v>
      </c>
      <c r="N55" s="58">
        <f t="shared" si="8"/>
        <v>36268.880812019175</v>
      </c>
      <c r="O55" s="70">
        <f t="shared" si="9"/>
        <v>36269.755812019175</v>
      </c>
      <c r="P55" s="44">
        <f t="shared" si="10"/>
        <v>650.1394884620944</v>
      </c>
      <c r="Q55" s="44">
        <f t="shared" si="24"/>
        <v>27.089145352587266</v>
      </c>
      <c r="R55" s="136">
        <f t="shared" si="11"/>
        <v>1</v>
      </c>
      <c r="S55" s="2">
        <f t="shared" si="12"/>
        <v>0</v>
      </c>
      <c r="T55" s="2">
        <f t="shared" si="13"/>
        <v>0</v>
      </c>
      <c r="U55" s="2">
        <f t="shared" si="14"/>
        <v>0</v>
      </c>
      <c r="V55" s="2">
        <f t="shared" si="22"/>
        <v>0</v>
      </c>
      <c r="W55" s="35">
        <f t="shared" si="15"/>
        <v>1</v>
      </c>
      <c r="X55" s="36">
        <f t="shared" si="16"/>
        <v>1</v>
      </c>
      <c r="Y55" s="136">
        <f t="shared" si="17"/>
        <v>5</v>
      </c>
      <c r="Z55" s="136" t="str">
        <f t="shared" si="18"/>
        <v>N</v>
      </c>
      <c r="AA55" s="136">
        <f t="shared" si="19"/>
        <v>95</v>
      </c>
      <c r="AB55" s="135" t="str">
        <f t="shared" si="20"/>
        <v>R</v>
      </c>
      <c r="AC55" s="37">
        <f t="shared" si="21"/>
        <v>36268.880812019175</v>
      </c>
      <c r="AD55" s="45">
        <v>36089</v>
      </c>
      <c r="AE55" s="46">
        <f t="shared" si="28"/>
        <v>5.897731541612302</v>
      </c>
    </row>
    <row r="56" spans="1:31" ht="18">
      <c r="A56" s="39"/>
      <c r="B56" s="40" t="s">
        <v>23</v>
      </c>
      <c r="C56" s="41">
        <v>6</v>
      </c>
      <c r="D56" s="25">
        <v>0</v>
      </c>
      <c r="E56" s="3" t="s">
        <v>21</v>
      </c>
      <c r="F56" s="130">
        <v>95</v>
      </c>
      <c r="G56" s="42">
        <v>0</v>
      </c>
      <c r="H56" s="48" t="s">
        <v>22</v>
      </c>
      <c r="I56" s="27">
        <f t="shared" si="32"/>
      </c>
      <c r="J56" s="28">
        <f>180/PI()*60*ACOS((SIN(PI()/180*W55*(C55+D55/60))*SIN(PI()/180*W56*(C56+D56/60)))+(COS(PI()/180*W55*(C55+D55/60))*COS(PI()/180*W56*(C56+D56/60))*COS(PI()/180*(X56*(F56+G56/60)-X55*(F55+G55/60)))))</f>
        <v>60.00000000001535</v>
      </c>
      <c r="K56" s="29">
        <v>9.5</v>
      </c>
      <c r="L56" s="30">
        <f t="shared" si="7"/>
        <v>6.315789473685826</v>
      </c>
      <c r="M56" s="31">
        <f aca="true" t="shared" si="33" ref="M56:M62">IF(R56=1,10,IF(S56=1,4,IF(T56=1,6,IF(U56=1,8,IF(V56=1,5,1)))))</f>
        <v>1</v>
      </c>
      <c r="N56" s="43">
        <f t="shared" si="8"/>
        <v>36270.018969913915</v>
      </c>
      <c r="O56" s="33">
        <f t="shared" si="9"/>
        <v>36270.06063658058</v>
      </c>
      <c r="P56" s="44">
        <f t="shared" si="10"/>
        <v>657.4552779357803</v>
      </c>
      <c r="Q56" s="44">
        <f t="shared" si="24"/>
        <v>27.393969913990844</v>
      </c>
      <c r="R56" s="2">
        <f t="shared" si="11"/>
        <v>0</v>
      </c>
      <c r="S56" s="2">
        <f t="shared" si="12"/>
        <v>0</v>
      </c>
      <c r="T56" s="2">
        <f t="shared" si="13"/>
        <v>0</v>
      </c>
      <c r="U56" s="2">
        <f t="shared" si="14"/>
        <v>0</v>
      </c>
      <c r="V56" s="2">
        <f t="shared" si="22"/>
        <v>0</v>
      </c>
      <c r="W56" s="35">
        <f t="shared" si="15"/>
        <v>1</v>
      </c>
      <c r="X56" s="36">
        <f t="shared" si="16"/>
        <v>1</v>
      </c>
      <c r="Y56" s="2">
        <f t="shared" si="17"/>
        <v>6</v>
      </c>
      <c r="Z56" s="2" t="str">
        <f t="shared" si="18"/>
        <v>N</v>
      </c>
      <c r="AA56" s="2">
        <f t="shared" si="19"/>
        <v>95</v>
      </c>
      <c r="AB56" s="1">
        <f t="shared" si="20"/>
        <v>0</v>
      </c>
      <c r="AC56" s="37">
        <f t="shared" si="21"/>
        <v>0</v>
      </c>
      <c r="AD56" s="112"/>
      <c r="AE56" s="37">
        <f t="shared" si="28"/>
        <v>0</v>
      </c>
    </row>
    <row r="57" spans="1:31" ht="18">
      <c r="A57" s="39"/>
      <c r="B57" s="40" t="s">
        <v>23</v>
      </c>
      <c r="C57" s="41">
        <v>7</v>
      </c>
      <c r="D57" s="25">
        <v>0</v>
      </c>
      <c r="E57" s="3" t="s">
        <v>21</v>
      </c>
      <c r="F57" s="130">
        <v>95</v>
      </c>
      <c r="G57" s="42">
        <v>0</v>
      </c>
      <c r="H57" s="48" t="s">
        <v>22</v>
      </c>
      <c r="I57" s="27">
        <f t="shared" si="32"/>
      </c>
      <c r="J57" s="28">
        <f t="shared" si="23"/>
        <v>60.00000000003748</v>
      </c>
      <c r="K57" s="29">
        <v>9.5</v>
      </c>
      <c r="L57" s="30">
        <f t="shared" si="7"/>
        <v>6.315789473688156</v>
      </c>
      <c r="M57" s="31">
        <f t="shared" si="33"/>
        <v>1</v>
      </c>
      <c r="N57" s="43">
        <f t="shared" si="8"/>
        <v>36270.32379447532</v>
      </c>
      <c r="O57" s="33">
        <f t="shared" si="9"/>
        <v>36270.365461141984</v>
      </c>
      <c r="P57" s="44">
        <f t="shared" si="10"/>
        <v>664.7710674094684</v>
      </c>
      <c r="Q57" s="44">
        <f t="shared" si="24"/>
        <v>27.698794475394518</v>
      </c>
      <c r="R57" s="2">
        <f t="shared" si="11"/>
        <v>0</v>
      </c>
      <c r="S57" s="2">
        <f t="shared" si="12"/>
        <v>0</v>
      </c>
      <c r="T57" s="2">
        <f t="shared" si="13"/>
        <v>0</v>
      </c>
      <c r="U57" s="2">
        <f t="shared" si="14"/>
        <v>0</v>
      </c>
      <c r="V57" s="2">
        <f t="shared" si="22"/>
        <v>0</v>
      </c>
      <c r="W57" s="35">
        <f t="shared" si="15"/>
        <v>1</v>
      </c>
      <c r="X57" s="36">
        <f t="shared" si="16"/>
        <v>1</v>
      </c>
      <c r="Y57" s="2">
        <f t="shared" si="17"/>
        <v>7</v>
      </c>
      <c r="Z57" s="2" t="str">
        <f t="shared" si="18"/>
        <v>N</v>
      </c>
      <c r="AA57" s="2">
        <f t="shared" si="19"/>
        <v>95</v>
      </c>
      <c r="AB57" s="1">
        <f t="shared" si="20"/>
        <v>0</v>
      </c>
      <c r="AC57" s="37">
        <f t="shared" si="21"/>
        <v>0</v>
      </c>
      <c r="AD57" s="112"/>
      <c r="AE57" s="37">
        <f t="shared" si="28"/>
        <v>0</v>
      </c>
    </row>
    <row r="58" spans="1:31" ht="18">
      <c r="A58" s="49" t="s">
        <v>24</v>
      </c>
      <c r="B58" s="50" t="s">
        <v>75</v>
      </c>
      <c r="C58" s="51">
        <v>8</v>
      </c>
      <c r="D58" s="52">
        <v>0</v>
      </c>
      <c r="E58" s="53" t="s">
        <v>21</v>
      </c>
      <c r="F58" s="54">
        <v>95</v>
      </c>
      <c r="G58" s="52">
        <v>0</v>
      </c>
      <c r="H58" s="55" t="s">
        <v>22</v>
      </c>
      <c r="I58" s="27">
        <f t="shared" si="32"/>
        <v>5.955036689728674</v>
      </c>
      <c r="J58" s="67">
        <f aca="true" t="shared" si="34" ref="J58:J63">180/PI()*60*ACOS((SIN(PI()/180*W57*(C57+D57/60))*SIN(PI()/180*W58*(C58+D58/60)))+(COS(PI()/180*W57*(C57+D57/60))*COS(PI()/180*W58*(C58+D58/60))*COS(PI()/180*(X58*(F58+G58/60)-X57*(F57+G57/60)))))</f>
        <v>60.00000000001535</v>
      </c>
      <c r="K58" s="56">
        <v>9.5</v>
      </c>
      <c r="L58" s="69">
        <f t="shared" si="7"/>
        <v>6.315789473685826</v>
      </c>
      <c r="M58" s="57">
        <f t="shared" si="33"/>
        <v>10</v>
      </c>
      <c r="N58" s="58">
        <f t="shared" si="8"/>
        <v>36270.628619036725</v>
      </c>
      <c r="O58" s="70">
        <f t="shared" si="9"/>
        <v>36271.04528570339</v>
      </c>
      <c r="P58" s="44">
        <f t="shared" si="10"/>
        <v>681.0868568831543</v>
      </c>
      <c r="Q58" s="44">
        <f t="shared" si="24"/>
        <v>28.378619036798096</v>
      </c>
      <c r="R58" s="136">
        <f t="shared" si="11"/>
        <v>1</v>
      </c>
      <c r="S58" s="2">
        <f t="shared" si="12"/>
        <v>0</v>
      </c>
      <c r="T58" s="2">
        <f t="shared" si="13"/>
        <v>0</v>
      </c>
      <c r="U58" s="2">
        <f t="shared" si="14"/>
        <v>0</v>
      </c>
      <c r="V58" s="2">
        <f t="shared" si="22"/>
        <v>0</v>
      </c>
      <c r="W58" s="35">
        <f t="shared" si="15"/>
        <v>1</v>
      </c>
      <c r="X58" s="36">
        <f t="shared" si="16"/>
        <v>1</v>
      </c>
      <c r="Y58" s="136">
        <f t="shared" si="17"/>
        <v>8</v>
      </c>
      <c r="Z58" s="136" t="str">
        <f t="shared" si="18"/>
        <v>N</v>
      </c>
      <c r="AA58" s="136">
        <f t="shared" si="19"/>
        <v>95</v>
      </c>
      <c r="AB58" s="135" t="str">
        <f t="shared" si="20"/>
        <v>R</v>
      </c>
      <c r="AC58" s="37">
        <f t="shared" si="21"/>
        <v>36270.628619036725</v>
      </c>
      <c r="AD58" s="45">
        <v>36089</v>
      </c>
      <c r="AE58" s="46">
        <f t="shared" si="28"/>
        <v>5.955036689728674</v>
      </c>
    </row>
    <row r="59" spans="1:31" ht="18">
      <c r="A59" s="39"/>
      <c r="B59" s="40" t="s">
        <v>23</v>
      </c>
      <c r="C59" s="41">
        <v>9</v>
      </c>
      <c r="D59" s="25">
        <v>0</v>
      </c>
      <c r="E59" s="3" t="s">
        <v>21</v>
      </c>
      <c r="F59" s="130">
        <v>95</v>
      </c>
      <c r="G59" s="42">
        <v>0</v>
      </c>
      <c r="H59" s="48" t="s">
        <v>22</v>
      </c>
      <c r="I59" s="27">
        <f t="shared" si="32"/>
      </c>
      <c r="J59" s="28">
        <f t="shared" si="34"/>
        <v>59.999999999993975</v>
      </c>
      <c r="K59" s="29">
        <v>9.5</v>
      </c>
      <c r="L59" s="30">
        <f>J59/K59</f>
        <v>6.3157894736835765</v>
      </c>
      <c r="M59" s="31">
        <f t="shared" si="33"/>
        <v>1</v>
      </c>
      <c r="N59" s="43">
        <f>O58+L59/24</f>
        <v>36271.30844359813</v>
      </c>
      <c r="O59" s="33">
        <f>N59+M59/24</f>
        <v>36271.35011026479</v>
      </c>
      <c r="P59" s="44">
        <f>P58+L59+M59</f>
        <v>688.4026463568379</v>
      </c>
      <c r="Q59" s="44">
        <f t="shared" si="24"/>
        <v>28.683443598201578</v>
      </c>
      <c r="R59" s="2">
        <f>IF(A59="R",1,0)</f>
        <v>0</v>
      </c>
      <c r="S59" s="2">
        <f>IF(A59="V",1,0)</f>
        <v>0</v>
      </c>
      <c r="T59" s="2">
        <f>IF(A59="R E",1,0)</f>
        <v>0</v>
      </c>
      <c r="U59" s="2">
        <f>IF(A59="S",1,0)</f>
        <v>0</v>
      </c>
      <c r="V59" s="2">
        <f>IF(A59="D",1,0)</f>
        <v>0</v>
      </c>
      <c r="W59" s="35">
        <f>IF(E59="N",1,-1)</f>
        <v>1</v>
      </c>
      <c r="X59" s="36">
        <f>IF(H59="W",1,-1)</f>
        <v>1</v>
      </c>
      <c r="Y59" s="2">
        <f>C59</f>
        <v>9</v>
      </c>
      <c r="Z59" s="2" t="str">
        <f aca="true" t="shared" si="35" ref="Z59:AA63">E59</f>
        <v>N</v>
      </c>
      <c r="AA59" s="2">
        <f t="shared" si="35"/>
        <v>95</v>
      </c>
      <c r="AB59" s="1">
        <f>IF(R59=1,"R",IF(S59=1,"V",0))</f>
        <v>0</v>
      </c>
      <c r="AC59" s="37">
        <f>IF(R59=1,N59,IF(S59=1,N59,IF(T59=1,N59,IF(U59=1,N59,IF(V59=1,N59,0)))))</f>
        <v>0</v>
      </c>
      <c r="AD59" s="112"/>
      <c r="AE59" s="37">
        <f t="shared" si="28"/>
        <v>0</v>
      </c>
    </row>
    <row r="60" spans="1:31" ht="18">
      <c r="A60" s="160" t="s">
        <v>59</v>
      </c>
      <c r="B60" s="161" t="s">
        <v>76</v>
      </c>
      <c r="C60" s="162">
        <v>10</v>
      </c>
      <c r="D60" s="163">
        <v>0</v>
      </c>
      <c r="E60" s="162" t="s">
        <v>21</v>
      </c>
      <c r="F60" s="164">
        <v>95</v>
      </c>
      <c r="G60" s="163">
        <v>0</v>
      </c>
      <c r="H60" s="165" t="s">
        <v>22</v>
      </c>
      <c r="I60" s="166">
        <f t="shared" si="32"/>
        <v>5.987320267525693</v>
      </c>
      <c r="J60" s="167">
        <f t="shared" si="34"/>
        <v>59.999999999993975</v>
      </c>
      <c r="K60" s="168">
        <v>9.5</v>
      </c>
      <c r="L60" s="169">
        <f>J60/K60</f>
        <v>6.3157894736835765</v>
      </c>
      <c r="M60" s="57">
        <f t="shared" si="33"/>
        <v>4</v>
      </c>
      <c r="N60" s="170">
        <f>O59+L60/24</f>
        <v>36271.61326815953</v>
      </c>
      <c r="O60" s="171">
        <f>N60+M60/24</f>
        <v>36271.7799348262</v>
      </c>
      <c r="P60" s="44">
        <f>P59+L60+M60</f>
        <v>698.7184358305215</v>
      </c>
      <c r="Q60" s="44">
        <f t="shared" si="24"/>
        <v>29.11326815960506</v>
      </c>
      <c r="R60" s="2">
        <f>IF(A60="R",1,0)</f>
        <v>0</v>
      </c>
      <c r="S60" s="136">
        <f>IF(A60="V",1,0)</f>
        <v>1</v>
      </c>
      <c r="T60" s="2">
        <f>IF(A60="R E",1,0)</f>
        <v>0</v>
      </c>
      <c r="U60" s="2">
        <f>IF(A60="S",1,0)</f>
        <v>0</v>
      </c>
      <c r="V60" s="68">
        <f>IF(A60="D",1,0)</f>
        <v>0</v>
      </c>
      <c r="W60" s="35">
        <f>IF(E60="N",1,-1)</f>
        <v>1</v>
      </c>
      <c r="X60" s="36">
        <f>IF(H60="W",1,-1)</f>
        <v>1</v>
      </c>
      <c r="Y60" s="136">
        <f>C60</f>
        <v>10</v>
      </c>
      <c r="Z60" s="136" t="str">
        <f t="shared" si="35"/>
        <v>N</v>
      </c>
      <c r="AA60" s="136">
        <f t="shared" si="35"/>
        <v>95</v>
      </c>
      <c r="AB60" s="135" t="str">
        <f>IF(R60=1,"R",IF(S60=1,"V",0))</f>
        <v>V</v>
      </c>
      <c r="AC60" s="37">
        <f>IF(R60=1,N60,IF(S60=1,N60,IF(T60=1,N60,IF(U60=1,N60,IF(V60=1,N60,0)))))</f>
        <v>36271.61326815953</v>
      </c>
      <c r="AD60" s="45">
        <v>36089</v>
      </c>
      <c r="AE60" s="37">
        <f t="shared" si="28"/>
        <v>5.987320267525693</v>
      </c>
    </row>
    <row r="61" spans="1:31" ht="18">
      <c r="A61" s="39"/>
      <c r="B61" s="40" t="s">
        <v>23</v>
      </c>
      <c r="C61" s="41">
        <v>11</v>
      </c>
      <c r="D61" s="25">
        <v>0</v>
      </c>
      <c r="E61" s="3" t="s">
        <v>21</v>
      </c>
      <c r="F61" s="130">
        <v>95</v>
      </c>
      <c r="G61" s="42">
        <v>0</v>
      </c>
      <c r="H61" s="48" t="s">
        <v>22</v>
      </c>
      <c r="I61" s="27">
        <f t="shared" si="32"/>
      </c>
      <c r="J61" s="28">
        <f t="shared" si="34"/>
        <v>60.00000000001535</v>
      </c>
      <c r="K61" s="29">
        <v>9.5</v>
      </c>
      <c r="L61" s="30">
        <f>J61/K61</f>
        <v>6.315789473685826</v>
      </c>
      <c r="M61" s="31">
        <f t="shared" si="33"/>
        <v>1</v>
      </c>
      <c r="N61" s="43">
        <f>O60+L61/24</f>
        <v>36272.04309272094</v>
      </c>
      <c r="O61" s="33">
        <f>N61+M61/24</f>
        <v>36272.0847593876</v>
      </c>
      <c r="P61" s="44">
        <f>P60+L61+M61</f>
        <v>706.0342253042073</v>
      </c>
      <c r="Q61" s="44">
        <f t="shared" si="24"/>
        <v>29.418092721008637</v>
      </c>
      <c r="R61" s="2">
        <f>IF(A61="R",1,0)</f>
        <v>0</v>
      </c>
      <c r="S61" s="2">
        <f>IF(A61="V",1,0)</f>
        <v>0</v>
      </c>
      <c r="T61" s="2">
        <f>IF(A61="R E",1,0)</f>
        <v>0</v>
      </c>
      <c r="U61" s="2">
        <f>IF(A61="S",1,0)</f>
        <v>0</v>
      </c>
      <c r="V61" s="2">
        <f>IF(A61="D",1,0)</f>
        <v>0</v>
      </c>
      <c r="W61" s="35">
        <f>IF(E61="N",1,-1)</f>
        <v>1</v>
      </c>
      <c r="X61" s="36">
        <f>IF(H61="W",1,-1)</f>
        <v>1</v>
      </c>
      <c r="Y61" s="2">
        <f>C61</f>
        <v>11</v>
      </c>
      <c r="Z61" s="2" t="str">
        <f t="shared" si="35"/>
        <v>N</v>
      </c>
      <c r="AA61" s="2">
        <f t="shared" si="35"/>
        <v>95</v>
      </c>
      <c r="AB61" s="1">
        <f>IF(R61=1,"R",IF(S61=1,"V",0))</f>
        <v>0</v>
      </c>
      <c r="AC61" s="37">
        <f>IF(R61=1,N61,IF(S61=1,N61,IF(T61=1,N61,IF(U61=1,N61,IF(V61=1,N61,0)))))</f>
        <v>0</v>
      </c>
      <c r="AD61" s="112"/>
      <c r="AE61" s="37">
        <f t="shared" si="28"/>
        <v>0</v>
      </c>
    </row>
    <row r="62" spans="1:31" ht="18">
      <c r="A62" s="178" t="s">
        <v>59</v>
      </c>
      <c r="B62" s="179" t="s">
        <v>76</v>
      </c>
      <c r="C62" s="162">
        <v>12</v>
      </c>
      <c r="D62" s="180">
        <v>0</v>
      </c>
      <c r="E62" s="181" t="s">
        <v>21</v>
      </c>
      <c r="F62" s="164">
        <v>95</v>
      </c>
      <c r="G62" s="163">
        <v>0</v>
      </c>
      <c r="H62" s="165" t="s">
        <v>22</v>
      </c>
      <c r="I62" s="173">
        <f t="shared" si="32"/>
        <v>6.011407124011235</v>
      </c>
      <c r="J62" s="174">
        <f t="shared" si="34"/>
        <v>59.999999999971834</v>
      </c>
      <c r="K62" s="175">
        <v>9.5</v>
      </c>
      <c r="L62" s="176">
        <f>J62/K62</f>
        <v>6.315789473681246</v>
      </c>
      <c r="M62" s="57">
        <f>IF(R62=1,10,IF(S62=1,4,IF(T62=1,6,IF(U62=1,8,IF(V62=1,5,1)))))+12</f>
        <v>16</v>
      </c>
      <c r="N62" s="170">
        <f>O61+L62/24</f>
        <v>36272.34791728234</v>
      </c>
      <c r="O62" s="177">
        <f>N62+M62/24</f>
        <v>36273.01458394901</v>
      </c>
      <c r="P62" s="44">
        <f>P61+L62+M62</f>
        <v>728.3500147778885</v>
      </c>
      <c r="Q62" s="44">
        <f t="shared" si="24"/>
        <v>30.347917282412023</v>
      </c>
      <c r="R62" s="2">
        <f>IF(A62="R",1,0)</f>
        <v>0</v>
      </c>
      <c r="S62" s="136">
        <f>IF(A62="V",1,0)</f>
        <v>1</v>
      </c>
      <c r="T62" s="2">
        <f>IF(A62="R E",1,0)</f>
        <v>0</v>
      </c>
      <c r="U62" s="2">
        <f>IF(A62="S",1,0)</f>
        <v>0</v>
      </c>
      <c r="V62" s="2">
        <f>IF(A62="D",1,0)</f>
        <v>0</v>
      </c>
      <c r="W62" s="35">
        <f>IF(E62="N",1,-1)</f>
        <v>1</v>
      </c>
      <c r="X62" s="36">
        <f>IF(H62="W",1,-1)</f>
        <v>1</v>
      </c>
      <c r="Y62" s="136">
        <f>C62</f>
        <v>12</v>
      </c>
      <c r="Z62" s="136" t="str">
        <f t="shared" si="35"/>
        <v>N</v>
      </c>
      <c r="AA62" s="136">
        <f t="shared" si="35"/>
        <v>95</v>
      </c>
      <c r="AB62" s="135" t="str">
        <f>IF(R62=1,"R",IF(S62=1,"V",0))</f>
        <v>V</v>
      </c>
      <c r="AC62" s="37">
        <f>IF(R62=1,N62,IF(S62=1,N62,IF(T62=1,N62,IF(U62=1,N62,IF(V62=1,N62,0)))))</f>
        <v>36272.34791728234</v>
      </c>
      <c r="AD62" s="45">
        <v>36089</v>
      </c>
      <c r="AE62" s="46">
        <f t="shared" si="28"/>
        <v>6.011407124011235</v>
      </c>
    </row>
    <row r="63" spans="1:31" ht="18">
      <c r="A63" s="23"/>
      <c r="B63" s="24" t="s">
        <v>77</v>
      </c>
      <c r="C63" s="3">
        <v>19</v>
      </c>
      <c r="D63" s="25">
        <v>3</v>
      </c>
      <c r="E63" s="26" t="s">
        <v>21</v>
      </c>
      <c r="F63" s="3">
        <v>104</v>
      </c>
      <c r="G63" s="25">
        <v>20</v>
      </c>
      <c r="H63" s="26" t="s">
        <v>22</v>
      </c>
      <c r="I63" s="27">
        <f t="shared" si="32"/>
      </c>
      <c r="J63" s="28">
        <f t="shared" si="34"/>
        <v>685.2468632230557</v>
      </c>
      <c r="K63" s="29">
        <v>9</v>
      </c>
      <c r="L63" s="30">
        <f>J63/K63</f>
        <v>76.1385403581173</v>
      </c>
      <c r="M63" s="31"/>
      <c r="N63" s="43">
        <f>O62+L63/24</f>
        <v>36276.187023130595</v>
      </c>
      <c r="O63" s="33"/>
      <c r="P63" s="44">
        <f>P62+L63+M63</f>
        <v>804.4885551360059</v>
      </c>
      <c r="Q63" s="44">
        <f>P63/24</f>
        <v>33.520356464000244</v>
      </c>
      <c r="R63" s="131">
        <f>IF(A63="R",1,0)</f>
        <v>0</v>
      </c>
      <c r="S63" s="131">
        <f>IF(A63="V",1,0)</f>
        <v>0</v>
      </c>
      <c r="T63" s="131">
        <f>IF(A63="R E",1,0)</f>
        <v>0</v>
      </c>
      <c r="U63" s="131">
        <f>IF(A63="S",1,0)</f>
        <v>0</v>
      </c>
      <c r="V63" s="131">
        <f>IF(A63="D",1,0)</f>
        <v>0</v>
      </c>
      <c r="W63" s="35">
        <f>IF(E63="N",1,-1)</f>
        <v>1</v>
      </c>
      <c r="X63" s="36">
        <f>IF(H63="W",1,-1)</f>
        <v>1</v>
      </c>
      <c r="Y63" s="2">
        <f>C63</f>
        <v>19</v>
      </c>
      <c r="Z63" s="2" t="str">
        <f t="shared" si="35"/>
        <v>N</v>
      </c>
      <c r="AA63" s="2">
        <f t="shared" si="35"/>
        <v>104</v>
      </c>
      <c r="AB63" s="1">
        <f>IF(R63=1,"R",IF(S63=1,"V",0))</f>
        <v>0</v>
      </c>
      <c r="AC63" s="37">
        <f>IF(R63=1,N63,IF(S63=1,N63,IF(T63=1,N63,IF(U63=1,N63,IF(V63=1,N63,0)))))</f>
        <v>0</v>
      </c>
      <c r="AD63" s="112"/>
      <c r="AE63" s="37">
        <f t="shared" si="28"/>
        <v>0</v>
      </c>
    </row>
    <row r="64" spans="1:23" ht="18" customHeight="1">
      <c r="A64" s="71"/>
      <c r="B64" s="72"/>
      <c r="C64" s="73"/>
      <c r="D64" s="74"/>
      <c r="E64" s="75"/>
      <c r="F64" s="75"/>
      <c r="G64" s="74"/>
      <c r="H64" s="75"/>
      <c r="I64" s="35"/>
      <c r="J64" s="76"/>
      <c r="K64" s="77"/>
      <c r="L64" s="78"/>
      <c r="M64" s="79"/>
      <c r="N64" s="80"/>
      <c r="O64" s="80"/>
      <c r="P64" s="81"/>
      <c r="Q64" s="82"/>
      <c r="R64" s="137">
        <f>SUM(R9:R63)</f>
        <v>9</v>
      </c>
      <c r="S64" s="137">
        <f>SUM(S9:S63)</f>
        <v>5</v>
      </c>
      <c r="T64" s="137">
        <f>SUM(T9:T63)</f>
        <v>3</v>
      </c>
      <c r="U64" s="137">
        <f>SUM(U9:U63)</f>
        <v>0</v>
      </c>
      <c r="V64" s="137">
        <f>SUM(V9:V63)</f>
        <v>1</v>
      </c>
      <c r="W64" s="38"/>
    </row>
    <row r="65" spans="1:17" ht="18">
      <c r="A65" s="83"/>
      <c r="B65" s="150" t="s">
        <v>50</v>
      </c>
      <c r="C65" s="151"/>
      <c r="D65" s="84">
        <f>SUM(R9:R63)-3</f>
        <v>6</v>
      </c>
      <c r="E65" s="85"/>
      <c r="F65" s="86"/>
      <c r="G65" s="86"/>
      <c r="H65" s="86"/>
      <c r="I65" s="86"/>
      <c r="J65" s="86"/>
      <c r="K65" s="36"/>
      <c r="L65" s="36"/>
      <c r="M65" s="36"/>
      <c r="N65" s="36"/>
      <c r="O65" s="85"/>
      <c r="P65" s="86"/>
      <c r="Q65" s="86"/>
    </row>
    <row r="66" spans="1:17" ht="18">
      <c r="A66" s="83"/>
      <c r="B66" s="146" t="s">
        <v>51</v>
      </c>
      <c r="C66" s="147"/>
      <c r="D66" s="87">
        <f>SUM(R9:R63)-3</f>
        <v>6</v>
      </c>
      <c r="E66" s="85"/>
      <c r="F66" s="85"/>
      <c r="G66" s="86"/>
      <c r="H66" s="86"/>
      <c r="I66" s="86"/>
      <c r="J66" s="88"/>
      <c r="O66" s="85"/>
      <c r="P66" s="86"/>
      <c r="Q66" s="88"/>
    </row>
    <row r="67" spans="1:15" ht="18">
      <c r="A67" s="85"/>
      <c r="L67" s="138"/>
      <c r="M67" s="139"/>
      <c r="N67" s="89" t="s">
        <v>37</v>
      </c>
      <c r="O67" s="90" t="s">
        <v>38</v>
      </c>
    </row>
    <row r="68" spans="1:17" ht="18">
      <c r="A68" s="83"/>
      <c r="B68" s="148" t="s">
        <v>57</v>
      </c>
      <c r="C68" s="149"/>
      <c r="D68" s="84">
        <f>SUM(R9:R63)-6</f>
        <v>3</v>
      </c>
      <c r="E68" s="91"/>
      <c r="G68" s="92"/>
      <c r="H68" s="93" t="s">
        <v>5</v>
      </c>
      <c r="I68" s="6" t="s">
        <v>43</v>
      </c>
      <c r="J68" s="94"/>
      <c r="L68" s="140" t="s">
        <v>41</v>
      </c>
      <c r="M68" s="141"/>
      <c r="N68" s="95">
        <f>O33-N10+1</f>
        <v>9.481359649078513</v>
      </c>
      <c r="O68" s="96">
        <f>SUM(J11:J33)</f>
        <v>960.0000000000058</v>
      </c>
      <c r="Q68" s="97"/>
    </row>
    <row r="69" spans="1:15" ht="18">
      <c r="A69" s="85"/>
      <c r="B69" s="146" t="s">
        <v>52</v>
      </c>
      <c r="C69" s="147"/>
      <c r="D69" s="87">
        <f>SUM(R9:R63)-6</f>
        <v>3</v>
      </c>
      <c r="E69" s="98"/>
      <c r="F69" s="99"/>
      <c r="G69" s="92"/>
      <c r="H69" s="21" t="s">
        <v>26</v>
      </c>
      <c r="I69" s="18" t="s">
        <v>26</v>
      </c>
      <c r="L69" s="140" t="s">
        <v>42</v>
      </c>
      <c r="M69" s="145"/>
      <c r="N69" s="95">
        <f>O62-N35+1</f>
        <v>12.221491228039667</v>
      </c>
      <c r="O69" s="96">
        <f>SUM(J36:J62)</f>
        <v>1200.0000000000368</v>
      </c>
    </row>
    <row r="70" spans="1:18" ht="18">
      <c r="A70" s="85"/>
      <c r="B70" s="100"/>
      <c r="E70" s="98"/>
      <c r="F70" s="99"/>
      <c r="G70" s="101"/>
      <c r="H70" s="102">
        <f>SUM(L10:L63)</f>
        <v>558.9885551360056</v>
      </c>
      <c r="I70" s="103">
        <f>SUM(M10:M62)</f>
        <v>245.5</v>
      </c>
      <c r="L70" s="157" t="s">
        <v>39</v>
      </c>
      <c r="M70" s="145"/>
      <c r="N70" s="104">
        <f>(N10-O9)+(N35-O33)+(N63-O62)</f>
        <v>13.81750558681233</v>
      </c>
      <c r="O70" s="105">
        <f>SUM(J10,J35,J63)</f>
        <v>3112.322003612955</v>
      </c>
      <c r="R70" s="12" t="s">
        <v>44</v>
      </c>
    </row>
    <row r="71" spans="1:18" ht="18">
      <c r="A71" s="85"/>
      <c r="B71" s="148" t="s">
        <v>53</v>
      </c>
      <c r="C71" s="149"/>
      <c r="D71" s="84">
        <f>SUM(T9:T63)</f>
        <v>3</v>
      </c>
      <c r="E71" s="106"/>
      <c r="F71" s="99"/>
      <c r="G71" s="99"/>
      <c r="H71" s="99"/>
      <c r="I71" s="98"/>
      <c r="L71" s="142" t="s">
        <v>40</v>
      </c>
      <c r="M71" s="143"/>
      <c r="N71" s="107">
        <f>SUM(N68:N70)</f>
        <v>35.52035646393051</v>
      </c>
      <c r="O71" s="108">
        <f>SUM(O68:O70)</f>
        <v>5272.322003612998</v>
      </c>
      <c r="R71" s="102">
        <f>SUM(J10:J63)</f>
        <v>5272.322003613</v>
      </c>
    </row>
    <row r="72" spans="1:9" ht="18">
      <c r="A72" s="85"/>
      <c r="B72" s="150" t="s">
        <v>49</v>
      </c>
      <c r="C72" s="151"/>
      <c r="D72" s="109">
        <f>SUM(S9:S63)</f>
        <v>5</v>
      </c>
      <c r="E72" s="98"/>
      <c r="F72" s="99"/>
      <c r="G72" s="99"/>
      <c r="H72" s="98"/>
      <c r="I72" s="98"/>
    </row>
    <row r="73" spans="1:15" ht="18">
      <c r="A73" s="85"/>
      <c r="B73" s="150" t="s">
        <v>78</v>
      </c>
      <c r="C73" s="156"/>
      <c r="D73" s="109">
        <v>1</v>
      </c>
      <c r="F73" s="153" t="s">
        <v>79</v>
      </c>
      <c r="G73" s="155"/>
      <c r="H73" s="155"/>
      <c r="I73" s="155"/>
      <c r="J73" s="155"/>
      <c r="K73" s="155"/>
      <c r="L73" s="155"/>
      <c r="M73" s="155"/>
      <c r="N73" s="155"/>
      <c r="O73" s="155"/>
    </row>
    <row r="74" spans="1:15" ht="18">
      <c r="A74" s="85"/>
      <c r="B74" s="146" t="s">
        <v>56</v>
      </c>
      <c r="C74" s="147"/>
      <c r="D74" s="87">
        <v>0</v>
      </c>
      <c r="G74" s="153" t="s">
        <v>80</v>
      </c>
      <c r="H74" s="145"/>
      <c r="I74" s="145"/>
      <c r="J74" s="145"/>
      <c r="K74" s="145"/>
      <c r="L74" s="145"/>
      <c r="M74" s="145"/>
      <c r="N74" s="145"/>
      <c r="O74" s="145"/>
    </row>
    <row r="75" spans="6:15" ht="18">
      <c r="F75" s="153" t="s">
        <v>45</v>
      </c>
      <c r="G75" s="159"/>
      <c r="H75" s="159"/>
      <c r="I75" s="159"/>
      <c r="J75" s="159"/>
      <c r="K75" s="159"/>
      <c r="L75" s="159"/>
      <c r="M75" s="159"/>
      <c r="N75" s="159"/>
      <c r="O75" s="159"/>
    </row>
    <row r="77" spans="5:15" ht="18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mergeCells count="22">
    <mergeCell ref="F75:O75"/>
    <mergeCell ref="B74:C74"/>
    <mergeCell ref="B73:C73"/>
    <mergeCell ref="L69:M69"/>
    <mergeCell ref="L70:M70"/>
    <mergeCell ref="F73:O73"/>
    <mergeCell ref="B72:C72"/>
    <mergeCell ref="G74:O74"/>
    <mergeCell ref="B71:C71"/>
    <mergeCell ref="A1:Q1"/>
    <mergeCell ref="A4:Q4"/>
    <mergeCell ref="A3:Q3"/>
    <mergeCell ref="A2:Q2"/>
    <mergeCell ref="L67:M67"/>
    <mergeCell ref="L68:M68"/>
    <mergeCell ref="L71:M71"/>
    <mergeCell ref="A5:Q5"/>
    <mergeCell ref="A6:Q6"/>
    <mergeCell ref="B66:C66"/>
    <mergeCell ref="B68:C68"/>
    <mergeCell ref="B65:C65"/>
    <mergeCell ref="B69:C69"/>
  </mergeCells>
  <printOptions horizontalCentered="1" verticalCentered="1"/>
  <pageMargins left="0.65" right="0.72" top="0.42" bottom="0.29" header="0.3" footer="0.26"/>
  <pageSetup horizontalDpi="300" verticalDpi="300" orientation="landscape" scale="35" r:id="rId1"/>
  <headerFooter alignWithMargins="0">
    <oddHeader>&amp;L&amp;"Geneva,Bold"&amp;D&amp;R&amp;"Geneva,Bold"RB-00-09  Appendix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</cp:lastModifiedBy>
  <cp:lastPrinted>2003-03-21T16:15:27Z</cp:lastPrinted>
  <dcterms:created xsi:type="dcterms:W3CDTF">1998-03-17T01:23:51Z</dcterms:created>
  <dcterms:modified xsi:type="dcterms:W3CDTF">2003-03-21T16:54:56Z</dcterms:modified>
  <cp:category/>
  <cp:version/>
  <cp:contentType/>
  <cp:contentStatus/>
</cp:coreProperties>
</file>