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<sst xmlns="http://schemas.openxmlformats.org/spreadsheetml/2006/main" count="886" uniqueCount="14">
  <si>
    <t xml:space="preserve"> </t>
  </si>
  <si>
    <t>WASHINGTON</t>
  </si>
  <si>
    <t>OFFICE OF THE SECRETARY</t>
  </si>
  <si>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</si>
  <si>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</si>
  <si>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</si>
  <si>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</si>
  <si>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</si>
  <si>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</si>
  <si>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</si>
  <si>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</si>
  <si>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</si>
  <si>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</si>
  <si>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 xml:space="preserve">BUREAU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</si>
</sst>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readingOrder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8.7109375" style="0" customWidth="1"/>
    <col min="2" max="2" width="43.140625" style="0" customWidth="1"/>
    <col min="3" max="3" width="43.57421875" style="0" customWidth="1"/>
    <col min="4" max="4" width="39.57421875" style="0" customWidth="1"/>
    <col min="5" max="5" width="11.57421875" style="0" customWidth="1"/>
    <col min="6" max="6" width="11.140625" style="0" customWidth="1"/>
    <col min="7" max="7" width="18.140625" style="0" customWidth="1"/>
    <col min="9" max="9" width="12.57421875" style="0" customWidth="1"/>
    <col min="10" max="10" width="20.00390625" style="0" customWidth="1"/>
    <col min="11" max="11" width="15.57421875" style="0" customWidth="1"/>
  </cols>
  <sheetData>
    <row r="1" spans="1:11" s="4" customFormat="1" ht="12.75">
      <c r="A1" s="3" t="s">
        <v>13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5" t="s">
        <v>10</v>
      </c>
      <c r="J1" s="3" t="s">
        <v>11</v>
      </c>
      <c r="K1" s="3" t="s">
        <v>12</v>
      </c>
    </row>
    <row r="2" spans="1:11" ht="12.75">
      <c r="A2" s="1" t="s">
        <v>2</v>
      </c>
      <c r="B2" t="str">
        <f>T("SECRETARY'S IMMEDIATE OFFICE")</f>
        <v>SECRETARY'S IMMEDIATE OFFICE</v>
      </c>
      <c r="C2" t="str">
        <f>T("1849 C STREET  NW MS 7229")</f>
        <v>1849 C STREET  NW MS 7229</v>
      </c>
      <c r="D2" t="s">
        <v>0</v>
      </c>
      <c r="E2" t="s">
        <v>0</v>
      </c>
      <c r="F2" t="s">
        <v>0</v>
      </c>
      <c r="G2" t="str">
        <f>T("WASHINGTON")</f>
        <v>WASHINGTON</v>
      </c>
      <c r="H2" t="str">
        <f aca="true" t="shared" si="0" ref="H2:H15">T("DC ")</f>
        <v>DC </v>
      </c>
      <c r="I2" s="1">
        <f aca="true" t="shared" si="1" ref="I2:I12">N(20240)</f>
        <v>20240</v>
      </c>
      <c r="J2" s="1" t="str">
        <f>T("202 208 4835")</f>
        <v>202 208 4835</v>
      </c>
      <c r="K2" s="1" t="str">
        <f>T("202 219 1220")</f>
        <v>202 219 1220</v>
      </c>
    </row>
    <row r="3" spans="1:11" ht="12.75">
      <c r="A3" s="1" t="s">
        <v>2</v>
      </c>
      <c r="B3" t="str">
        <f>T("EXE SECRETARIAT&amp;OFCREG AFFAIRS")</f>
        <v>EXE SECRETARIAT&amp;OFCREG AFFAIRS</v>
      </c>
      <c r="C3" t="str">
        <f>T("1849 C STREET NW  MS 7214")</f>
        <v>1849 C STREET NW  MS 7214</v>
      </c>
      <c r="D3" t="s">
        <v>0</v>
      </c>
      <c r="E3" t="s">
        <v>0</v>
      </c>
      <c r="F3" t="s">
        <v>0</v>
      </c>
      <c r="G3" t="str">
        <f>T("WASHINGTON")</f>
        <v>WASHINGTON</v>
      </c>
      <c r="H3" t="str">
        <f t="shared" si="0"/>
        <v>DC </v>
      </c>
      <c r="I3" s="1">
        <f t="shared" si="1"/>
        <v>20240</v>
      </c>
      <c r="J3" s="1" t="s">
        <v>0</v>
      </c>
      <c r="K3" s="1" t="str">
        <f>T("202 219 2100")</f>
        <v>202 219 2100</v>
      </c>
    </row>
    <row r="4" spans="1:11" ht="12.75">
      <c r="A4" s="1" t="s">
        <v>2</v>
      </c>
      <c r="B4" t="str">
        <f>T("SECRETARY'S FIELD STAFF")</f>
        <v>SECRETARY'S FIELD STAFF</v>
      </c>
      <c r="C4" t="str">
        <f>T("1849 C STREET  NW  MS 7229")</f>
        <v>1849 C STREET  NW  MS 7229</v>
      </c>
      <c r="D4" t="s">
        <v>0</v>
      </c>
      <c r="E4" t="s">
        <v>0</v>
      </c>
      <c r="F4" t="s">
        <v>0</v>
      </c>
      <c r="G4" t="str">
        <f>T("WASHINGTON")</f>
        <v>WASHINGTON</v>
      </c>
      <c r="H4" t="str">
        <f t="shared" si="0"/>
        <v>DC </v>
      </c>
      <c r="I4" s="1">
        <f t="shared" si="1"/>
        <v>20240</v>
      </c>
      <c r="J4" s="1" t="s">
        <v>0</v>
      </c>
      <c r="K4" s="1" t="str">
        <f>T("202 219 1220")</f>
        <v>202 219 1220</v>
      </c>
    </row>
    <row r="5" spans="1:11" ht="12.75">
      <c r="A5" s="1" t="s">
        <v>2</v>
      </c>
      <c r="B5" t="str">
        <f>T("OFFC OF CNGRSSNL &amp; LGSLTVE A")</f>
        <v>OFFC OF CNGRSSNL &amp; LGSLTVE A</v>
      </c>
      <c r="C5" t="str">
        <f>T("1849 C STREET NW  MS 6242")</f>
        <v>1849 C STREET NW  MS 6242</v>
      </c>
      <c r="D5" t="s">
        <v>0</v>
      </c>
      <c r="E5" t="s">
        <v>0</v>
      </c>
      <c r="F5" t="s">
        <v>0</v>
      </c>
      <c r="G5" t="s">
        <v>1</v>
      </c>
      <c r="H5" t="str">
        <f t="shared" si="0"/>
        <v>DC </v>
      </c>
      <c r="I5" s="1">
        <f t="shared" si="1"/>
        <v>20240</v>
      </c>
      <c r="J5" s="1" t="str">
        <f>T("202 208 6797")</f>
        <v>202 208 6797</v>
      </c>
      <c r="K5" s="1" t="str">
        <f>T("202 208 7619")</f>
        <v>202 208 7619</v>
      </c>
    </row>
    <row r="6" spans="1:11" ht="12.75">
      <c r="A6" s="1" t="s">
        <v>2</v>
      </c>
      <c r="B6" t="str">
        <f>T("OFFICE OF COMMUNICATIONS")</f>
        <v>OFFICE OF COMMUNICATIONS</v>
      </c>
      <c r="C6" t="str">
        <f>T("1849 C STREET NW  MS 6013")</f>
        <v>1849 C STREET NW  MS 6013</v>
      </c>
      <c r="D6" t="s">
        <v>0</v>
      </c>
      <c r="E6" t="s">
        <v>0</v>
      </c>
      <c r="F6" t="s">
        <v>0</v>
      </c>
      <c r="G6" t="str">
        <f aca="true" t="shared" si="2" ref="G6:G17">T("WASHINGTON")</f>
        <v>WASHINGTON</v>
      </c>
      <c r="H6" t="str">
        <f t="shared" si="0"/>
        <v>DC </v>
      </c>
      <c r="I6" s="1">
        <f t="shared" si="1"/>
        <v>20240</v>
      </c>
      <c r="J6" s="1" t="str">
        <f>T("202 208 6416")</f>
        <v>202 208 6416</v>
      </c>
      <c r="K6" s="1" t="str">
        <f>T("202 208 5133")</f>
        <v>202 208 5133</v>
      </c>
    </row>
    <row r="7" spans="1:11" ht="12.75">
      <c r="A7" s="1" t="s">
        <v>2</v>
      </c>
      <c r="B7" t="str">
        <f>T("ASST SECY - WATER &amp; SCIENCE")</f>
        <v>ASST SECY - WATER &amp; SCIENCE</v>
      </c>
      <c r="C7" t="str">
        <f>T("1849 C STREET NW  MS 6628")</f>
        <v>1849 C STREET NW  MS 6628</v>
      </c>
      <c r="D7" t="s">
        <v>0</v>
      </c>
      <c r="E7" t="s">
        <v>0</v>
      </c>
      <c r="F7" t="s">
        <v>0</v>
      </c>
      <c r="G7" t="str">
        <f t="shared" si="2"/>
        <v>WASHINGTON</v>
      </c>
      <c r="H7" t="str">
        <f t="shared" si="0"/>
        <v>DC </v>
      </c>
      <c r="I7" s="1">
        <f t="shared" si="1"/>
        <v>20240</v>
      </c>
      <c r="J7" s="1" t="str">
        <f>T("202 208 4223")</f>
        <v>202 208 4223</v>
      </c>
      <c r="K7" s="1" t="str">
        <f>T("202 208 3324")</f>
        <v>202 208 3324</v>
      </c>
    </row>
    <row r="8" spans="1:11" ht="12.75">
      <c r="A8" s="1" t="s">
        <v>2</v>
      </c>
      <c r="B8" t="str">
        <f>T("ASST SECY FOR FISH WILD &amp; PARK")</f>
        <v>ASST SECY FOR FISH WILD &amp; PARK</v>
      </c>
      <c r="C8" t="str">
        <f>T("1849 C STREET NW  MS 3156")</f>
        <v>1849 C STREET NW  MS 3156</v>
      </c>
      <c r="D8" t="s">
        <v>0</v>
      </c>
      <c r="E8" t="s">
        <v>0</v>
      </c>
      <c r="F8" t="s">
        <v>0</v>
      </c>
      <c r="G8" t="str">
        <f t="shared" si="2"/>
        <v>WASHINGTON</v>
      </c>
      <c r="H8" t="str">
        <f t="shared" si="0"/>
        <v>DC </v>
      </c>
      <c r="I8" s="1">
        <f t="shared" si="1"/>
        <v>20240</v>
      </c>
      <c r="J8" s="1" t="s">
        <v>0</v>
      </c>
      <c r="K8" s="1" t="str">
        <f>T("202 208 4684")</f>
        <v>202 208 4684</v>
      </c>
    </row>
    <row r="9" spans="1:11" ht="12.75">
      <c r="A9" s="1" t="s">
        <v>2</v>
      </c>
      <c r="B9" t="str">
        <f>T("ASST SECY - INDIAN AFFAIRS")</f>
        <v>ASST SECY - INDIAN AFFAIRS</v>
      </c>
      <c r="C9" t="str">
        <f>T("1849 C STREET NW  MS 4140")</f>
        <v>1849 C STREET NW  MS 4140</v>
      </c>
      <c r="D9" t="s">
        <v>0</v>
      </c>
      <c r="E9" t="s">
        <v>0</v>
      </c>
      <c r="F9" t="s">
        <v>0</v>
      </c>
      <c r="G9" t="str">
        <f t="shared" si="2"/>
        <v>WASHINGTON</v>
      </c>
      <c r="H9" t="str">
        <f t="shared" si="0"/>
        <v>DC </v>
      </c>
      <c r="I9" s="1">
        <f t="shared" si="1"/>
        <v>20240</v>
      </c>
      <c r="J9" s="1" t="s">
        <v>0</v>
      </c>
      <c r="K9" s="1" t="str">
        <f>T("202 208 5320")</f>
        <v>202 208 5320</v>
      </c>
    </row>
    <row r="10" spans="1:11" ht="12.75">
      <c r="A10" s="1" t="s">
        <v>2</v>
      </c>
      <c r="B10" t="str">
        <f>T("OFFC OF FED ACKNOWLEDGEMENT")</f>
        <v>OFFC OF FED ACKNOWLEDGEMENT</v>
      </c>
      <c r="C10" t="str">
        <f>T("1849 C STREET NW  MS 4140")</f>
        <v>1849 C STREET NW  MS 4140</v>
      </c>
      <c r="D10" t="s">
        <v>0</v>
      </c>
      <c r="E10" t="s">
        <v>0</v>
      </c>
      <c r="F10" t="s">
        <v>0</v>
      </c>
      <c r="G10" t="str">
        <f t="shared" si="2"/>
        <v>WASHINGTON</v>
      </c>
      <c r="H10" t="str">
        <f t="shared" si="0"/>
        <v>DC </v>
      </c>
      <c r="I10" s="1">
        <f t="shared" si="1"/>
        <v>20240</v>
      </c>
      <c r="J10" s="1" t="s">
        <v>0</v>
      </c>
      <c r="K10" s="1" t="str">
        <f>T("202 208 5320")</f>
        <v>202 208 5320</v>
      </c>
    </row>
    <row r="11" spans="1:11" ht="12.75">
      <c r="A11" s="1" t="s">
        <v>2</v>
      </c>
      <c r="B11" t="str">
        <f>T("DEP ASST SECY POLICY &amp; ECON DV")</f>
        <v>DEP ASST SECY POLICY &amp; ECON DV</v>
      </c>
      <c r="C11" t="str">
        <f>T("1849 C STREET NW  MS 2559")</f>
        <v>1849 C STREET NW  MS 2559</v>
      </c>
      <c r="D11" t="s">
        <v>0</v>
      </c>
      <c r="E11" t="s">
        <v>0</v>
      </c>
      <c r="F11" t="s">
        <v>0</v>
      </c>
      <c r="G11" t="str">
        <f t="shared" si="2"/>
        <v>WASHINGTON</v>
      </c>
      <c r="H11" t="str">
        <f t="shared" si="0"/>
        <v>DC </v>
      </c>
      <c r="I11" s="1">
        <f t="shared" si="1"/>
        <v>20240</v>
      </c>
      <c r="J11" s="1" t="s">
        <v>0</v>
      </c>
      <c r="K11" s="1" t="str">
        <f>T("202 208 4268")</f>
        <v>202 208 4268</v>
      </c>
    </row>
    <row r="12" spans="1:11" ht="12.75">
      <c r="A12" s="1" t="s">
        <v>2</v>
      </c>
      <c r="B12" t="str">
        <f>T("DEP ASST SECY-MGMT")</f>
        <v>DEP ASST SECY-MGMT</v>
      </c>
      <c r="C12" t="str">
        <f>T("1849 C STREET NW  MS 2472")</f>
        <v>1849 C STREET NW  MS 2472</v>
      </c>
      <c r="D12" t="s">
        <v>0</v>
      </c>
      <c r="E12" t="s">
        <v>0</v>
      </c>
      <c r="F12" t="s">
        <v>0</v>
      </c>
      <c r="G12" t="str">
        <f t="shared" si="2"/>
        <v>WASHINGTON</v>
      </c>
      <c r="H12" t="str">
        <f t="shared" si="0"/>
        <v>DC </v>
      </c>
      <c r="I12" s="1">
        <f t="shared" si="1"/>
        <v>20240</v>
      </c>
      <c r="J12" s="1" t="s">
        <v>0</v>
      </c>
      <c r="K12" s="1" t="str">
        <f>T("202 208 7503")</f>
        <v>202 208 7503</v>
      </c>
    </row>
    <row r="13" spans="1:11" ht="12.75">
      <c r="A13" s="1" t="s">
        <v>2</v>
      </c>
      <c r="B13" t="str">
        <f>T("NAT'L INDIAN GAMING COMMISSION")</f>
        <v>NAT'L INDIAN GAMING COMMISSION</v>
      </c>
      <c r="C13" t="str">
        <f>T("1441 L STREET  NW  SUITE 9100")</f>
        <v>1441 L STREET  NW  SUITE 9100</v>
      </c>
      <c r="D13" t="s">
        <v>0</v>
      </c>
      <c r="E13" t="s">
        <v>0</v>
      </c>
      <c r="F13" t="s">
        <v>0</v>
      </c>
      <c r="G13" t="str">
        <f t="shared" si="2"/>
        <v>WASHINGTON</v>
      </c>
      <c r="H13" t="str">
        <f t="shared" si="0"/>
        <v>DC </v>
      </c>
      <c r="I13" s="1">
        <f>N(20005)</f>
        <v>20005</v>
      </c>
      <c r="J13" s="1">
        <f>N(9999999999)</f>
        <v>9999999999</v>
      </c>
      <c r="K13" s="1" t="str">
        <f>T("202 632 7066")</f>
        <v>202 632 7066</v>
      </c>
    </row>
    <row r="14" spans="1:11" ht="12.75">
      <c r="A14" s="1" t="s">
        <v>2</v>
      </c>
      <c r="B14" t="str">
        <f>T("ASST SECY - LAND &amp; MINL MGMT")</f>
        <v>ASST SECY - LAND &amp; MINL MGMT</v>
      </c>
      <c r="C14" t="str">
        <f>T("1849 C STREET NW  MS 6628")</f>
        <v>1849 C STREET NW  MS 6628</v>
      </c>
      <c r="D14" t="s">
        <v>0</v>
      </c>
      <c r="E14" t="s">
        <v>0</v>
      </c>
      <c r="F14" t="s">
        <v>0</v>
      </c>
      <c r="G14" t="str">
        <f t="shared" si="2"/>
        <v>WASHINGTON</v>
      </c>
      <c r="H14" t="str">
        <f t="shared" si="0"/>
        <v>DC </v>
      </c>
      <c r="I14" s="1">
        <f aca="true" t="shared" si="3" ref="I14:I19">N(20240)</f>
        <v>20240</v>
      </c>
      <c r="J14" s="1" t="s">
        <v>0</v>
      </c>
      <c r="K14" s="1" t="str">
        <f>T("202 208 3144")</f>
        <v>202 208 3144</v>
      </c>
    </row>
    <row r="15" spans="1:11" ht="12.75">
      <c r="A15" s="1" t="s">
        <v>2</v>
      </c>
      <c r="B15" t="str">
        <f>T("ASST SECY POLICY  MGMT BUDGET")</f>
        <v>ASST SECY POLICY  MGMT BUDGET</v>
      </c>
      <c r="C15" t="str">
        <f>T("1849 C STREET NW  MS 5123")</f>
        <v>1849 C STREET NW  MS 5123</v>
      </c>
      <c r="D15" t="s">
        <v>0</v>
      </c>
      <c r="E15" t="s">
        <v>0</v>
      </c>
      <c r="F15" t="s">
        <v>0</v>
      </c>
      <c r="G15" t="str">
        <f t="shared" si="2"/>
        <v>WASHINGTON</v>
      </c>
      <c r="H15" t="str">
        <f t="shared" si="0"/>
        <v>DC </v>
      </c>
      <c r="I15" s="1">
        <f t="shared" si="3"/>
        <v>20240</v>
      </c>
      <c r="J15" s="1" t="str">
        <f>T("202 208 4835")</f>
        <v>202 208 4835</v>
      </c>
      <c r="K15" s="1" t="str">
        <f>T("202 219 1220")</f>
        <v>202 219 1220</v>
      </c>
    </row>
    <row r="16" spans="1:11" ht="12.75">
      <c r="A16" s="1" t="s">
        <v>2</v>
      </c>
      <c r="B16" t="str">
        <f>T("OFFCE OF ENVIRONMENTAL POLICY")</f>
        <v>OFFCE OF ENVIRONMENTAL POLICY</v>
      </c>
      <c r="C16" t="str">
        <f>T("1849 C STREET NW  MS 2340")</f>
        <v>1849 C STREET NW  MS 2340</v>
      </c>
      <c r="D16" t="s">
        <v>0</v>
      </c>
      <c r="E16" t="s">
        <v>0</v>
      </c>
      <c r="F16" t="s">
        <v>0</v>
      </c>
      <c r="G16" t="str">
        <f t="shared" si="2"/>
        <v>WASHINGTON</v>
      </c>
      <c r="H16" t="str">
        <f>T("DC ")</f>
        <v>DC </v>
      </c>
      <c r="I16" s="1">
        <f t="shared" si="3"/>
        <v>20240</v>
      </c>
      <c r="J16" s="1" t="str">
        <f>T("202 208 3904")</f>
        <v>202 208 3904</v>
      </c>
      <c r="K16" s="1" t="str">
        <f>T("202 208 6970")</f>
        <v>202 208 6970</v>
      </c>
    </row>
    <row r="17" spans="1:11" ht="12.75">
      <c r="A17" s="1" t="s">
        <v>2</v>
      </c>
      <c r="B17" t="str">
        <f>T("OFFICE OF POLICY ANALYSIS")</f>
        <v>OFFICE OF POLICY ANALYSIS</v>
      </c>
      <c r="C17" t="str">
        <f>T("1849 C STREET NW  MS 4426")</f>
        <v>1849 C STREET NW  MS 4426</v>
      </c>
      <c r="D17" t="s">
        <v>0</v>
      </c>
      <c r="E17" t="s">
        <v>0</v>
      </c>
      <c r="F17" t="s">
        <v>0</v>
      </c>
      <c r="G17" t="str">
        <f t="shared" si="2"/>
        <v>WASHINGTON</v>
      </c>
      <c r="H17" t="str">
        <f>T("DC ")</f>
        <v>DC </v>
      </c>
      <c r="I17" s="1">
        <f t="shared" si="3"/>
        <v>20240</v>
      </c>
      <c r="J17" s="1" t="str">
        <f>T("202 208 5978")</f>
        <v>202 208 5978</v>
      </c>
      <c r="K17" s="1" t="str">
        <f>T("202 208 4867")</f>
        <v>202 208 4867</v>
      </c>
    </row>
    <row r="18" spans="1:11" ht="12.75">
      <c r="A18" s="1" t="s">
        <v>2</v>
      </c>
      <c r="B18" t="str">
        <f>T("OFC OF HAWAIIAN RELATIONS")</f>
        <v>OFC OF HAWAIIAN RELATIONS</v>
      </c>
      <c r="C18" t="str">
        <f>T("1849 C STREET NW  MS 7356")</f>
        <v>1849 C STREET NW  MS 7356</v>
      </c>
      <c r="D18" t="s">
        <v>0</v>
      </c>
      <c r="E18" t="s">
        <v>0</v>
      </c>
      <c r="F18" t="s">
        <v>0</v>
      </c>
      <c r="G18" t="str">
        <f>T("WASHINGTON")</f>
        <v>WASHINGTON</v>
      </c>
      <c r="H18" t="str">
        <f>T("DC ")</f>
        <v>DC </v>
      </c>
      <c r="I18" s="1">
        <f t="shared" si="3"/>
        <v>20240</v>
      </c>
      <c r="J18" s="1" t="s">
        <v>0</v>
      </c>
      <c r="K18" s="1" t="str">
        <f>T("202 208 5078")</f>
        <v>202 208 5078</v>
      </c>
    </row>
    <row r="19" spans="1:11" ht="12.75">
      <c r="A19" s="1" t="s">
        <v>2</v>
      </c>
      <c r="B19" t="str">
        <f>T("DIR OFC  NATL RES DMGE ASSES")</f>
        <v>DIR OFC  NATL RES DMGE ASSES</v>
      </c>
      <c r="C19" t="str">
        <f>T("1849 C STREET NW  MS 3559")</f>
        <v>1849 C STREET NW  MS 3559</v>
      </c>
      <c r="D19" t="s">
        <v>0</v>
      </c>
      <c r="E19" t="s">
        <v>0</v>
      </c>
      <c r="F19" t="s">
        <v>0</v>
      </c>
      <c r="G19" t="str">
        <f>T("WASHINGTON")</f>
        <v>WASHINGTON</v>
      </c>
      <c r="H19" t="str">
        <f>T("DC ")</f>
        <v>DC </v>
      </c>
      <c r="I19" s="1">
        <f t="shared" si="3"/>
        <v>20240</v>
      </c>
      <c r="J19" s="1" t="str">
        <f>T("202 208 4093")</f>
        <v>202 208 4093</v>
      </c>
      <c r="K19" s="1" t="str">
        <f>T("202 208 2681")</f>
        <v>202 208 2681</v>
      </c>
    </row>
    <row r="20" spans="1:11" ht="12.75">
      <c r="A20" s="1" t="s">
        <v>2</v>
      </c>
      <c r="B20" t="str">
        <f>T("OFC HEARINGS AND APPEALS")</f>
        <v>OFC HEARINGS AND APPEALS</v>
      </c>
      <c r="C20" t="str">
        <f>T("801 NORTH QUINCY STREET  SUITE 300")</f>
        <v>801 NORTH QUINCY STREET  SUITE 300</v>
      </c>
      <c r="D20" t="s">
        <v>0</v>
      </c>
      <c r="E20" t="s">
        <v>0</v>
      </c>
      <c r="F20" t="s">
        <v>0</v>
      </c>
      <c r="G20" t="str">
        <f>T("ARLINGTON")</f>
        <v>ARLINGTON</v>
      </c>
      <c r="H20" t="str">
        <f>T("VA ")</f>
        <v>VA </v>
      </c>
      <c r="I20" s="1">
        <f>N(22203)</f>
        <v>22203</v>
      </c>
      <c r="J20" s="1" t="str">
        <f>T("703 235 3800")</f>
        <v>703 235 3800</v>
      </c>
      <c r="K20" s="1" t="str">
        <f>T("703 235 9014")</f>
        <v>703 235 9014</v>
      </c>
    </row>
    <row r="21" spans="1:11" ht="12.75">
      <c r="A21" s="1" t="s">
        <v>2</v>
      </c>
      <c r="B21" t="str">
        <f>T("OFC OF BUDGET")</f>
        <v>OFC OF BUDGET</v>
      </c>
      <c r="C21" t="str">
        <f>T("1849 C STREET NW  MS 4116")</f>
        <v>1849 C STREET NW  MS 4116</v>
      </c>
      <c r="D21" t="s">
        <v>0</v>
      </c>
      <c r="E21" t="s">
        <v>0</v>
      </c>
      <c r="F21" t="s">
        <v>0</v>
      </c>
      <c r="G21" t="str">
        <f aca="true" t="shared" si="4" ref="G21:G27">T("WASHINGTON")</f>
        <v>WASHINGTON</v>
      </c>
      <c r="H21" t="str">
        <f aca="true" t="shared" si="5" ref="H21:H27">T("DC ")</f>
        <v>DC </v>
      </c>
      <c r="I21" s="1">
        <f aca="true" t="shared" si="6" ref="I21:I27">N(20240)</f>
        <v>20240</v>
      </c>
      <c r="J21" s="1" t="str">
        <f>T("202 208 5219")</f>
        <v>202 208 5219</v>
      </c>
      <c r="K21" s="1" t="str">
        <f>T("202 208 3911")</f>
        <v>202 208 3911</v>
      </c>
    </row>
    <row r="22" spans="1:11" ht="12.75">
      <c r="A22" s="1" t="s">
        <v>2</v>
      </c>
      <c r="B22" t="str">
        <f>T("DIR OFFICE OF FINANCIAL MGT")</f>
        <v>DIR OFFICE OF FINANCIAL MGT</v>
      </c>
      <c r="C22" t="str">
        <f>T("1849 C STREET NW  MS 5412")</f>
        <v>1849 C STREET NW  MS 5412</v>
      </c>
      <c r="D22" t="s">
        <v>0</v>
      </c>
      <c r="E22" t="s">
        <v>0</v>
      </c>
      <c r="F22" t="s">
        <v>0</v>
      </c>
      <c r="G22" t="str">
        <f t="shared" si="4"/>
        <v>WASHINGTON</v>
      </c>
      <c r="H22" t="str">
        <f t="shared" si="5"/>
        <v>DC </v>
      </c>
      <c r="I22" s="1">
        <f t="shared" si="6"/>
        <v>20240</v>
      </c>
      <c r="J22" s="1" t="str">
        <f>T("202 208 3250")</f>
        <v>202 208 3250</v>
      </c>
      <c r="K22" s="1" t="str">
        <f>T("202 208 6940")</f>
        <v>202 208 6940</v>
      </c>
    </row>
    <row r="23" spans="1:11" ht="12.75">
      <c r="A23" s="1" t="s">
        <v>2</v>
      </c>
      <c r="B23" t="str">
        <f>T("OFC OF WILDLAND FIRE COORDINTN")</f>
        <v>OFC OF WILDLAND FIRE COORDINTN</v>
      </c>
      <c r="C23" t="str">
        <f>T("1849 C STREET NW  MS 5258")</f>
        <v>1849 C STREET NW  MS 5258</v>
      </c>
      <c r="D23" t="s">
        <v>0</v>
      </c>
      <c r="E23" t="s">
        <v>0</v>
      </c>
      <c r="F23" t="s">
        <v>0</v>
      </c>
      <c r="G23" t="str">
        <f t="shared" si="4"/>
        <v>WASHINGTON</v>
      </c>
      <c r="H23" t="str">
        <f t="shared" si="5"/>
        <v>DC </v>
      </c>
      <c r="I23" s="1">
        <f t="shared" si="6"/>
        <v>20240</v>
      </c>
      <c r="J23" s="1" t="str">
        <f>T("202 208 1818")</f>
        <v>202 208 1818</v>
      </c>
      <c r="K23" s="1" t="str">
        <f>T("202 208 2619")</f>
        <v>202 208 2619</v>
      </c>
    </row>
    <row r="24" spans="1:11" ht="12.75">
      <c r="A24" s="1" t="s">
        <v>2</v>
      </c>
      <c r="B24" t="str">
        <f>T("DEP ASST SECY-PERF  ACCTBLTY")</f>
        <v>DEP ASST SECY-PERF  ACCTBLTY</v>
      </c>
      <c r="C24" t="str">
        <f>T("1849 C STREET NW  MS 5124")</f>
        <v>1849 C STREET NW  MS 5124</v>
      </c>
      <c r="D24" t="s">
        <v>0</v>
      </c>
      <c r="E24" t="s">
        <v>0</v>
      </c>
      <c r="F24" t="s">
        <v>0</v>
      </c>
      <c r="G24" t="str">
        <f t="shared" si="4"/>
        <v>WASHINGTON</v>
      </c>
      <c r="H24" t="str">
        <f t="shared" si="5"/>
        <v>DC </v>
      </c>
      <c r="I24" s="1">
        <f t="shared" si="6"/>
        <v>20240</v>
      </c>
      <c r="J24" s="1" t="str">
        <f>T("202 208 1738")</f>
        <v>202 208 1738</v>
      </c>
      <c r="K24" s="1" t="str">
        <f>T("202 219 2184")</f>
        <v>202 219 2184</v>
      </c>
    </row>
    <row r="25" spans="1:11" ht="12.75">
      <c r="A25" s="1" t="s">
        <v>2</v>
      </c>
      <c r="B25" t="str">
        <f>T("OFC OF HUMAN RESOURCES")</f>
        <v>OFC OF HUMAN RESOURCES</v>
      </c>
      <c r="C25" t="str">
        <f>T("1849 C STREET NW  MS 5221")</f>
        <v>1849 C STREET NW  MS 5221</v>
      </c>
      <c r="D25" t="s">
        <v>0</v>
      </c>
      <c r="E25" t="s">
        <v>0</v>
      </c>
      <c r="F25" t="s">
        <v>0</v>
      </c>
      <c r="G25" t="str">
        <f t="shared" si="4"/>
        <v>WASHINGTON</v>
      </c>
      <c r="H25" t="str">
        <f t="shared" si="5"/>
        <v>DC </v>
      </c>
      <c r="I25" s="1">
        <f t="shared" si="6"/>
        <v>20240</v>
      </c>
      <c r="J25" s="1" t="str">
        <f>T("202 208 1527")</f>
        <v>202 208 1527</v>
      </c>
      <c r="K25" s="1" t="str">
        <f>T("202 219 2184")</f>
        <v>202 219 2184</v>
      </c>
    </row>
    <row r="26" spans="1:11" ht="12.75">
      <c r="A26" s="1" t="s">
        <v>2</v>
      </c>
      <c r="B26" t="str">
        <f>T("OFC OF OCCUP. HEALTH &amp; SAFETY")</f>
        <v>OFC OF OCCUP. HEALTH &amp; SAFETY</v>
      </c>
      <c r="C26" t="str">
        <f>T("1849 C STREET NW  MS 5221")</f>
        <v>1849 C STREET NW  MS 5221</v>
      </c>
      <c r="D26" t="s">
        <v>0</v>
      </c>
      <c r="E26" t="s">
        <v>0</v>
      </c>
      <c r="F26" t="s">
        <v>0</v>
      </c>
      <c r="G26" t="str">
        <f t="shared" si="4"/>
        <v>WASHINGTON</v>
      </c>
      <c r="H26" t="str">
        <f t="shared" si="5"/>
        <v>DC </v>
      </c>
      <c r="I26" s="1">
        <f t="shared" si="6"/>
        <v>20240</v>
      </c>
      <c r="J26" s="1" t="str">
        <f>T("202 208 1527")</f>
        <v>202 208 1527</v>
      </c>
      <c r="K26" s="1" t="str">
        <f>T("202 219 2184")</f>
        <v>202 219 2184</v>
      </c>
    </row>
    <row r="27" spans="1:11" ht="12.75">
      <c r="A27" s="1" t="s">
        <v>2</v>
      </c>
      <c r="B27" t="str">
        <f>T("OFC OF THE SPECIAL TRUSTEE")</f>
        <v>OFC OF THE SPECIAL TRUSTEE</v>
      </c>
      <c r="C27" t="str">
        <f>T("1849 C STREET  NW 1")</f>
        <v>1849 C STREET  NW 1</v>
      </c>
      <c r="D27" t="str">
        <f>T("MAIL STOP 5141")</f>
        <v>MAIL STOP 5141</v>
      </c>
      <c r="E27" t="s">
        <v>0</v>
      </c>
      <c r="F27" t="s">
        <v>0</v>
      </c>
      <c r="G27" t="str">
        <f t="shared" si="4"/>
        <v>WASHINGTON</v>
      </c>
      <c r="H27" t="str">
        <f t="shared" si="5"/>
        <v>DC </v>
      </c>
      <c r="I27" s="1">
        <f t="shared" si="6"/>
        <v>20240</v>
      </c>
      <c r="J27" s="2">
        <f>N(2022084866)</f>
        <v>2022084866</v>
      </c>
      <c r="K27" s="1">
        <f>N(2022087545)</f>
        <v>2022087545</v>
      </c>
    </row>
    <row r="28" spans="1:11" ht="12.75">
      <c r="A28" s="1" t="s">
        <v>2</v>
      </c>
      <c r="B28" t="str">
        <f>T("OFC OF PRINCIPAL DEPUTY")</f>
        <v>OFC OF PRINCIPAL DEPUTY</v>
      </c>
      <c r="C28" t="str">
        <f>T("505 MARQUETTE AVE NW")</f>
        <v>505 MARQUETTE AVE NW</v>
      </c>
      <c r="D28" t="str">
        <f>T("SUITE 1000")</f>
        <v>SUITE 1000</v>
      </c>
      <c r="E28" t="s">
        <v>0</v>
      </c>
      <c r="F28" t="s">
        <v>0</v>
      </c>
      <c r="G28" t="str">
        <f aca="true" t="shared" si="7" ref="G28:G33">T("ALBUQUERQUE")</f>
        <v>ALBUQUERQUE</v>
      </c>
      <c r="H28" t="str">
        <f aca="true" t="shared" si="8" ref="H28:H33">T("NM ")</f>
        <v>NM </v>
      </c>
      <c r="I28" s="1">
        <f>N(87102)</f>
        <v>87102</v>
      </c>
      <c r="J28" s="1" t="s">
        <v>0</v>
      </c>
      <c r="K28" s="1">
        <f>N(5058161367)</f>
        <v>5058161367</v>
      </c>
    </row>
    <row r="29" spans="1:11" ht="12.75">
      <c r="A29" s="1" t="s">
        <v>2</v>
      </c>
      <c r="B29" t="str">
        <f>T("EXTERNAL AFFAIRS")</f>
        <v>EXTERNAL AFFAIRS</v>
      </c>
      <c r="C29" t="str">
        <f>T("4400 MASTHEAD NE")</f>
        <v>4400 MASTHEAD NE</v>
      </c>
      <c r="D29" t="s">
        <v>0</v>
      </c>
      <c r="E29" t="s">
        <v>0</v>
      </c>
      <c r="F29" t="s">
        <v>0</v>
      </c>
      <c r="G29" t="str">
        <f t="shared" si="7"/>
        <v>ALBUQUERQUE</v>
      </c>
      <c r="H29" t="str">
        <f t="shared" si="8"/>
        <v>NM </v>
      </c>
      <c r="I29" s="1">
        <f>N(87109)</f>
        <v>87109</v>
      </c>
      <c r="J29" s="1">
        <f>N(5058161240)</f>
        <v>5058161240</v>
      </c>
      <c r="K29" s="1" t="s">
        <v>0</v>
      </c>
    </row>
    <row r="30" spans="1:11" ht="12.75">
      <c r="A30" s="1" t="s">
        <v>2</v>
      </c>
      <c r="B30" t="str">
        <f>T("TRUST ACCTABLTY DEPUTY TRUSTEE")</f>
        <v>TRUST ACCTABLTY DEPUTY TRUSTEE</v>
      </c>
      <c r="C30" t="str">
        <f>T("505 MARQUETTE AVE NW")</f>
        <v>505 MARQUETTE AVE NW</v>
      </c>
      <c r="D30" t="str">
        <f>T("SUITE 1000")</f>
        <v>SUITE 1000</v>
      </c>
      <c r="E30" t="s">
        <v>0</v>
      </c>
      <c r="F30" t="s">
        <v>0</v>
      </c>
      <c r="G30" t="str">
        <f t="shared" si="7"/>
        <v>ALBUQUERQUE</v>
      </c>
      <c r="H30" t="str">
        <f t="shared" si="8"/>
        <v>NM </v>
      </c>
      <c r="I30" s="1">
        <f>N(87102)</f>
        <v>87102</v>
      </c>
      <c r="J30" s="1" t="s">
        <v>0</v>
      </c>
      <c r="K30" s="1">
        <f>N(5058161377)</f>
        <v>5058161377</v>
      </c>
    </row>
    <row r="31" spans="1:11" ht="12.75">
      <c r="A31" s="1" t="s">
        <v>2</v>
      </c>
      <c r="B31" t="str">
        <f>T("CHIEF INFORMATION OFFICER")</f>
        <v>CHIEF INFORMATION OFFICER</v>
      </c>
      <c r="C31" t="str">
        <f>T("505 MARQUETTE AVE NW")</f>
        <v>505 MARQUETTE AVE NW</v>
      </c>
      <c r="D31" t="str">
        <f>T("SUITE 1000")</f>
        <v>SUITE 1000</v>
      </c>
      <c r="E31" t="s">
        <v>0</v>
      </c>
      <c r="F31" t="s">
        <v>0</v>
      </c>
      <c r="G31" t="str">
        <f t="shared" si="7"/>
        <v>ALBUQUERQUE</v>
      </c>
      <c r="H31" t="str">
        <f t="shared" si="8"/>
        <v>NM </v>
      </c>
      <c r="I31" s="1">
        <f>N(87102)</f>
        <v>87102</v>
      </c>
      <c r="J31" s="1" t="s">
        <v>0</v>
      </c>
      <c r="K31" s="1">
        <f>N(5058161350)</f>
        <v>5058161350</v>
      </c>
    </row>
    <row r="32" spans="1:11" ht="12.75">
      <c r="A32" s="1" t="s">
        <v>2</v>
      </c>
      <c r="B32" t="str">
        <f>T("TRUST SERVICES DEPUTY TRUSTEE")</f>
        <v>TRUST SERVICES DEPUTY TRUSTEE</v>
      </c>
      <c r="C32" t="str">
        <f>T("505 MARQUETTE AVE NW")</f>
        <v>505 MARQUETTE AVE NW</v>
      </c>
      <c r="D32" t="str">
        <f>T("SUITE 1000")</f>
        <v>SUITE 1000</v>
      </c>
      <c r="E32" t="s">
        <v>0</v>
      </c>
      <c r="F32" t="s">
        <v>0</v>
      </c>
      <c r="G32" t="str">
        <f t="shared" si="7"/>
        <v>ALBUQUERQUE</v>
      </c>
      <c r="H32" t="str">
        <f t="shared" si="8"/>
        <v>NM </v>
      </c>
      <c r="I32" s="1">
        <f>N(87102)</f>
        <v>87102</v>
      </c>
      <c r="J32" s="1" t="s">
        <v>0</v>
      </c>
      <c r="K32" s="1">
        <f>N(5058161363)</f>
        <v>5058161363</v>
      </c>
    </row>
    <row r="33" spans="1:11" ht="12.75">
      <c r="A33" s="1" t="s">
        <v>2</v>
      </c>
      <c r="B33" t="str">
        <f>T("FIELD OPERATIONS DEPUTY TRUSTE")</f>
        <v>FIELD OPERATIONS DEPUTY TRUSTE</v>
      </c>
      <c r="C33" t="str">
        <f>T("505 MARQUETTE AVE NW")</f>
        <v>505 MARQUETTE AVE NW</v>
      </c>
      <c r="D33" t="str">
        <f>T("SUITE 1000")</f>
        <v>SUITE 1000</v>
      </c>
      <c r="E33" t="s">
        <v>0</v>
      </c>
      <c r="F33" t="s">
        <v>0</v>
      </c>
      <c r="G33" t="str">
        <f t="shared" si="7"/>
        <v>ALBUQUERQUE</v>
      </c>
      <c r="H33" t="str">
        <f t="shared" si="8"/>
        <v>NM </v>
      </c>
      <c r="I33" s="1">
        <f>N(87102)</f>
        <v>87102</v>
      </c>
      <c r="J33" s="1" t="s">
        <v>0</v>
      </c>
      <c r="K33" s="1">
        <f>N(5058161015)</f>
        <v>5058161015</v>
      </c>
    </row>
    <row r="34" spans="1:11" ht="12.75">
      <c r="A34" s="1" t="s">
        <v>2</v>
      </c>
      <c r="B34" t="str">
        <f>T("OFC OF THE SOLICITOR")</f>
        <v>OFC OF THE SOLICITOR</v>
      </c>
      <c r="C34" t="str">
        <f>T("1849 C STREET NW  MS 7456")</f>
        <v>1849 C STREET NW  MS 7456</v>
      </c>
      <c r="D34" t="s">
        <v>0</v>
      </c>
      <c r="E34" t="s">
        <v>0</v>
      </c>
      <c r="F34" t="s">
        <v>0</v>
      </c>
      <c r="G34" t="str">
        <f aca="true" t="shared" si="9" ref="G34:G40">T("WASHINGTON")</f>
        <v>WASHINGTON</v>
      </c>
      <c r="H34" t="str">
        <f aca="true" t="shared" si="10" ref="H34:H40">T("DC ")</f>
        <v>DC </v>
      </c>
      <c r="I34" s="1">
        <f aca="true" t="shared" si="11" ref="I34:I40">N(20240)</f>
        <v>20240</v>
      </c>
      <c r="J34" s="1" t="str">
        <f aca="true" t="shared" si="12" ref="J34:J54">T("202 208 5761")</f>
        <v>202 208 5761</v>
      </c>
      <c r="K34" s="1" t="str">
        <f aca="true" t="shared" si="13" ref="K34:K54">T("202 208 5584")</f>
        <v>202 208 5584</v>
      </c>
    </row>
    <row r="35" spans="1:11" ht="12.75">
      <c r="A35" s="1" t="s">
        <v>2</v>
      </c>
      <c r="B35" t="str">
        <f>T("DIV OF INDIAN AFFAIRS")</f>
        <v>DIV OF INDIAN AFFAIRS</v>
      </c>
      <c r="C35" t="str">
        <f>T("1849 C STREET NW  MS 6456")</f>
        <v>1849 C STREET NW  MS 6456</v>
      </c>
      <c r="D35" t="s">
        <v>0</v>
      </c>
      <c r="E35" t="s">
        <v>0</v>
      </c>
      <c r="F35" t="s">
        <v>0</v>
      </c>
      <c r="G35" t="str">
        <f t="shared" si="9"/>
        <v>WASHINGTON</v>
      </c>
      <c r="H35" t="str">
        <f t="shared" si="10"/>
        <v>DC </v>
      </c>
      <c r="I35" s="1">
        <f t="shared" si="11"/>
        <v>20240</v>
      </c>
      <c r="J35" s="1" t="str">
        <f t="shared" si="12"/>
        <v>202 208 5761</v>
      </c>
      <c r="K35" s="1" t="str">
        <f t="shared" si="13"/>
        <v>202 208 5584</v>
      </c>
    </row>
    <row r="36" spans="1:11" ht="12.75">
      <c r="A36" s="1" t="s">
        <v>2</v>
      </c>
      <c r="B36" t="str">
        <f>T("DIV OF CONSRVN &amp; WLDLIF")</f>
        <v>DIV OF CONSRVN &amp; WLDLIF</v>
      </c>
      <c r="C36" t="str">
        <f>T("1849 C STREET NW  MS 7456")</f>
        <v>1849 C STREET NW  MS 7456</v>
      </c>
      <c r="D36" t="s">
        <v>0</v>
      </c>
      <c r="E36" t="s">
        <v>0</v>
      </c>
      <c r="F36" t="s">
        <v>0</v>
      </c>
      <c r="G36" t="str">
        <f t="shared" si="9"/>
        <v>WASHINGTON</v>
      </c>
      <c r="H36" t="str">
        <f t="shared" si="10"/>
        <v>DC </v>
      </c>
      <c r="I36" s="1">
        <f t="shared" si="11"/>
        <v>20240</v>
      </c>
      <c r="J36" s="1" t="str">
        <f t="shared" si="12"/>
        <v>202 208 5761</v>
      </c>
      <c r="K36" s="1" t="str">
        <f t="shared" si="13"/>
        <v>202 208 5584</v>
      </c>
    </row>
    <row r="37" spans="1:11" ht="12.75">
      <c r="A37" s="1" t="s">
        <v>2</v>
      </c>
      <c r="B37" t="str">
        <f>T("DIV OF LAND AND WATER RESRCS")</f>
        <v>DIV OF LAND AND WATER RESRCS</v>
      </c>
      <c r="C37" t="str">
        <f>T("1849 C STREET NW  MS 7456")</f>
        <v>1849 C STREET NW  MS 7456</v>
      </c>
      <c r="D37" t="s">
        <v>0</v>
      </c>
      <c r="E37" t="s">
        <v>0</v>
      </c>
      <c r="F37" t="s">
        <v>0</v>
      </c>
      <c r="G37" t="str">
        <f t="shared" si="9"/>
        <v>WASHINGTON</v>
      </c>
      <c r="H37" t="str">
        <f t="shared" si="10"/>
        <v>DC </v>
      </c>
      <c r="I37" s="1">
        <f t="shared" si="11"/>
        <v>20240</v>
      </c>
      <c r="J37" s="1" t="str">
        <f t="shared" si="12"/>
        <v>202 208 5761</v>
      </c>
      <c r="K37" s="1" t="str">
        <f t="shared" si="13"/>
        <v>202 208 5584</v>
      </c>
    </row>
    <row r="38" spans="1:11" ht="12.75">
      <c r="A38" s="1" t="s">
        <v>2</v>
      </c>
      <c r="B38" t="str">
        <f>T("DIV OF MINERAL RESRCS")</f>
        <v>DIV OF MINERAL RESRCS</v>
      </c>
      <c r="C38" t="str">
        <f>T("1849 C STREET NW  MS 7456")</f>
        <v>1849 C STREET NW  MS 7456</v>
      </c>
      <c r="D38" t="s">
        <v>0</v>
      </c>
      <c r="E38" t="s">
        <v>0</v>
      </c>
      <c r="F38" t="s">
        <v>0</v>
      </c>
      <c r="G38" t="str">
        <f t="shared" si="9"/>
        <v>WASHINGTON</v>
      </c>
      <c r="H38" t="str">
        <f t="shared" si="10"/>
        <v>DC </v>
      </c>
      <c r="I38" s="1">
        <f t="shared" si="11"/>
        <v>20240</v>
      </c>
      <c r="J38" s="1" t="str">
        <f t="shared" si="12"/>
        <v>202 208 5761</v>
      </c>
      <c r="K38" s="1" t="str">
        <f t="shared" si="13"/>
        <v>202 208 5584</v>
      </c>
    </row>
    <row r="39" spans="1:11" ht="12.75">
      <c r="A39" s="1" t="s">
        <v>2</v>
      </c>
      <c r="B39" t="str">
        <f>T("DIV OF ADMIN")</f>
        <v>DIV OF ADMIN</v>
      </c>
      <c r="C39" t="str">
        <f>T("1849 C STREET NW  MS 7456")</f>
        <v>1849 C STREET NW  MS 7456</v>
      </c>
      <c r="D39" t="s">
        <v>0</v>
      </c>
      <c r="E39" t="s">
        <v>0</v>
      </c>
      <c r="F39" t="s">
        <v>0</v>
      </c>
      <c r="G39" t="str">
        <f t="shared" si="9"/>
        <v>WASHINGTON</v>
      </c>
      <c r="H39" t="str">
        <f t="shared" si="10"/>
        <v>DC </v>
      </c>
      <c r="I39" s="1">
        <f t="shared" si="11"/>
        <v>20240</v>
      </c>
      <c r="J39" s="1" t="str">
        <f t="shared" si="12"/>
        <v>202 208 5761</v>
      </c>
      <c r="K39" s="1" t="str">
        <f t="shared" si="13"/>
        <v>202 208 5584</v>
      </c>
    </row>
    <row r="40" spans="1:11" ht="12.75">
      <c r="A40" s="1" t="s">
        <v>2</v>
      </c>
      <c r="B40" t="str">
        <f>T("MGMT INFO SYS")</f>
        <v>MGMT INFO SYS</v>
      </c>
      <c r="C40" t="str">
        <f>T("1849 C STREET NW  MS 7456")</f>
        <v>1849 C STREET NW  MS 7456</v>
      </c>
      <c r="D40" t="s">
        <v>0</v>
      </c>
      <c r="E40" t="s">
        <v>0</v>
      </c>
      <c r="F40" t="s">
        <v>0</v>
      </c>
      <c r="G40" t="str">
        <f t="shared" si="9"/>
        <v>WASHINGTON</v>
      </c>
      <c r="H40" t="str">
        <f t="shared" si="10"/>
        <v>DC </v>
      </c>
      <c r="I40" s="1">
        <f t="shared" si="11"/>
        <v>20240</v>
      </c>
      <c r="J40" s="1" t="str">
        <f t="shared" si="12"/>
        <v>202 208 5761</v>
      </c>
      <c r="K40" s="1" t="str">
        <f t="shared" si="13"/>
        <v>202 208 5584</v>
      </c>
    </row>
    <row r="41" spans="1:11" ht="12.75">
      <c r="A41" s="1" t="s">
        <v>2</v>
      </c>
      <c r="B41" t="str">
        <f>T("ROCKY MOUNTAIN REGION (DENVER)")</f>
        <v>ROCKY MOUNTAIN REGION (DENVER)</v>
      </c>
      <c r="C41" t="str">
        <f>T("755 PARFET STREET  ROOM 151 ")</f>
        <v>755 PARFET STREET  ROOM 151 </v>
      </c>
      <c r="D41" t="s">
        <v>0</v>
      </c>
      <c r="E41" t="s">
        <v>0</v>
      </c>
      <c r="F41" t="s">
        <v>0</v>
      </c>
      <c r="G41" t="str">
        <f>T("DENVER")</f>
        <v>DENVER</v>
      </c>
      <c r="H41" t="str">
        <f>T("CO ")</f>
        <v>CO </v>
      </c>
      <c r="I41" s="1">
        <f>N(80215)</f>
        <v>80215</v>
      </c>
      <c r="J41" s="1" t="str">
        <f t="shared" si="12"/>
        <v>202 208 5761</v>
      </c>
      <c r="K41" s="1" t="str">
        <f t="shared" si="13"/>
        <v>202 208 5584</v>
      </c>
    </row>
    <row r="42" spans="1:11" ht="12.75">
      <c r="A42" s="1" t="s">
        <v>2</v>
      </c>
      <c r="B42" t="str">
        <f>T("NORTHEAST REGION (BOSTON)")</f>
        <v>NORTHEAST REGION (BOSTON)</v>
      </c>
      <c r="C42" t="str">
        <f>T("ONE GATEWAY CENTER  SUITE 612 ")</f>
        <v>ONE GATEWAY CENTER  SUITE 612 </v>
      </c>
      <c r="D42" t="s">
        <v>0</v>
      </c>
      <c r="E42" t="s">
        <v>0</v>
      </c>
      <c r="F42" t="s">
        <v>0</v>
      </c>
      <c r="G42" t="str">
        <f>T("NEWTON")</f>
        <v>NEWTON</v>
      </c>
      <c r="H42" t="str">
        <f>T("MA ")</f>
        <v>MA </v>
      </c>
      <c r="I42" s="1"/>
      <c r="J42" s="1" t="str">
        <f t="shared" si="12"/>
        <v>202 208 5761</v>
      </c>
      <c r="K42" s="1" t="str">
        <f t="shared" si="13"/>
        <v>202 208 5584</v>
      </c>
    </row>
    <row r="43" spans="1:11" ht="12.75">
      <c r="A43" s="1" t="s">
        <v>2</v>
      </c>
      <c r="B43" t="str">
        <f>T("PITTSBURGH FIELD OFC")</f>
        <v>PITTSBURGH FIELD OFC</v>
      </c>
      <c r="C43" t="str">
        <f>T("THREE PARKWAY CENTER  SUITE 385 ")</f>
        <v>THREE PARKWAY CENTER  SUITE 385 </v>
      </c>
      <c r="D43" t="s">
        <v>0</v>
      </c>
      <c r="E43" t="s">
        <v>0</v>
      </c>
      <c r="F43" t="s">
        <v>0</v>
      </c>
      <c r="G43" t="str">
        <f>T("PITTSBURGH")</f>
        <v>PITTSBURGH</v>
      </c>
      <c r="H43" t="str">
        <f>T("PA ")</f>
        <v>PA </v>
      </c>
      <c r="I43" s="1">
        <f>N(15220)</f>
        <v>15220</v>
      </c>
      <c r="J43" s="1" t="str">
        <f t="shared" si="12"/>
        <v>202 208 5761</v>
      </c>
      <c r="K43" s="1" t="str">
        <f t="shared" si="13"/>
        <v>202 208 5584</v>
      </c>
    </row>
    <row r="44" spans="1:11" ht="12.75">
      <c r="A44" s="1" t="s">
        <v>2</v>
      </c>
      <c r="B44" t="str">
        <f>T("TWIN CITIES FIELD OFC")</f>
        <v>TWIN CITIES FIELD OFC</v>
      </c>
      <c r="C44" t="str">
        <f>T("1 FEDERAL DRIVE  SUITE 686 ")</f>
        <v>1 FEDERAL DRIVE  SUITE 686 </v>
      </c>
      <c r="D44" t="s">
        <v>0</v>
      </c>
      <c r="E44" t="s">
        <v>0</v>
      </c>
      <c r="F44" t="s">
        <v>0</v>
      </c>
      <c r="G44" t="str">
        <f>T("FORT SNELLING")</f>
        <v>FORT SNELLING</v>
      </c>
      <c r="H44" t="str">
        <f>T("MN ")</f>
        <v>MN </v>
      </c>
      <c r="I44" s="1">
        <f>N(55111)</f>
        <v>55111</v>
      </c>
      <c r="J44" s="1" t="str">
        <f t="shared" si="12"/>
        <v>202 208 5761</v>
      </c>
      <c r="K44" s="1" t="str">
        <f t="shared" si="13"/>
        <v>202 208 5584</v>
      </c>
    </row>
    <row r="45" spans="1:11" ht="12.75">
      <c r="A45" s="1" t="s">
        <v>2</v>
      </c>
      <c r="B45" t="str">
        <f>T("BOISE FIELD OFC")</f>
        <v>BOISE FIELD OFC</v>
      </c>
      <c r="C45" t="str">
        <f>T("550 W. FORTE STREET  MSC 020  ROOM 365 ")</f>
        <v>550 W. FORTE STREET  MSC 020  ROOM 365 </v>
      </c>
      <c r="D45" t="s">
        <v>0</v>
      </c>
      <c r="E45" t="s">
        <v>0</v>
      </c>
      <c r="F45" t="s">
        <v>0</v>
      </c>
      <c r="G45" t="str">
        <f>T("BOISE")</f>
        <v>BOISE</v>
      </c>
      <c r="H45" t="str">
        <f>T("ID ")</f>
        <v>ID </v>
      </c>
      <c r="I45" s="1">
        <f>N(83724)</f>
        <v>83724</v>
      </c>
      <c r="J45" s="1" t="str">
        <f t="shared" si="12"/>
        <v>202 208 5761</v>
      </c>
      <c r="K45" s="1" t="str">
        <f t="shared" si="13"/>
        <v>202 208 5584</v>
      </c>
    </row>
    <row r="46" spans="1:11" ht="12.75">
      <c r="A46" s="1" t="s">
        <v>2</v>
      </c>
      <c r="B46" t="str">
        <f>T("PACIFIC SOUTHWEST RGN (SACTO)")</f>
        <v>PACIFIC SOUTHWEST RGN (SACTO)</v>
      </c>
      <c r="C46" t="str">
        <f>T("2800 COTTAGE WAY  ROOM E 1712 ")</f>
        <v>2800 COTTAGE WAY  ROOM E 1712 </v>
      </c>
      <c r="D46" t="s">
        <v>0</v>
      </c>
      <c r="E46" t="s">
        <v>0</v>
      </c>
      <c r="F46" t="s">
        <v>0</v>
      </c>
      <c r="G46" t="str">
        <f>T("SACRAMENTO")</f>
        <v>SACRAMENTO</v>
      </c>
      <c r="H46" t="str">
        <f>T("CA ")</f>
        <v>CA </v>
      </c>
      <c r="I46" s="1">
        <f>N(95825)</f>
        <v>95825</v>
      </c>
      <c r="J46" s="1" t="str">
        <f t="shared" si="12"/>
        <v>202 208 5761</v>
      </c>
      <c r="K46" s="1" t="str">
        <f t="shared" si="13"/>
        <v>202 208 5584</v>
      </c>
    </row>
    <row r="47" spans="1:11" ht="12.75">
      <c r="A47" s="1" t="s">
        <v>2</v>
      </c>
      <c r="B47" t="str">
        <f>T("SAN FRAN CA OFC(SACTO RO)")</f>
        <v>SAN FRAN CA OFC(SACTO RO)</v>
      </c>
      <c r="C47" t="str">
        <f>T("1111 JACKSON STREET  SUITE 735 ")</f>
        <v>1111 JACKSON STREET  SUITE 735 </v>
      </c>
      <c r="D47" t="s">
        <v>0</v>
      </c>
      <c r="E47" t="s">
        <v>0</v>
      </c>
      <c r="F47" t="s">
        <v>0</v>
      </c>
      <c r="G47" t="str">
        <f>T("OAKLAND")</f>
        <v>OAKLAND</v>
      </c>
      <c r="H47" t="str">
        <f>T("CA ")</f>
        <v>CA </v>
      </c>
      <c r="I47" s="1">
        <f>N(94607)</f>
        <v>94607</v>
      </c>
      <c r="J47" s="1" t="str">
        <f t="shared" si="12"/>
        <v>202 208 5761</v>
      </c>
      <c r="K47" s="1" t="str">
        <f t="shared" si="13"/>
        <v>202 208 5584</v>
      </c>
    </row>
    <row r="48" spans="1:11" ht="12.75">
      <c r="A48" s="1" t="s">
        <v>2</v>
      </c>
      <c r="B48" t="str">
        <f>T("SALT LAKE CITY FIELD OFC")</f>
        <v>SALT LAKE CITY FIELD OFC</v>
      </c>
      <c r="C48" t="str">
        <f>T("125 SOUTH STATE STREET")</f>
        <v>125 SOUTH STATE STREET</v>
      </c>
      <c r="D48" t="s">
        <v>0</v>
      </c>
      <c r="E48" t="s">
        <v>0</v>
      </c>
      <c r="F48" t="s">
        <v>0</v>
      </c>
      <c r="G48" t="str">
        <f>T("SALT LAKE CITY")</f>
        <v>SALT LAKE CITY</v>
      </c>
      <c r="H48" t="str">
        <f>T("UT ")</f>
        <v>UT </v>
      </c>
      <c r="I48" s="1">
        <f>N(84138)</f>
        <v>84138</v>
      </c>
      <c r="J48" s="1" t="str">
        <f t="shared" si="12"/>
        <v>202 208 5761</v>
      </c>
      <c r="K48" s="1" t="str">
        <f t="shared" si="13"/>
        <v>202 208 5584</v>
      </c>
    </row>
    <row r="49" spans="1:11" ht="12.75">
      <c r="A49" s="1" t="s">
        <v>2</v>
      </c>
      <c r="B49" t="str">
        <f>T("AK REGION (ANCHORAGE)")</f>
        <v>AK REGION (ANCHORAGE)</v>
      </c>
      <c r="C49" t="str">
        <f>T("4230 UNIVERSITY DRIVE  SUITE 300 ")</f>
        <v>4230 UNIVERSITY DRIVE  SUITE 300 </v>
      </c>
      <c r="D49" t="s">
        <v>0</v>
      </c>
      <c r="E49" t="s">
        <v>0</v>
      </c>
      <c r="F49" t="s">
        <v>0</v>
      </c>
      <c r="G49" t="str">
        <f>T("ANCHORAGE")</f>
        <v>ANCHORAGE</v>
      </c>
      <c r="H49" t="str">
        <f>T("AK ")</f>
        <v>AK </v>
      </c>
      <c r="I49" s="1">
        <f>N(99508)</f>
        <v>99508</v>
      </c>
      <c r="J49" s="1" t="str">
        <f t="shared" si="12"/>
        <v>202 208 5761</v>
      </c>
      <c r="K49" s="1" t="str">
        <f t="shared" si="13"/>
        <v>202 208 5584</v>
      </c>
    </row>
    <row r="50" spans="1:11" ht="12.75">
      <c r="A50" s="1" t="s">
        <v>2</v>
      </c>
      <c r="B50" t="str">
        <f>T("SOUTHEAST REGION (ATLANTA)")</f>
        <v>SOUTHEAST REGION (ATLANTA)</v>
      </c>
      <c r="C50" t="str">
        <f>T("75 SPRING STREET  S.W..  SUITE 304 ")</f>
        <v>75 SPRING STREET  S.W..  SUITE 304 </v>
      </c>
      <c r="D50" t="s">
        <v>0</v>
      </c>
      <c r="E50" t="s">
        <v>0</v>
      </c>
      <c r="F50" t="s">
        <v>0</v>
      </c>
      <c r="G50" t="str">
        <f>T("ATLANTA")</f>
        <v>ATLANTA</v>
      </c>
      <c r="H50" t="str">
        <f>T("GA ")</f>
        <v>GA </v>
      </c>
      <c r="I50" s="1">
        <f>N(30303)</f>
        <v>30303</v>
      </c>
      <c r="J50" s="1" t="str">
        <f t="shared" si="12"/>
        <v>202 208 5761</v>
      </c>
      <c r="K50" s="1" t="str">
        <f t="shared" si="13"/>
        <v>202 208 5584</v>
      </c>
    </row>
    <row r="51" spans="1:11" ht="12.75">
      <c r="A51" s="1" t="s">
        <v>2</v>
      </c>
      <c r="B51" t="str">
        <f>T("KNOXVILLE FIELD OFC")</f>
        <v>KNOXVILLE FIELD OFC</v>
      </c>
      <c r="C51" t="str">
        <f>T("530 GAY STREET  ROOM 308 ")</f>
        <v>530 GAY STREET  ROOM 308 </v>
      </c>
      <c r="D51" t="s">
        <v>0</v>
      </c>
      <c r="E51" t="s">
        <v>0</v>
      </c>
      <c r="F51" t="s">
        <v>0</v>
      </c>
      <c r="G51" t="str">
        <f>T("KNOXVILLE")</f>
        <v>KNOXVILLE</v>
      </c>
      <c r="H51" t="str">
        <f>T("TN ")</f>
        <v>TN </v>
      </c>
      <c r="I51" s="1">
        <f>N(37902)</f>
        <v>37902</v>
      </c>
      <c r="J51" s="1" t="str">
        <f t="shared" si="12"/>
        <v>202 208 5761</v>
      </c>
      <c r="K51" s="1" t="str">
        <f t="shared" si="13"/>
        <v>202 208 5584</v>
      </c>
    </row>
    <row r="52" spans="1:11" ht="12.75">
      <c r="A52" s="1" t="s">
        <v>2</v>
      </c>
      <c r="B52" t="str">
        <f>T("S'WEST REGION (ALBUQUERQUE)")</f>
        <v>S'WEST REGION (ALBUQUERQUE)</v>
      </c>
      <c r="C52" t="str">
        <f>T("2400 LOUISIANA BLVD.  N.E. ")</f>
        <v>2400 LOUISIANA BLVD.  N.E. </v>
      </c>
      <c r="D52" t="s">
        <v>0</v>
      </c>
      <c r="E52" t="s">
        <v>0</v>
      </c>
      <c r="F52" t="s">
        <v>0</v>
      </c>
      <c r="G52" t="str">
        <f>T("ALBUQUERQUE")</f>
        <v>ALBUQUERQUE</v>
      </c>
      <c r="H52" t="str">
        <f>T("NM ")</f>
        <v>NM </v>
      </c>
      <c r="I52" s="1">
        <f>N(87110)</f>
        <v>87110</v>
      </c>
      <c r="J52" s="1" t="str">
        <f t="shared" si="12"/>
        <v>202 208 5761</v>
      </c>
      <c r="K52" s="1" t="str">
        <f t="shared" si="13"/>
        <v>202 208 5584</v>
      </c>
    </row>
    <row r="53" spans="1:11" ht="12.75">
      <c r="A53" s="1" t="s">
        <v>2</v>
      </c>
      <c r="B53" t="str">
        <f>T("SANTA FE  NM FLD OFC (ALB RO)")</f>
        <v>SANTA FE  NM FLD OFC (ALB RO)</v>
      </c>
      <c r="C53" t="str">
        <f>T("P.O. BOX 1042 PASIANO BUILDING")</f>
        <v>P.O. BOX 1042 PASIANO BUILDING</v>
      </c>
      <c r="D53" t="str">
        <f>T("RODEO PARK DRIVE WEST  ROOM 2070 ")</f>
        <v>RODEO PARK DRIVE WEST  ROOM 2070 </v>
      </c>
      <c r="E53" t="s">
        <v>0</v>
      </c>
      <c r="F53" t="s">
        <v>0</v>
      </c>
      <c r="G53" t="str">
        <f>T("SANTA FE")</f>
        <v>SANTA FE</v>
      </c>
      <c r="H53" t="str">
        <f>T("NM ")</f>
        <v>NM </v>
      </c>
      <c r="I53" s="1">
        <f>N(87505)</f>
        <v>87505</v>
      </c>
      <c r="J53" s="1" t="str">
        <f t="shared" si="12"/>
        <v>202 208 5761</v>
      </c>
      <c r="K53" s="1" t="str">
        <f t="shared" si="13"/>
        <v>202 208 5584</v>
      </c>
    </row>
    <row r="54" spans="1:11" ht="12.75">
      <c r="A54" s="1" t="s">
        <v>2</v>
      </c>
      <c r="B54" t="str">
        <f>T("TULSA  OK FLD OFC (ALB RO)")</f>
        <v>TULSA  OK FLD OFC (ALB RO)</v>
      </c>
      <c r="C54" t="str">
        <f>T("7906 EAST 33RD STREET  SUITE 100 ")</f>
        <v>7906 EAST 33RD STREET  SUITE 100 </v>
      </c>
      <c r="D54" t="s">
        <v>0</v>
      </c>
      <c r="E54" t="s">
        <v>0</v>
      </c>
      <c r="F54" t="s">
        <v>0</v>
      </c>
      <c r="G54" t="str">
        <f>T("TULSA")</f>
        <v>TULSA</v>
      </c>
      <c r="H54" t="str">
        <f>T("OK ")</f>
        <v>OK </v>
      </c>
      <c r="I54" s="1">
        <f>N(74145)</f>
        <v>74145</v>
      </c>
      <c r="J54" s="1" t="str">
        <f t="shared" si="12"/>
        <v>202 208 5761</v>
      </c>
      <c r="K54" s="1" t="str">
        <f t="shared" si="13"/>
        <v>202 208 5584</v>
      </c>
    </row>
    <row r="55" spans="1:11" ht="12.75">
      <c r="A55" s="1" t="s">
        <v>2</v>
      </c>
      <c r="B55" t="str">
        <f>T("OFFICE OF INSPECTOR GENERAL")</f>
        <v>OFFICE OF INSPECTOR GENERAL</v>
      </c>
      <c r="C55" t="str">
        <f>T("1849 C STREET NW  MS 5341")</f>
        <v>1849 C STREET NW  MS 5341</v>
      </c>
      <c r="D55" t="str">
        <f>T("1849 C ST NW MS 5341")</f>
        <v>1849 C ST NW MS 5341</v>
      </c>
      <c r="E55" t="s">
        <v>0</v>
      </c>
      <c r="F55" t="s">
        <v>0</v>
      </c>
      <c r="G55" t="str">
        <f>T("WASHINGTON")</f>
        <v>WASHINGTON</v>
      </c>
      <c r="H55" t="str">
        <f>T("DC ")</f>
        <v>DC </v>
      </c>
      <c r="I55" s="1">
        <f>N(20240)</f>
        <v>20240</v>
      </c>
      <c r="J55" s="1" t="str">
        <f>T("202 208 4599")</f>
        <v>202 208 4599</v>
      </c>
      <c r="K55" s="1" t="str">
        <f>T("202 208 5974")</f>
        <v>202 208 5974</v>
      </c>
    </row>
    <row r="56" spans="1:11" ht="12.75">
      <c r="A56" s="1" t="s">
        <v>2</v>
      </c>
      <c r="B56" t="str">
        <f>T("OFFICE OF MANAGEMENT")</f>
        <v>OFFICE OF MANAGEMENT</v>
      </c>
      <c r="C56" t="str">
        <f>T("12030 SUNRISE VALLEY DR")</f>
        <v>12030 SUNRISE VALLEY DR</v>
      </c>
      <c r="D56" t="str">
        <f>T("SUITE 230")</f>
        <v>SUITE 230</v>
      </c>
      <c r="E56" t="s">
        <v>0</v>
      </c>
      <c r="F56" t="s">
        <v>0</v>
      </c>
      <c r="G56" t="str">
        <f>T("RESTON")</f>
        <v>RESTON</v>
      </c>
      <c r="H56" t="str">
        <f>T("VA ")</f>
        <v>VA </v>
      </c>
      <c r="I56" s="1">
        <f>N(20191)</f>
        <v>20191</v>
      </c>
      <c r="J56" s="1">
        <f>N(7034875381)</f>
        <v>7034875381</v>
      </c>
      <c r="K56" s="1" t="s">
        <v>0</v>
      </c>
    </row>
    <row r="57" spans="1:11" ht="12.75">
      <c r="A57" s="1" t="s">
        <v>2</v>
      </c>
      <c r="B57" t="str">
        <f>T("ASST INSPECTOR GEN - AUDITS")</f>
        <v>ASST INSPECTOR GEN - AUDITS</v>
      </c>
      <c r="C57" t="str">
        <f aca="true" t="shared" si="14" ref="C57:C68">T("1849 C STREET NW  MS 5341")</f>
        <v>1849 C STREET NW  MS 5341</v>
      </c>
      <c r="D57" t="str">
        <f aca="true" t="shared" si="15" ref="D57:D68">T("1849 C ST NW MS 5341")</f>
        <v>1849 C ST NW MS 5341</v>
      </c>
      <c r="E57" t="s">
        <v>0</v>
      </c>
      <c r="F57" t="s">
        <v>0</v>
      </c>
      <c r="G57" t="str">
        <f aca="true" t="shared" si="16" ref="G57:G68">T("WASHINGTON")</f>
        <v>WASHINGTON</v>
      </c>
      <c r="H57" t="str">
        <f aca="true" t="shared" si="17" ref="H57:H68">T("DC ")</f>
        <v>DC </v>
      </c>
      <c r="I57" s="1">
        <f aca="true" t="shared" si="18" ref="I57:I68">N(20240)</f>
        <v>20240</v>
      </c>
      <c r="J57" s="1" t="str">
        <f aca="true" t="shared" si="19" ref="J57:J68">T("202 208 4599")</f>
        <v>202 208 4599</v>
      </c>
      <c r="K57" s="1" t="str">
        <f aca="true" t="shared" si="20" ref="K57:K68">T("202 208 5974")</f>
        <v>202 208 5974</v>
      </c>
    </row>
    <row r="58" spans="1:11" ht="12.75">
      <c r="A58" s="1" t="s">
        <v>2</v>
      </c>
      <c r="B58" t="str">
        <f>T("EXTERNAL AUDITS")</f>
        <v>EXTERNAL AUDITS</v>
      </c>
      <c r="C58" t="str">
        <f t="shared" si="14"/>
        <v>1849 C STREET NW  MS 5341</v>
      </c>
      <c r="D58" t="str">
        <f t="shared" si="15"/>
        <v>1849 C ST NW MS 5341</v>
      </c>
      <c r="E58" t="s">
        <v>0</v>
      </c>
      <c r="F58" t="s">
        <v>0</v>
      </c>
      <c r="G58" t="str">
        <f t="shared" si="16"/>
        <v>WASHINGTON</v>
      </c>
      <c r="H58" t="str">
        <f t="shared" si="17"/>
        <v>DC </v>
      </c>
      <c r="I58" s="1">
        <f t="shared" si="18"/>
        <v>20240</v>
      </c>
      <c r="J58" s="1" t="str">
        <f t="shared" si="19"/>
        <v>202 208 4599</v>
      </c>
      <c r="K58" s="1" t="str">
        <f t="shared" si="20"/>
        <v>202 208 5974</v>
      </c>
    </row>
    <row r="59" spans="1:11" ht="12.75">
      <c r="A59" s="1" t="s">
        <v>2</v>
      </c>
      <c r="B59" t="str">
        <f>T("LAKEWOOD  CO")</f>
        <v>LAKEWOOD  CO</v>
      </c>
      <c r="C59" t="str">
        <f t="shared" si="14"/>
        <v>1849 C STREET NW  MS 5341</v>
      </c>
      <c r="D59" t="str">
        <f t="shared" si="15"/>
        <v>1849 C ST NW MS 5341</v>
      </c>
      <c r="E59" t="s">
        <v>0</v>
      </c>
      <c r="F59" t="s">
        <v>0</v>
      </c>
      <c r="G59" t="str">
        <f t="shared" si="16"/>
        <v>WASHINGTON</v>
      </c>
      <c r="H59" t="str">
        <f t="shared" si="17"/>
        <v>DC </v>
      </c>
      <c r="I59" s="1">
        <f t="shared" si="18"/>
        <v>20240</v>
      </c>
      <c r="J59" s="1" t="str">
        <f t="shared" si="19"/>
        <v>202 208 4599</v>
      </c>
      <c r="K59" s="1" t="str">
        <f t="shared" si="20"/>
        <v>202 208 5974</v>
      </c>
    </row>
    <row r="60" spans="1:11" ht="12.75">
      <c r="A60" s="1" t="s">
        <v>2</v>
      </c>
      <c r="B60" t="str">
        <f>T("ALBUQUERQUE")</f>
        <v>ALBUQUERQUE</v>
      </c>
      <c r="C60" t="str">
        <f t="shared" si="14"/>
        <v>1849 C STREET NW  MS 5341</v>
      </c>
      <c r="D60" t="str">
        <f t="shared" si="15"/>
        <v>1849 C ST NW MS 5341</v>
      </c>
      <c r="E60" t="s">
        <v>0</v>
      </c>
      <c r="F60" t="s">
        <v>0</v>
      </c>
      <c r="G60" t="str">
        <f t="shared" si="16"/>
        <v>WASHINGTON</v>
      </c>
      <c r="H60" t="str">
        <f t="shared" si="17"/>
        <v>DC </v>
      </c>
      <c r="I60" s="1">
        <f t="shared" si="18"/>
        <v>20240</v>
      </c>
      <c r="J60" s="1" t="str">
        <f t="shared" si="19"/>
        <v>202 208 4599</v>
      </c>
      <c r="K60" s="1" t="str">
        <f t="shared" si="20"/>
        <v>202 208 5974</v>
      </c>
    </row>
    <row r="61" spans="1:11" ht="12.75">
      <c r="A61" s="1" t="s">
        <v>2</v>
      </c>
      <c r="B61" t="str">
        <f>T("SACRAMENTO")</f>
        <v>SACRAMENTO</v>
      </c>
      <c r="C61" t="str">
        <f t="shared" si="14"/>
        <v>1849 C STREET NW  MS 5341</v>
      </c>
      <c r="D61" t="str">
        <f t="shared" si="15"/>
        <v>1849 C ST NW MS 5341</v>
      </c>
      <c r="E61" t="s">
        <v>0</v>
      </c>
      <c r="F61" t="s">
        <v>0</v>
      </c>
      <c r="G61" t="str">
        <f t="shared" si="16"/>
        <v>WASHINGTON</v>
      </c>
      <c r="H61" t="str">
        <f t="shared" si="17"/>
        <v>DC </v>
      </c>
      <c r="I61" s="1">
        <f t="shared" si="18"/>
        <v>20240</v>
      </c>
      <c r="J61" s="1" t="str">
        <f t="shared" si="19"/>
        <v>202 208 4599</v>
      </c>
      <c r="K61" s="1" t="str">
        <f t="shared" si="20"/>
        <v>202 208 5974</v>
      </c>
    </row>
    <row r="62" spans="1:11" ht="12.75">
      <c r="A62" s="1" t="s">
        <v>2</v>
      </c>
      <c r="B62" t="str">
        <f>T("ASST INSP GEN - INVESTIG")</f>
        <v>ASST INSP GEN - INVESTIG</v>
      </c>
      <c r="C62" t="str">
        <f t="shared" si="14"/>
        <v>1849 C STREET NW  MS 5341</v>
      </c>
      <c r="D62" t="str">
        <f t="shared" si="15"/>
        <v>1849 C ST NW MS 5341</v>
      </c>
      <c r="E62" t="s">
        <v>0</v>
      </c>
      <c r="F62" t="s">
        <v>0</v>
      </c>
      <c r="G62" t="str">
        <f t="shared" si="16"/>
        <v>WASHINGTON</v>
      </c>
      <c r="H62" t="str">
        <f t="shared" si="17"/>
        <v>DC </v>
      </c>
      <c r="I62" s="1">
        <f t="shared" si="18"/>
        <v>20240</v>
      </c>
      <c r="J62" s="1" t="str">
        <f t="shared" si="19"/>
        <v>202 208 4599</v>
      </c>
      <c r="K62" s="1" t="str">
        <f t="shared" si="20"/>
        <v>202 208 5974</v>
      </c>
    </row>
    <row r="63" spans="1:11" ht="12.75">
      <c r="A63" s="1" t="s">
        <v>2</v>
      </c>
      <c r="B63" t="str">
        <f>T("EASTERN OPERS DIV ARL VA")</f>
        <v>EASTERN OPERS DIV ARL VA</v>
      </c>
      <c r="C63" t="str">
        <f t="shared" si="14"/>
        <v>1849 C STREET NW  MS 5341</v>
      </c>
      <c r="D63" t="str">
        <f t="shared" si="15"/>
        <v>1849 C ST NW MS 5341</v>
      </c>
      <c r="E63" t="s">
        <v>0</v>
      </c>
      <c r="F63" t="s">
        <v>0</v>
      </c>
      <c r="G63" t="str">
        <f t="shared" si="16"/>
        <v>WASHINGTON</v>
      </c>
      <c r="H63" t="str">
        <f t="shared" si="17"/>
        <v>DC </v>
      </c>
      <c r="I63" s="1">
        <f t="shared" si="18"/>
        <v>20240</v>
      </c>
      <c r="J63" s="1" t="str">
        <f t="shared" si="19"/>
        <v>202 208 4599</v>
      </c>
      <c r="K63" s="1" t="str">
        <f t="shared" si="20"/>
        <v>202 208 5974</v>
      </c>
    </row>
    <row r="64" spans="1:11" ht="12.75">
      <c r="A64" s="1" t="s">
        <v>2</v>
      </c>
      <c r="B64" t="str">
        <f>T("LAKEWOOD")</f>
        <v>LAKEWOOD</v>
      </c>
      <c r="C64" t="str">
        <f t="shared" si="14"/>
        <v>1849 C STREET NW  MS 5341</v>
      </c>
      <c r="D64" t="str">
        <f t="shared" si="15"/>
        <v>1849 C ST NW MS 5341</v>
      </c>
      <c r="E64" t="s">
        <v>0</v>
      </c>
      <c r="F64" t="s">
        <v>0</v>
      </c>
      <c r="G64" t="str">
        <f t="shared" si="16"/>
        <v>WASHINGTON</v>
      </c>
      <c r="H64" t="str">
        <f t="shared" si="17"/>
        <v>DC </v>
      </c>
      <c r="I64" s="1">
        <f t="shared" si="18"/>
        <v>20240</v>
      </c>
      <c r="J64" s="1" t="str">
        <f t="shared" si="19"/>
        <v>202 208 4599</v>
      </c>
      <c r="K64" s="1" t="str">
        <f t="shared" si="20"/>
        <v>202 208 5974</v>
      </c>
    </row>
    <row r="65" spans="1:11" ht="12.75">
      <c r="A65" s="1" t="s">
        <v>2</v>
      </c>
      <c r="B65" t="str">
        <f>T("TULSA  OK FIELD OFC")</f>
        <v>TULSA  OK FIELD OFC</v>
      </c>
      <c r="C65" t="str">
        <f t="shared" si="14"/>
        <v>1849 C STREET NW  MS 5341</v>
      </c>
      <c r="D65" t="str">
        <f t="shared" si="15"/>
        <v>1849 C ST NW MS 5341</v>
      </c>
      <c r="E65" t="s">
        <v>0</v>
      </c>
      <c r="F65" t="s">
        <v>0</v>
      </c>
      <c r="G65" t="str">
        <f t="shared" si="16"/>
        <v>WASHINGTON</v>
      </c>
      <c r="H65" t="str">
        <f t="shared" si="17"/>
        <v>DC </v>
      </c>
      <c r="I65" s="1">
        <f t="shared" si="18"/>
        <v>20240</v>
      </c>
      <c r="J65" s="1" t="str">
        <f t="shared" si="19"/>
        <v>202 208 4599</v>
      </c>
      <c r="K65" s="1" t="str">
        <f t="shared" si="20"/>
        <v>202 208 5974</v>
      </c>
    </row>
    <row r="66" spans="1:11" ht="12.75">
      <c r="A66" s="1" t="s">
        <v>2</v>
      </c>
      <c r="B66" t="str">
        <f>T("ST PAUL  MN FIELD OFC")</f>
        <v>ST PAUL  MN FIELD OFC</v>
      </c>
      <c r="C66" t="str">
        <f t="shared" si="14"/>
        <v>1849 C STREET NW  MS 5341</v>
      </c>
      <c r="D66" t="str">
        <f t="shared" si="15"/>
        <v>1849 C ST NW MS 5341</v>
      </c>
      <c r="E66" t="s">
        <v>0</v>
      </c>
      <c r="F66" t="s">
        <v>0</v>
      </c>
      <c r="G66" t="str">
        <f t="shared" si="16"/>
        <v>WASHINGTON</v>
      </c>
      <c r="H66" t="str">
        <f t="shared" si="17"/>
        <v>DC </v>
      </c>
      <c r="I66" s="1">
        <f t="shared" si="18"/>
        <v>20240</v>
      </c>
      <c r="J66" s="1" t="str">
        <f t="shared" si="19"/>
        <v>202 208 4599</v>
      </c>
      <c r="K66" s="1" t="str">
        <f t="shared" si="20"/>
        <v>202 208 5974</v>
      </c>
    </row>
    <row r="67" spans="1:11" ht="12.75">
      <c r="A67" s="1" t="s">
        <v>2</v>
      </c>
      <c r="B67" t="str">
        <f>T("SACRAMENTO  CA FIELD OFC")</f>
        <v>SACRAMENTO  CA FIELD OFC</v>
      </c>
      <c r="C67" t="str">
        <f t="shared" si="14"/>
        <v>1849 C STREET NW  MS 5341</v>
      </c>
      <c r="D67" t="str">
        <f t="shared" si="15"/>
        <v>1849 C ST NW MS 5341</v>
      </c>
      <c r="E67" t="s">
        <v>0</v>
      </c>
      <c r="F67" t="s">
        <v>0</v>
      </c>
      <c r="G67" t="str">
        <f t="shared" si="16"/>
        <v>WASHINGTON</v>
      </c>
      <c r="H67" t="str">
        <f t="shared" si="17"/>
        <v>DC </v>
      </c>
      <c r="I67" s="1">
        <f t="shared" si="18"/>
        <v>20240</v>
      </c>
      <c r="J67" s="1" t="str">
        <f t="shared" si="19"/>
        <v>202 208 4599</v>
      </c>
      <c r="K67" s="1" t="str">
        <f t="shared" si="20"/>
        <v>202 208 5974</v>
      </c>
    </row>
    <row r="68" spans="1:11" ht="12.75">
      <c r="A68" s="1" t="s">
        <v>2</v>
      </c>
      <c r="B68" t="str">
        <f>T("BILLINGS  MT FIELD OFC")</f>
        <v>BILLINGS  MT FIELD OFC</v>
      </c>
      <c r="C68" t="str">
        <f t="shared" si="14"/>
        <v>1849 C STREET NW  MS 5341</v>
      </c>
      <c r="D68" t="str">
        <f t="shared" si="15"/>
        <v>1849 C ST NW MS 5341</v>
      </c>
      <c r="E68" t="s">
        <v>0</v>
      </c>
      <c r="F68" t="s">
        <v>0</v>
      </c>
      <c r="G68" t="str">
        <f t="shared" si="16"/>
        <v>WASHINGTON</v>
      </c>
      <c r="H68" t="str">
        <f t="shared" si="17"/>
        <v>DC </v>
      </c>
      <c r="I68" s="1">
        <f t="shared" si="18"/>
        <v>20240</v>
      </c>
      <c r="J68" s="1" t="str">
        <f t="shared" si="19"/>
        <v>202 208 4599</v>
      </c>
      <c r="K68" s="1" t="str">
        <f t="shared" si="20"/>
        <v>202 208 5974</v>
      </c>
    </row>
    <row r="69" spans="1:11" ht="12.75">
      <c r="A69" s="1" t="s">
        <v>2</v>
      </c>
      <c r="B69" t="str">
        <f>T("PORTLAND OFC")</f>
        <v>PORTLAND OFC</v>
      </c>
      <c r="C69" t="str">
        <f>T("500 NE MULTNOMAH STREET  SUITE 356 ")</f>
        <v>500 NE MULTNOMAH STREET  SUITE 356 </v>
      </c>
      <c r="D69" t="s">
        <v>0</v>
      </c>
      <c r="E69" t="s">
        <v>0</v>
      </c>
      <c r="F69" t="s">
        <v>0</v>
      </c>
      <c r="G69" t="str">
        <f>T("PORTLAND")</f>
        <v>PORTLAND</v>
      </c>
      <c r="H69" t="str">
        <f>T("OR ")</f>
        <v>OR </v>
      </c>
      <c r="I69" s="1">
        <f>N(97232)</f>
        <v>97232</v>
      </c>
      <c r="J69" s="1" t="str">
        <f>T("202 208 3904")</f>
        <v>202 208 3904</v>
      </c>
      <c r="K69" s="1" t="str">
        <f>T("202 208 6970")</f>
        <v>202 208 6970</v>
      </c>
    </row>
    <row r="70" spans="1:11" ht="12.75">
      <c r="A70" s="1" t="s">
        <v>2</v>
      </c>
      <c r="B70" t="str">
        <f>T("INTERNATL PROGRAMS STAFF")</f>
        <v>INTERNATL PROGRAMS STAFF</v>
      </c>
      <c r="C70" t="str">
        <f>T("1849 C STREET NW  MS 4426")</f>
        <v>1849 C STREET NW  MS 4426</v>
      </c>
      <c r="D70" t="s">
        <v>0</v>
      </c>
      <c r="E70" t="s">
        <v>0</v>
      </c>
      <c r="F70" t="s">
        <v>0</v>
      </c>
      <c r="G70" t="str">
        <f>T("WASHINGTON")</f>
        <v>WASHINGTON</v>
      </c>
      <c r="H70" t="str">
        <f>T("DC ")</f>
        <v>DC </v>
      </c>
      <c r="I70" s="1">
        <f>N(20240)</f>
        <v>20240</v>
      </c>
      <c r="J70" s="1" t="str">
        <f>T("202 208 5978")</f>
        <v>202 208 5978</v>
      </c>
      <c r="K70" s="1" t="str">
        <f>T("202 208 4867")</f>
        <v>202 208 4867</v>
      </c>
    </row>
    <row r="71" spans="1:11" ht="12.75">
      <c r="A71" s="1" t="s">
        <v>2</v>
      </c>
      <c r="B71" t="str">
        <f>T("DIV OF BUDGET OPS (A)")</f>
        <v>DIV OF BUDGET OPS (A)</v>
      </c>
      <c r="C71" t="str">
        <f>T("1849 C STREET NW  MS 4116")</f>
        <v>1849 C STREET NW  MS 4116</v>
      </c>
      <c r="D71" t="s">
        <v>0</v>
      </c>
      <c r="E71" t="s">
        <v>0</v>
      </c>
      <c r="F71" t="s">
        <v>0</v>
      </c>
      <c r="G71" t="str">
        <f>T("WASHINGTON")</f>
        <v>WASHINGTON</v>
      </c>
      <c r="H71" t="str">
        <f>T("DC ")</f>
        <v>DC </v>
      </c>
      <c r="I71" s="1">
        <f>N(20240)</f>
        <v>20240</v>
      </c>
      <c r="J71" s="1" t="str">
        <f>T("202 208 5219")</f>
        <v>202 208 5219</v>
      </c>
      <c r="K71" s="1" t="str">
        <f>T("202 208 3911")</f>
        <v>202 208 3911</v>
      </c>
    </row>
    <row r="72" spans="1:11" ht="12.75">
      <c r="A72" s="1" t="s">
        <v>2</v>
      </c>
      <c r="B72" t="str">
        <f>T("OFC OF ACQUISTN &amp; PROP MGT")</f>
        <v>OFC OF ACQUISTN &amp; PROP MGT</v>
      </c>
      <c r="C72" t="str">
        <f>T("1849 C STREET NW  MS 5512")</f>
        <v>1849 C STREET NW  MS 5512</v>
      </c>
      <c r="D72" t="s">
        <v>0</v>
      </c>
      <c r="E72" t="s">
        <v>0</v>
      </c>
      <c r="F72" t="s">
        <v>0</v>
      </c>
      <c r="G72" t="str">
        <f>T("WASHINGTON")</f>
        <v>WASHINGTON</v>
      </c>
      <c r="H72" t="str">
        <f>T("DC ")</f>
        <v>DC </v>
      </c>
      <c r="I72" s="1">
        <f>N(20240)</f>
        <v>20240</v>
      </c>
      <c r="J72" s="1" t="s">
        <v>0</v>
      </c>
      <c r="K72" s="1" t="str">
        <f>T("202 219 4244")</f>
        <v>202 219 4244</v>
      </c>
    </row>
    <row r="73" spans="1:11" ht="12.75">
      <c r="A73" s="1" t="s">
        <v>2</v>
      </c>
      <c r="B73" t="str">
        <f>T("TRUST ACCOUNTABLILITY TRAINING")</f>
        <v>TRUST ACCOUNTABLILITY TRAINING</v>
      </c>
      <c r="C73" t="str">
        <f aca="true" t="shared" si="21" ref="C73:C78">T("505 MARQUETTE AVE NW")</f>
        <v>505 MARQUETTE AVE NW</v>
      </c>
      <c r="D73" t="str">
        <f aca="true" t="shared" si="22" ref="D73:D78">T("SUITE 1000")</f>
        <v>SUITE 1000</v>
      </c>
      <c r="E73" t="s">
        <v>0</v>
      </c>
      <c r="F73" t="s">
        <v>0</v>
      </c>
      <c r="G73" t="str">
        <f aca="true" t="shared" si="23" ref="G73:G78">T("ALBUQUERQUE")</f>
        <v>ALBUQUERQUE</v>
      </c>
      <c r="H73" t="str">
        <f aca="true" t="shared" si="24" ref="H73:H78">T("NM ")</f>
        <v>NM </v>
      </c>
      <c r="I73" s="1">
        <f aca="true" t="shared" si="25" ref="I73:I78">N(87102)</f>
        <v>87102</v>
      </c>
      <c r="J73" s="1" t="s">
        <v>0</v>
      </c>
      <c r="K73" s="1">
        <f>N(5058161006)</f>
        <v>5058161006</v>
      </c>
    </row>
    <row r="74" spans="1:11" ht="12.75">
      <c r="A74" s="1" t="s">
        <v>2</v>
      </c>
      <c r="B74" t="str">
        <f>T("TRUST ACCOUNTABILITY TRPP")</f>
        <v>TRUST ACCOUNTABILITY TRPP</v>
      </c>
      <c r="C74" t="str">
        <f t="shared" si="21"/>
        <v>505 MARQUETTE AVE NW</v>
      </c>
      <c r="D74" t="str">
        <f t="shared" si="22"/>
        <v>SUITE 1000</v>
      </c>
      <c r="E74" t="s">
        <v>0</v>
      </c>
      <c r="F74" t="s">
        <v>0</v>
      </c>
      <c r="G74" t="str">
        <f t="shared" si="23"/>
        <v>ALBUQUERQUE</v>
      </c>
      <c r="H74" t="str">
        <f t="shared" si="24"/>
        <v>NM </v>
      </c>
      <c r="I74" s="1">
        <f t="shared" si="25"/>
        <v>87102</v>
      </c>
      <c r="J74" s="1" t="s">
        <v>0</v>
      </c>
      <c r="K74" s="1">
        <f>N(5058161005)</f>
        <v>5058161005</v>
      </c>
    </row>
    <row r="75" spans="1:11" ht="12.75">
      <c r="A75" s="1" t="s">
        <v>2</v>
      </c>
      <c r="B75" t="str">
        <f>T("TRUST ACCOUNTABILITY TPMC")</f>
        <v>TRUST ACCOUNTABILITY TPMC</v>
      </c>
      <c r="C75" t="str">
        <f t="shared" si="21"/>
        <v>505 MARQUETTE AVE NW</v>
      </c>
      <c r="D75" t="str">
        <f t="shared" si="22"/>
        <v>SUITE 1000</v>
      </c>
      <c r="E75" t="s">
        <v>0</v>
      </c>
      <c r="F75" t="s">
        <v>0</v>
      </c>
      <c r="G75" t="str">
        <f t="shared" si="23"/>
        <v>ALBUQUERQUE</v>
      </c>
      <c r="H75" t="str">
        <f t="shared" si="24"/>
        <v>NM </v>
      </c>
      <c r="I75" s="1">
        <f t="shared" si="25"/>
        <v>87102</v>
      </c>
      <c r="J75" s="1" t="s">
        <v>0</v>
      </c>
      <c r="K75" s="1">
        <f>N(5058161377)</f>
        <v>5058161377</v>
      </c>
    </row>
    <row r="76" spans="1:11" ht="12.75">
      <c r="A76" s="1" t="s">
        <v>2</v>
      </c>
      <c r="B76" t="str">
        <f>T("TRUST SERVICES OTFM")</f>
        <v>TRUST SERVICES OTFM</v>
      </c>
      <c r="C76" t="str">
        <f t="shared" si="21"/>
        <v>505 MARQUETTE AVE NW</v>
      </c>
      <c r="D76" t="str">
        <f t="shared" si="22"/>
        <v>SUITE 1000</v>
      </c>
      <c r="E76" t="s">
        <v>0</v>
      </c>
      <c r="F76" t="s">
        <v>0</v>
      </c>
      <c r="G76" t="str">
        <f t="shared" si="23"/>
        <v>ALBUQUERQUE</v>
      </c>
      <c r="H76" t="str">
        <f t="shared" si="24"/>
        <v>NM </v>
      </c>
      <c r="I76" s="1">
        <f t="shared" si="25"/>
        <v>87102</v>
      </c>
      <c r="J76" s="1" t="s">
        <v>0</v>
      </c>
      <c r="K76" s="1">
        <f>N(5058161364)</f>
        <v>5058161364</v>
      </c>
    </row>
    <row r="77" spans="1:11" ht="12.75">
      <c r="A77" s="1" t="s">
        <v>2</v>
      </c>
      <c r="B77" t="str">
        <f>T("TRUST SERVICES DTFA")</f>
        <v>TRUST SERVICES DTFA</v>
      </c>
      <c r="C77" t="str">
        <f t="shared" si="21"/>
        <v>505 MARQUETTE AVE NW</v>
      </c>
      <c r="D77" t="str">
        <f t="shared" si="22"/>
        <v>SUITE 1000</v>
      </c>
      <c r="E77" t="s">
        <v>0</v>
      </c>
      <c r="F77" t="s">
        <v>0</v>
      </c>
      <c r="G77" t="str">
        <f t="shared" si="23"/>
        <v>ALBUQUERQUE</v>
      </c>
      <c r="H77" t="str">
        <f t="shared" si="24"/>
        <v>NM </v>
      </c>
      <c r="I77" s="1">
        <f t="shared" si="25"/>
        <v>87102</v>
      </c>
      <c r="J77" s="1" t="s">
        <v>0</v>
      </c>
      <c r="K77" s="1">
        <f>N(5058161361)</f>
        <v>5058161361</v>
      </c>
    </row>
    <row r="78" spans="1:11" ht="12.75">
      <c r="A78" s="1" t="s">
        <v>2</v>
      </c>
      <c r="B78" t="str">
        <f>T("TRUST SERVICES R AND R")</f>
        <v>TRUST SERVICES R AND R</v>
      </c>
      <c r="C78" t="str">
        <f t="shared" si="21"/>
        <v>505 MARQUETTE AVE NW</v>
      </c>
      <c r="D78" t="str">
        <f t="shared" si="22"/>
        <v>SUITE 1000</v>
      </c>
      <c r="E78" t="s">
        <v>0</v>
      </c>
      <c r="F78" t="s">
        <v>0</v>
      </c>
      <c r="G78" t="str">
        <f t="shared" si="23"/>
        <v>ALBUQUERQUE</v>
      </c>
      <c r="H78" t="str">
        <f t="shared" si="24"/>
        <v>NM </v>
      </c>
      <c r="I78" s="1">
        <f t="shared" si="25"/>
        <v>87102</v>
      </c>
      <c r="J78" s="1" t="s">
        <v>0</v>
      </c>
      <c r="K78" s="1">
        <f>N(5058161364)</f>
        <v>5058161364</v>
      </c>
    </row>
    <row r="79" spans="1:11" ht="12.75">
      <c r="A79" s="1" t="s">
        <v>2</v>
      </c>
      <c r="B79" t="str">
        <f>T("FIELD OPERATIONS REGIONS")</f>
        <v>FIELD OPERATIONS REGIONS</v>
      </c>
      <c r="C79" t="str">
        <f>T("505 MARQUETTE AVE NW")</f>
        <v>505 MARQUETTE AVE NW</v>
      </c>
      <c r="D79" t="str">
        <f>T("SUITE 1000")</f>
        <v>SUITE 1000</v>
      </c>
      <c r="E79" t="s">
        <v>0</v>
      </c>
      <c r="F79" t="s">
        <v>0</v>
      </c>
      <c r="G79" t="str">
        <f>T("ALBUQUERQUE")</f>
        <v>ALBUQUERQUE</v>
      </c>
      <c r="H79" t="str">
        <f>T("NM ")</f>
        <v>NM </v>
      </c>
      <c r="I79" s="1">
        <f>N(87102)</f>
        <v>87102</v>
      </c>
      <c r="J79" s="1" t="s">
        <v>0</v>
      </c>
      <c r="K79" s="1">
        <f>N(5058161017)</f>
        <v>5058161017</v>
      </c>
    </row>
    <row r="80" spans="1:11" ht="12.75">
      <c r="A80" s="1" t="s">
        <v>2</v>
      </c>
      <c r="B80" t="str">
        <f>T("FIELD OPERATIONS APPRAISALS")</f>
        <v>FIELD OPERATIONS APPRAISALS</v>
      </c>
      <c r="C80" t="str">
        <f>T("505 MARQUETTE AVE NW")</f>
        <v>505 MARQUETTE AVE NW</v>
      </c>
      <c r="D80" t="str">
        <f>T("SUITE 1000")</f>
        <v>SUITE 1000</v>
      </c>
      <c r="E80" t="s">
        <v>0</v>
      </c>
      <c r="F80" t="s">
        <v>0</v>
      </c>
      <c r="G80" t="str">
        <f>T("ALBUQUERQUE")</f>
        <v>ALBUQUERQUE</v>
      </c>
      <c r="H80" t="str">
        <f>T("NM ")</f>
        <v>NM </v>
      </c>
      <c r="I80" s="1">
        <f>N(87102)</f>
        <v>87102</v>
      </c>
      <c r="J80" s="1" t="s">
        <v>0</v>
      </c>
      <c r="K80" s="1">
        <f>N(5058161144)</f>
        <v>5058161144</v>
      </c>
    </row>
    <row r="81" spans="1:11" ht="12.75">
      <c r="A81" s="1" t="s">
        <v>2</v>
      </c>
      <c r="B81" t="str">
        <f>T("BISMARCH ND")</f>
        <v>BISMARCH ND</v>
      </c>
      <c r="C81" t="str">
        <f>T("530 GAY STREET  ROOM 308")</f>
        <v>530 GAY STREET  ROOM 308</v>
      </c>
      <c r="D81" t="s">
        <v>0</v>
      </c>
      <c r="E81" t="s">
        <v>0</v>
      </c>
      <c r="F81" t="s">
        <v>0</v>
      </c>
      <c r="G81" t="str">
        <f>T("KNOXVILLE")</f>
        <v>KNOXVILLE</v>
      </c>
      <c r="H81" t="str">
        <f>T("TN ")</f>
        <v>TN </v>
      </c>
      <c r="I81" s="1">
        <f>N(37902)</f>
        <v>37902</v>
      </c>
      <c r="J81" s="1" t="str">
        <f aca="true" t="shared" si="26" ref="J81:J89">T("703 235 3800")</f>
        <v>703 235 3800</v>
      </c>
      <c r="K81" s="1" t="str">
        <f aca="true" t="shared" si="27" ref="K81:K89">T("703 235 9014")</f>
        <v>703 235 9014</v>
      </c>
    </row>
    <row r="82" spans="1:11" ht="12.75">
      <c r="A82" s="1" t="s">
        <v>2</v>
      </c>
      <c r="B82" t="str">
        <f>T("SALT LAKE CITY  UT")</f>
        <v>SALT LAKE CITY  UT</v>
      </c>
      <c r="C82" t="str">
        <f>T("139 EAST SOUTH TEMPLE  SUITE 600 ")</f>
        <v>139 EAST SOUTH TEMPLE  SUITE 600 </v>
      </c>
      <c r="D82" t="s">
        <v>0</v>
      </c>
      <c r="E82" t="s">
        <v>0</v>
      </c>
      <c r="F82" t="s">
        <v>0</v>
      </c>
      <c r="G82" t="str">
        <f>T("SALT LAKE CITY")</f>
        <v>SALT LAKE CITY</v>
      </c>
      <c r="H82" t="str">
        <f>T("UT ")</f>
        <v>UT </v>
      </c>
      <c r="I82" s="1">
        <f>N(84111)</f>
        <v>84111</v>
      </c>
      <c r="J82" s="1" t="str">
        <f t="shared" si="26"/>
        <v>703 235 3800</v>
      </c>
      <c r="K82" s="1" t="str">
        <f t="shared" si="27"/>
        <v>703 235 9014</v>
      </c>
    </row>
    <row r="83" spans="1:11" ht="12.75">
      <c r="A83" s="1" t="s">
        <v>2</v>
      </c>
      <c r="B83" t="str">
        <f>T("ALBUQUERQUE  NM")</f>
        <v>ALBUQUERQUE  NM</v>
      </c>
      <c r="C83" t="str">
        <f>T("1700 LOUISIANA  N.E. SUITE 220 ")</f>
        <v>1700 LOUISIANA  N.E. SUITE 220 </v>
      </c>
      <c r="D83" t="s">
        <v>0</v>
      </c>
      <c r="E83" t="s">
        <v>0</v>
      </c>
      <c r="F83" t="s">
        <v>0</v>
      </c>
      <c r="G83" t="str">
        <f>T("ALBUQUERQUE")</f>
        <v>ALBUQUERQUE</v>
      </c>
      <c r="H83" t="str">
        <f>T("NM ")</f>
        <v>NM </v>
      </c>
      <c r="I83" s="1">
        <f>N(87110)</f>
        <v>87110</v>
      </c>
      <c r="J83" s="1" t="str">
        <f t="shared" si="26"/>
        <v>703 235 3800</v>
      </c>
      <c r="K83" s="1" t="str">
        <f t="shared" si="27"/>
        <v>703 235 9014</v>
      </c>
    </row>
    <row r="84" spans="1:11" ht="12.75">
      <c r="A84" s="1" t="s">
        <v>2</v>
      </c>
      <c r="B84" t="str">
        <f>T("BILLINGS  MT")</f>
        <v>BILLINGS  MT</v>
      </c>
      <c r="C84" t="str">
        <f>T("301 NORTH 27TH STREET  SUITE 300 ")</f>
        <v>301 NORTH 27TH STREET  SUITE 300 </v>
      </c>
      <c r="D84" t="s">
        <v>0</v>
      </c>
      <c r="E84" t="s">
        <v>0</v>
      </c>
      <c r="F84" t="s">
        <v>0</v>
      </c>
      <c r="G84" t="str">
        <f>T("BILLINGS")</f>
        <v>BILLINGS</v>
      </c>
      <c r="H84" t="str">
        <f>T("MO ")</f>
        <v>MO </v>
      </c>
      <c r="I84" s="1">
        <f>N(59101)</f>
        <v>59101</v>
      </c>
      <c r="J84" s="1" t="str">
        <f t="shared" si="26"/>
        <v>703 235 3800</v>
      </c>
      <c r="K84" s="1" t="str">
        <f t="shared" si="27"/>
        <v>703 235 9014</v>
      </c>
    </row>
    <row r="85" spans="1:11" ht="12.75">
      <c r="A85" s="1" t="s">
        <v>2</v>
      </c>
      <c r="B85" t="str">
        <f>T("TWIN CITIES  MN")</f>
        <v>TWIN CITIES  MN</v>
      </c>
      <c r="C85" t="str">
        <f>T("1 FEDERAL DRIVE  SUITE 3600")</f>
        <v>1 FEDERAL DRIVE  SUITE 3600</v>
      </c>
      <c r="D85" t="s">
        <v>0</v>
      </c>
      <c r="E85" t="s">
        <v>0</v>
      </c>
      <c r="F85" t="s">
        <v>0</v>
      </c>
      <c r="G85" t="str">
        <f>T("FT. SNELLING")</f>
        <v>FT. SNELLING</v>
      </c>
      <c r="H85" t="str">
        <f>T("MN ")</f>
        <v>MN </v>
      </c>
      <c r="I85" s="1">
        <f>N(55111)</f>
        <v>55111</v>
      </c>
      <c r="J85" s="1" t="str">
        <f t="shared" si="26"/>
        <v>703 235 3800</v>
      </c>
      <c r="K85" s="1" t="str">
        <f t="shared" si="27"/>
        <v>703 235 9014</v>
      </c>
    </row>
    <row r="86" spans="1:11" ht="12.75">
      <c r="A86" s="1" t="s">
        <v>2</v>
      </c>
      <c r="B86" t="str">
        <f>T("OKLAHOMA CITY  OK")</f>
        <v>OKLAHOMA CITY  OK</v>
      </c>
      <c r="C86" t="str">
        <f>T("215 EAN A MCGEE AVENUE  ROOM 820 ")</f>
        <v>215 EAN A MCGEE AVENUE  ROOM 820 </v>
      </c>
      <c r="D86" t="s">
        <v>0</v>
      </c>
      <c r="E86" t="s">
        <v>0</v>
      </c>
      <c r="F86" t="s">
        <v>0</v>
      </c>
      <c r="G86" t="str">
        <f>T("OKLAHOMA CITY")</f>
        <v>OKLAHOMA CITY</v>
      </c>
      <c r="H86" t="str">
        <f>T("OK ")</f>
        <v>OK </v>
      </c>
      <c r="I86" s="1">
        <f>N(73102)</f>
        <v>73102</v>
      </c>
      <c r="J86" s="1" t="str">
        <f t="shared" si="26"/>
        <v>703 235 3800</v>
      </c>
      <c r="K86" s="1" t="str">
        <f t="shared" si="27"/>
        <v>703 235 9014</v>
      </c>
    </row>
    <row r="87" spans="1:11" ht="12.75">
      <c r="A87" s="1" t="s">
        <v>2</v>
      </c>
      <c r="B87" t="str">
        <f>T("PHOENIX  AZ")</f>
        <v>PHOENIX  AZ</v>
      </c>
      <c r="C87" t="str">
        <f>T("401 W. WASHINGTON STREET  SPACE 63 ")</f>
        <v>401 W. WASHINGTON STREET  SPACE 63 </v>
      </c>
      <c r="D87" t="s">
        <v>0</v>
      </c>
      <c r="E87" t="s">
        <v>0</v>
      </c>
      <c r="F87" t="s">
        <v>0</v>
      </c>
      <c r="G87" t="str">
        <f>T("PHOENIX")</f>
        <v>PHOENIX</v>
      </c>
      <c r="H87" t="str">
        <f>T("AZ ")</f>
        <v>AZ </v>
      </c>
      <c r="I87" s="1">
        <f>N(85003)</f>
        <v>85003</v>
      </c>
      <c r="J87" s="1" t="str">
        <f t="shared" si="26"/>
        <v>703 235 3800</v>
      </c>
      <c r="K87" s="1" t="str">
        <f t="shared" si="27"/>
        <v>703 235 9014</v>
      </c>
    </row>
    <row r="88" spans="1:11" ht="12.75">
      <c r="A88" s="1" t="s">
        <v>2</v>
      </c>
      <c r="B88" t="str">
        <f>T("RAPID CITY  SD")</f>
        <v>RAPID CITY  SD</v>
      </c>
      <c r="C88" t="str">
        <f>T("909 ST. JOSEPH STREET  SUITE 201 ")</f>
        <v>909 ST. JOSEPH STREET  SUITE 201 </v>
      </c>
      <c r="D88" t="s">
        <v>0</v>
      </c>
      <c r="E88" t="s">
        <v>0</v>
      </c>
      <c r="F88" t="s">
        <v>0</v>
      </c>
      <c r="G88" t="str">
        <f>T("RAPID CITY")</f>
        <v>RAPID CITY</v>
      </c>
      <c r="H88" t="str">
        <f>T("SD ")</f>
        <v>SD </v>
      </c>
      <c r="I88" s="1">
        <f>N(57709)</f>
        <v>57709</v>
      </c>
      <c r="J88" s="1" t="str">
        <f t="shared" si="26"/>
        <v>703 235 3800</v>
      </c>
      <c r="K88" s="1" t="str">
        <f t="shared" si="27"/>
        <v>703 235 9014</v>
      </c>
    </row>
    <row r="89" spans="1:11" ht="12.75">
      <c r="A89" s="1" t="s">
        <v>2</v>
      </c>
      <c r="B89" t="str">
        <f>T("SACRAMENTO  CA")</f>
        <v>SACRAMENTO  CA</v>
      </c>
      <c r="C89" t="str">
        <f>T("801 I STREET  ROOM 406 ")</f>
        <v>801 I STREET  ROOM 406 </v>
      </c>
      <c r="D89" t="s">
        <v>0</v>
      </c>
      <c r="E89" t="s">
        <v>0</v>
      </c>
      <c r="F89" t="s">
        <v>0</v>
      </c>
      <c r="G89" t="str">
        <f>T("SACRAMENTO")</f>
        <v>SACRAMENTO</v>
      </c>
      <c r="H89" t="str">
        <f>T("CA ")</f>
        <v>CA </v>
      </c>
      <c r="I89" s="1">
        <f>N(95814)</f>
        <v>95814</v>
      </c>
      <c r="J89" s="1" t="str">
        <f t="shared" si="26"/>
        <v>703 235 3800</v>
      </c>
      <c r="K89" s="1" t="str">
        <f t="shared" si="27"/>
        <v>703 235 9014</v>
      </c>
    </row>
    <row r="90" spans="1:11" ht="12.75">
      <c r="A90" s="1" t="s">
        <v>2</v>
      </c>
      <c r="B90" t="str">
        <f>T("OFC OF THE DIRECTOR (OAS)")</f>
        <v>OFC OF THE DIRECTOR (OAS)</v>
      </c>
      <c r="C90" t="str">
        <f>T("2350 W. ROBINSON ROAD")</f>
        <v>2350 W. ROBINSON ROAD</v>
      </c>
      <c r="D90" t="s">
        <v>0</v>
      </c>
      <c r="E90" t="s">
        <v>0</v>
      </c>
      <c r="F90" t="s">
        <v>0</v>
      </c>
      <c r="G90" t="str">
        <f>T("BOISE")</f>
        <v>BOISE</v>
      </c>
      <c r="H90" t="str">
        <f>T("ID ")</f>
        <v>ID </v>
      </c>
      <c r="I90" s="1" t="str">
        <f>T("83705 5355")</f>
        <v>83705 5355</v>
      </c>
      <c r="J90" s="1" t="str">
        <f>T("208 387 5750")</f>
        <v>208 387 5750</v>
      </c>
      <c r="K90" s="1" t="str">
        <f>T("208 387 5830")</f>
        <v>208 387 5830</v>
      </c>
    </row>
    <row r="91" spans="1:11" ht="12.75">
      <c r="A91" s="1" t="s">
        <v>2</v>
      </c>
      <c r="B91" t="str">
        <f>T("AVIATION SAFETY OFC")</f>
        <v>AVIATION SAFETY OFC</v>
      </c>
      <c r="C91" t="str">
        <f>T("2350 W. ROBINSON ROAD")</f>
        <v>2350 W. ROBINSON ROAD</v>
      </c>
      <c r="D91" t="s">
        <v>0</v>
      </c>
      <c r="E91" t="s">
        <v>0</v>
      </c>
      <c r="F91" t="s">
        <v>0</v>
      </c>
      <c r="G91" t="str">
        <f>T("BOISE")</f>
        <v>BOISE</v>
      </c>
      <c r="H91" t="str">
        <f>T("ID ")</f>
        <v>ID </v>
      </c>
      <c r="I91" s="1" t="str">
        <f>T("83705 5355")</f>
        <v>83705 5355</v>
      </c>
      <c r="J91" s="1" t="str">
        <f>T("208 387 5800")</f>
        <v>208 387 5800</v>
      </c>
      <c r="K91" s="1" t="str">
        <f>T("208 387 5830")</f>
        <v>208 387 5830</v>
      </c>
    </row>
    <row r="92" spans="1:11" ht="12.75">
      <c r="A92" s="1" t="s">
        <v>2</v>
      </c>
      <c r="B92" t="str">
        <f>T("DIV OF ACQUISTN MGMT")</f>
        <v>DIV OF ACQUISTN MGMT</v>
      </c>
      <c r="C92" t="str">
        <f>T("2350 W. ROBINSON ROAD")</f>
        <v>2350 W. ROBINSON ROAD</v>
      </c>
      <c r="D92" t="s">
        <v>0</v>
      </c>
      <c r="E92" t="s">
        <v>0</v>
      </c>
      <c r="F92" t="s">
        <v>0</v>
      </c>
      <c r="G92" t="str">
        <f>T("BOISE")</f>
        <v>BOISE</v>
      </c>
      <c r="H92" t="str">
        <f>T("ID ")</f>
        <v>ID </v>
      </c>
      <c r="I92" s="1" t="str">
        <f>T("83705 5355")</f>
        <v>83705 5355</v>
      </c>
      <c r="J92" s="1" t="str">
        <f>T("208 387 5761")</f>
        <v>208 387 5761</v>
      </c>
      <c r="K92" s="1" t="str">
        <f>T("208 387 5780")</f>
        <v>208 387 5780</v>
      </c>
    </row>
    <row r="93" spans="1:11" ht="12.75">
      <c r="A93" s="1" t="s">
        <v>2</v>
      </c>
      <c r="B93" t="str">
        <f>T("DIV OF TECHNICAL SVCS")</f>
        <v>DIV OF TECHNICAL SVCS</v>
      </c>
      <c r="C93" t="str">
        <f>T("2350 W. ROBINSON ROAD")</f>
        <v>2350 W. ROBINSON ROAD</v>
      </c>
      <c r="D93" t="s">
        <v>0</v>
      </c>
      <c r="E93" t="s">
        <v>0</v>
      </c>
      <c r="F93" t="s">
        <v>0</v>
      </c>
      <c r="G93" t="str">
        <f>T("BOISE")</f>
        <v>BOISE</v>
      </c>
      <c r="H93" t="str">
        <f>T("ID ")</f>
        <v>ID </v>
      </c>
      <c r="I93" s="1" t="str">
        <f>T("83705 5355")</f>
        <v>83705 5355</v>
      </c>
      <c r="J93" s="1" t="str">
        <f>T("208 387 5770")</f>
        <v>208 387 5770</v>
      </c>
      <c r="K93" s="1" t="str">
        <f>T("208 433 6450")</f>
        <v>208 433 6450</v>
      </c>
    </row>
    <row r="94" spans="1:11" ht="12.75">
      <c r="A94" s="1" t="s">
        <v>2</v>
      </c>
      <c r="B94" t="str">
        <f>T("WEST AREA OFC-BOISE")</f>
        <v>WEST AREA OFC-BOISE</v>
      </c>
      <c r="C94" t="str">
        <f>T("2741 AIRPORT WAY")</f>
        <v>2741 AIRPORT WAY</v>
      </c>
      <c r="D94" t="s">
        <v>0</v>
      </c>
      <c r="E94" t="s">
        <v>0</v>
      </c>
      <c r="F94" t="s">
        <v>0</v>
      </c>
      <c r="G94" t="str">
        <f>T("BOISE")</f>
        <v>BOISE</v>
      </c>
      <c r="H94" t="str">
        <f>T("ID ")</f>
        <v>ID </v>
      </c>
      <c r="I94" s="1">
        <f>N(83705)</f>
        <v>83705</v>
      </c>
      <c r="J94" s="1" t="str">
        <f>T("208 334 9310")</f>
        <v>208 334 9310</v>
      </c>
      <c r="K94" s="1" t="str">
        <f>T("208 334 9303")</f>
        <v>208 334 9303</v>
      </c>
    </row>
    <row r="95" spans="1:11" ht="12.75">
      <c r="A95" s="1" t="s">
        <v>2</v>
      </c>
      <c r="B95" t="str">
        <f>T("WEST AREA OFC-PHOENIX")</f>
        <v>WEST AREA OFC-PHOENIX</v>
      </c>
      <c r="C95" t="str">
        <f>T("22601 N 19TH AVENUE  SUITE 208 ")</f>
        <v>22601 N 19TH AVENUE  SUITE 208 </v>
      </c>
      <c r="D95" t="s">
        <v>0</v>
      </c>
      <c r="E95" t="s">
        <v>0</v>
      </c>
      <c r="F95" t="s">
        <v>0</v>
      </c>
      <c r="G95" t="str">
        <f>T("PHOENIX")</f>
        <v>PHOENIX</v>
      </c>
      <c r="H95" t="str">
        <f>T("AZ ")</f>
        <v>AZ </v>
      </c>
      <c r="I95" s="1">
        <f>N(85027)</f>
        <v>85027</v>
      </c>
      <c r="J95" s="1" t="str">
        <f>T("623 879 0589")</f>
        <v>623 879 0589</v>
      </c>
      <c r="K95" s="1" t="str">
        <f>T("623 879 0595")</f>
        <v>623 879 0595</v>
      </c>
    </row>
    <row r="96" spans="1:11" ht="12.75">
      <c r="A96" s="1" t="s">
        <v>2</v>
      </c>
      <c r="B96" t="str">
        <f>T("EAST AREA OFC CHAMBLEE")</f>
        <v>EAST AREA OFC CHAMBLEE</v>
      </c>
      <c r="C96" t="str">
        <f>T("3190 NE EXPRESSWAY")</f>
        <v>3190 NE EXPRESSWAY</v>
      </c>
      <c r="D96" t="s">
        <v>0</v>
      </c>
      <c r="E96" t="s">
        <v>0</v>
      </c>
      <c r="F96" t="s">
        <v>0</v>
      </c>
      <c r="G96" t="str">
        <f>T("ATLANTA")</f>
        <v>ATLANTA</v>
      </c>
      <c r="H96" t="str">
        <f>T("GA ")</f>
        <v>GA </v>
      </c>
      <c r="I96" s="1" t="str">
        <f>T("30341 5323")</f>
        <v>30341 5323</v>
      </c>
      <c r="J96" s="1" t="str">
        <f>T("770 458 7474")</f>
        <v>770 458 7474</v>
      </c>
      <c r="K96" s="1" t="str">
        <f>T("770 458 6677")</f>
        <v>770 458 6677</v>
      </c>
    </row>
    <row r="97" spans="1:11" ht="12.75">
      <c r="A97" s="1" t="s">
        <v>2</v>
      </c>
      <c r="B97" t="str">
        <f>T("OFC OF THE REGIONAL DIRECTOR")</f>
        <v>OFC OF THE REGIONAL DIRECTOR</v>
      </c>
      <c r="C97" t="str">
        <f>T("4405 LEAR COURT")</f>
        <v>4405 LEAR COURT</v>
      </c>
      <c r="D97" t="s">
        <v>0</v>
      </c>
      <c r="E97" t="s">
        <v>0</v>
      </c>
      <c r="F97" t="s">
        <v>0</v>
      </c>
      <c r="G97" t="str">
        <f>T("ANCHORAGE")</f>
        <v>ANCHORAGE</v>
      </c>
      <c r="H97" t="str">
        <f>T("AK ")</f>
        <v>AK </v>
      </c>
      <c r="I97" s="1" t="str">
        <f>T("99502 1032")</f>
        <v>99502 1032</v>
      </c>
      <c r="J97" s="1" t="str">
        <f>T("907 271 4326")</f>
        <v>907 271 4326</v>
      </c>
      <c r="K97" s="1" t="str">
        <f>T("907 271 4788")</f>
        <v>907 271 4788</v>
      </c>
    </row>
    <row r="98" spans="1:11" ht="12.75">
      <c r="A98" s="1" t="s">
        <v>2</v>
      </c>
      <c r="B98" t="str">
        <f>T("DIV OF FLIGHT OPS")</f>
        <v>DIV OF FLIGHT OPS</v>
      </c>
      <c r="C98" t="str">
        <f>T("4405 LEAR COURT")</f>
        <v>4405 LEAR COURT</v>
      </c>
      <c r="D98" t="s">
        <v>0</v>
      </c>
      <c r="E98" t="s">
        <v>0</v>
      </c>
      <c r="F98" t="s">
        <v>0</v>
      </c>
      <c r="G98" t="str">
        <f>T("ANCHORAGE")</f>
        <v>ANCHORAGE</v>
      </c>
      <c r="H98" t="str">
        <f>T("AK ")</f>
        <v>AK </v>
      </c>
      <c r="I98" s="1" t="str">
        <f>T("99502 1032")</f>
        <v>99502 1032</v>
      </c>
      <c r="J98" s="1" t="str">
        <f>T("907 271 3935")</f>
        <v>907 271 3935</v>
      </c>
      <c r="K98" s="1" t="str">
        <f>T("907 271 6080")</f>
        <v>907 271 6080</v>
      </c>
    </row>
    <row r="99" spans="1:11" ht="12.75">
      <c r="A99" s="1" t="s">
        <v>2</v>
      </c>
      <c r="B99" t="str">
        <f>T("DIV OF TECHNICAL SVCS")</f>
        <v>DIV OF TECHNICAL SVCS</v>
      </c>
      <c r="C99" t="str">
        <f>T("4405 LEAR COURT")</f>
        <v>4405 LEAR COURT</v>
      </c>
      <c r="D99" t="s">
        <v>0</v>
      </c>
      <c r="E99" t="s">
        <v>0</v>
      </c>
      <c r="F99" t="s">
        <v>0</v>
      </c>
      <c r="G99" t="str">
        <f>T("ANCHORAGE")</f>
        <v>ANCHORAGE</v>
      </c>
      <c r="H99" t="str">
        <f>T("AK ")</f>
        <v>AK </v>
      </c>
      <c r="I99" s="1" t="str">
        <f>T("99502 1032")</f>
        <v>99502 1032</v>
      </c>
      <c r="J99" s="1" t="str">
        <f>T("907 271 6079")</f>
        <v>907 271 6079</v>
      </c>
      <c r="K99" s="1" t="str">
        <f>T("907 271 4788")</f>
        <v>907 271 4788</v>
      </c>
    </row>
    <row r="100" spans="1:11" ht="12.75">
      <c r="A100" s="1" t="s">
        <v>2</v>
      </c>
      <c r="B100" t="str">
        <f>T("DIV OF AIRCRAFT MAINT")</f>
        <v>DIV OF AIRCRAFT MAINT</v>
      </c>
      <c r="C100" t="str">
        <f>T("4405 LEAR COURT")</f>
        <v>4405 LEAR COURT</v>
      </c>
      <c r="D100" t="s">
        <v>0</v>
      </c>
      <c r="E100" t="s">
        <v>0</v>
      </c>
      <c r="F100" t="s">
        <v>0</v>
      </c>
      <c r="G100" t="str">
        <f>T("ANCHORAGE")</f>
        <v>ANCHORAGE</v>
      </c>
      <c r="H100" t="str">
        <f>T("AK ")</f>
        <v>AK </v>
      </c>
      <c r="I100" s="1" t="str">
        <f>T("99502 1032")</f>
        <v>99502 1032</v>
      </c>
      <c r="J100" s="1" t="str">
        <f>T("907 271 6016")</f>
        <v>907 271 6016</v>
      </c>
      <c r="K100" s="1" t="str">
        <f>T("907 271 4787")</f>
        <v>907 271 4787</v>
      </c>
    </row>
    <row r="101" spans="1:11" ht="12.75">
      <c r="A101" s="1" t="s">
        <v>2</v>
      </c>
      <c r="B101" t="str">
        <f>T("COMMISSION OF FINE ARTS")</f>
        <v>COMMISSION OF FINE ARTS</v>
      </c>
      <c r="C101" t="str">
        <f>T("PENSION BUILDING")</f>
        <v>PENSION BUILDING</v>
      </c>
      <c r="D101" t="str">
        <f>T("441 F STREET  NW  SUITE 313")</f>
        <v>441 F STREET  NW  SUITE 313</v>
      </c>
      <c r="E101" t="s">
        <v>0</v>
      </c>
      <c r="F101" t="s">
        <v>0</v>
      </c>
      <c r="G101" t="str">
        <f>T("WASHINGTON")</f>
        <v>WASHINGTON</v>
      </c>
      <c r="H101" t="str">
        <f>T("DC ")</f>
        <v>DC </v>
      </c>
      <c r="I101" s="1">
        <f>N(20001)</f>
        <v>20001</v>
      </c>
      <c r="J101" s="1" t="str">
        <f>T("202 504 2200")</f>
        <v>202 504 2200</v>
      </c>
      <c r="K101" s="1" t="str">
        <f>T("202 504 2195")</f>
        <v>202 504 2195</v>
      </c>
    </row>
    <row r="102" spans="1:11" ht="12.75">
      <c r="A102" s="1" t="s">
        <v>2</v>
      </c>
      <c r="B102" t="str">
        <f>T("ADVSRYCNCL HISTORICPRESERVA")</f>
        <v>ADVSRYCNCL HISTORICPRESERVA</v>
      </c>
      <c r="C102" t="str">
        <f>T("OLD POST OFFICE")</f>
        <v>OLD POST OFFICE</v>
      </c>
      <c r="D102" t="str">
        <f>T("1100 PENN. AVE  NW  MS 803")</f>
        <v>1100 PENN. AVE  NW  MS 803</v>
      </c>
      <c r="E102" t="s">
        <v>0</v>
      </c>
      <c r="F102" t="s">
        <v>0</v>
      </c>
      <c r="G102" t="str">
        <f>T("WASHINGTON")</f>
        <v>WASHINGTON</v>
      </c>
      <c r="H102" t="str">
        <f>T("DC ")</f>
        <v>DC </v>
      </c>
      <c r="I102" s="1">
        <f>N(20001)</f>
        <v>20001</v>
      </c>
      <c r="J102" s="1" t="str">
        <f>T("202 606 8511")</f>
        <v>202 606 8511</v>
      </c>
      <c r="K102" s="1" t="str">
        <f>T("202 606 5073")</f>
        <v>202 606 5073</v>
      </c>
    </row>
    <row r="103" spans="1:11" ht="12.75">
      <c r="A103" s="1" t="s">
        <v>2</v>
      </c>
      <c r="B103" t="str">
        <f>T("PILOTS")</f>
        <v>PILOTS</v>
      </c>
      <c r="C103" t="str">
        <f>T("C/O DEBBIE STANDIFER")</f>
        <v>C/O DEBBIE STANDIFER</v>
      </c>
      <c r="D103" t="str">
        <f>T("2350 W. ROBINSON ROAD")</f>
        <v>2350 W. ROBINSON ROAD</v>
      </c>
      <c r="E103" t="s">
        <v>0</v>
      </c>
      <c r="F103" t="s">
        <v>0</v>
      </c>
      <c r="G103" t="str">
        <f>T("BOISE")</f>
        <v>BOISE</v>
      </c>
      <c r="H103" t="str">
        <f>T("ID ")</f>
        <v>ID </v>
      </c>
      <c r="I103" s="1" t="str">
        <f>T("83705 5355")</f>
        <v>83705 5355</v>
      </c>
      <c r="J103" s="1" t="str">
        <f>T("208 387 5774")</f>
        <v>208 387 5774</v>
      </c>
      <c r="K103" s="1" t="str">
        <f>T("208 433 6450")</f>
        <v>208 433 6450</v>
      </c>
    </row>
    <row r="104" spans="1:11" ht="12.75">
      <c r="A104" s="1" t="s">
        <v>2</v>
      </c>
      <c r="B104" t="str">
        <f>T("BRANCH OF PER  LIT &amp; CVL RIGHT")</f>
        <v>BRANCH OF PER  LIT &amp; CVL RIGHT</v>
      </c>
      <c r="C104" t="str">
        <f>T("1849 C STREET NW  MS 7456")</f>
        <v>1849 C STREET NW  MS 7456</v>
      </c>
      <c r="D104" t="s">
        <v>0</v>
      </c>
      <c r="E104" t="s">
        <v>0</v>
      </c>
      <c r="F104" t="s">
        <v>0</v>
      </c>
      <c r="G104" t="str">
        <f>T("WASHINGTON")</f>
        <v>WASHINGTON</v>
      </c>
      <c r="H104" t="str">
        <f>T("DC ")</f>
        <v>DC </v>
      </c>
      <c r="I104" s="1">
        <f>N(20240)</f>
        <v>20240</v>
      </c>
      <c r="J104" s="1" t="str">
        <f>T("202 208 5761")</f>
        <v>202 208 5761</v>
      </c>
      <c r="K104" s="1" t="str">
        <f>T("202 208 5584")</f>
        <v>202 208 5584</v>
      </c>
    </row>
    <row r="105" spans="1:11" ht="12.75">
      <c r="A105" s="1" t="s">
        <v>2</v>
      </c>
      <c r="B105" t="str">
        <f>T("OFC OF TRUST REVIEW AND AUDIT")</f>
        <v>OFC OF TRUST REVIEW AND AUDIT</v>
      </c>
      <c r="C105" t="str">
        <f>T("505 MARQUETTE AVE NW")</f>
        <v>505 MARQUETTE AVE NW</v>
      </c>
      <c r="D105" t="str">
        <f>T("SUITE 1000")</f>
        <v>SUITE 1000</v>
      </c>
      <c r="E105" t="s">
        <v>0</v>
      </c>
      <c r="F105" t="s">
        <v>0</v>
      </c>
      <c r="G105" t="str">
        <f>T("ALBUQUERQUE")</f>
        <v>ALBUQUERQUE</v>
      </c>
      <c r="H105" t="str">
        <f>T("NM ")</f>
        <v>NM </v>
      </c>
      <c r="I105" s="1">
        <f>N(87102)</f>
        <v>87102</v>
      </c>
      <c r="J105" s="1" t="s">
        <v>0</v>
      </c>
      <c r="K105" s="1">
        <f>N(5058161375)</f>
        <v>5058161375</v>
      </c>
    </row>
    <row r="106" spans="1:11" ht="12.75">
      <c r="A106" s="1" t="s">
        <v>2</v>
      </c>
      <c r="B106" t="str">
        <f>T("BUDGET FINANCE AND ADMIN")</f>
        <v>BUDGET FINANCE AND ADMIN</v>
      </c>
      <c r="C106" t="str">
        <f>T("505 MARQUETTE AVE NW")</f>
        <v>505 MARQUETTE AVE NW</v>
      </c>
      <c r="D106" t="str">
        <f>T("SUITE 1000")</f>
        <v>SUITE 1000</v>
      </c>
      <c r="E106" t="s">
        <v>0</v>
      </c>
      <c r="F106" t="s">
        <v>0</v>
      </c>
      <c r="G106" t="str">
        <f>T("ALBUQUERQUE")</f>
        <v>ALBUQUERQUE</v>
      </c>
      <c r="H106" t="str">
        <f>T("NM ")</f>
        <v>NM </v>
      </c>
      <c r="I106" s="1">
        <f>N(87102)</f>
        <v>87102</v>
      </c>
      <c r="J106" s="1">
        <f>N(5058161075)</f>
        <v>5058161075</v>
      </c>
      <c r="K106" s="1">
        <f>N(5058161376)</f>
        <v>5058161376</v>
      </c>
    </row>
    <row r="107" spans="1:11" ht="12.75">
      <c r="A107" s="1" t="s">
        <v>2</v>
      </c>
      <c r="B107" t="str">
        <f>T("OTR")</f>
        <v>OTR</v>
      </c>
      <c r="C107" t="str">
        <f>T("6301 INDIAN SCHOOL ROAD NW")</f>
        <v>6301 INDIAN SCHOOL ROAD NW</v>
      </c>
      <c r="D107" t="str">
        <f>T("SUITE 300")</f>
        <v>SUITE 300</v>
      </c>
      <c r="E107" t="s">
        <v>0</v>
      </c>
      <c r="F107" t="s">
        <v>0</v>
      </c>
      <c r="G107" t="str">
        <f>T("ALBUQUERQUE")</f>
        <v>ALBUQUERQUE</v>
      </c>
      <c r="H107" t="str">
        <f>T("NM ")</f>
        <v>NM </v>
      </c>
      <c r="I107" s="1">
        <f>N(87110)</f>
        <v>87110</v>
      </c>
      <c r="J107" s="1">
        <f>N(5058161610)</f>
        <v>5058161610</v>
      </c>
      <c r="K107" s="1">
        <f>N(5058161612)</f>
        <v>5058161612</v>
      </c>
    </row>
    <row r="108" spans="1:11" ht="12.75">
      <c r="A108" s="1" t="s">
        <v>2</v>
      </c>
      <c r="B108" t="str">
        <f>T("DEP ASST SECY- IRM CIO")</f>
        <v>DEP ASST SECY- IRM CIO</v>
      </c>
      <c r="C108" t="str">
        <f>T("1849 C STREET NW MS 1313")</f>
        <v>1849 C STREET NW MS 1313</v>
      </c>
      <c r="D108" t="s">
        <v>0</v>
      </c>
      <c r="E108" t="s">
        <v>0</v>
      </c>
      <c r="F108" t="s">
        <v>0</v>
      </c>
      <c r="G108" t="str">
        <f aca="true" t="shared" si="28" ref="G108:G121">T("WASHINGTON")</f>
        <v>WASHINGTON</v>
      </c>
      <c r="H108" t="str">
        <f aca="true" t="shared" si="29" ref="H108:H121">T("DC ")</f>
        <v>DC </v>
      </c>
      <c r="I108" s="1">
        <f aca="true" t="shared" si="30" ref="I108:I121">N(20240)</f>
        <v>20240</v>
      </c>
      <c r="J108" s="1" t="str">
        <f>T("202 208 7833")</f>
        <v>202 208 7833</v>
      </c>
      <c r="K108" s="1" t="s">
        <v>0</v>
      </c>
    </row>
    <row r="109" spans="1:11" ht="12.75">
      <c r="A109" s="1" t="s">
        <v>2</v>
      </c>
      <c r="B109" t="str">
        <f>T("HISTORICAL TRUST ACCOUNTING")</f>
        <v>HISTORICAL TRUST ACCOUNTING</v>
      </c>
      <c r="C109" t="str">
        <f>T("1849 C STREET NW  MS 16")</f>
        <v>1849 C STREET NW  MS 16</v>
      </c>
      <c r="D109" t="s">
        <v>0</v>
      </c>
      <c r="E109" t="s">
        <v>0</v>
      </c>
      <c r="F109" t="s">
        <v>0</v>
      </c>
      <c r="G109" t="str">
        <f t="shared" si="28"/>
        <v>WASHINGTON</v>
      </c>
      <c r="H109" t="str">
        <f t="shared" si="29"/>
        <v>DC </v>
      </c>
      <c r="I109" s="1">
        <f t="shared" si="30"/>
        <v>20240</v>
      </c>
      <c r="J109" s="1" t="str">
        <f>T("202 208 1321")</f>
        <v>202 208 1321</v>
      </c>
      <c r="K109" s="1" t="s">
        <v>0</v>
      </c>
    </row>
    <row r="110" spans="1:11" ht="12.75">
      <c r="A110" s="1" t="s">
        <v>2</v>
      </c>
      <c r="B110" t="str">
        <f>T("OFC OF CIVIL RIGHTS")</f>
        <v>OFC OF CIVIL RIGHTS</v>
      </c>
      <c r="C110" t="str">
        <f>T("1849 C STREET NW MS 5129")</f>
        <v>1849 C STREET NW MS 5129</v>
      </c>
      <c r="D110" t="s">
        <v>0</v>
      </c>
      <c r="E110" t="s">
        <v>0</v>
      </c>
      <c r="F110" t="s">
        <v>0</v>
      </c>
      <c r="G110" t="str">
        <f t="shared" si="28"/>
        <v>WASHINGTON</v>
      </c>
      <c r="H110" t="str">
        <f t="shared" si="29"/>
        <v>DC </v>
      </c>
      <c r="I110" s="1">
        <f t="shared" si="30"/>
        <v>20240</v>
      </c>
      <c r="J110" s="1" t="str">
        <f>T("202 208 4727")</f>
        <v>202 208 4727</v>
      </c>
      <c r="K110" s="1" t="s">
        <v>0</v>
      </c>
    </row>
    <row r="111" spans="1:11" ht="12.75">
      <c r="A111" s="1" t="s">
        <v>2</v>
      </c>
      <c r="B111" t="str">
        <f>T("LAW ENFORCEMENT &amp; SECURITY")</f>
        <v>LAW ENFORCEMENT &amp; SECURITY</v>
      </c>
      <c r="C111" t="str">
        <f>T("1849 C STREET NW  MS 7344")</f>
        <v>1849 C STREET NW  MS 7344</v>
      </c>
      <c r="D111" t="s">
        <v>0</v>
      </c>
      <c r="E111" t="s">
        <v>0</v>
      </c>
      <c r="F111" t="s">
        <v>0</v>
      </c>
      <c r="G111" t="str">
        <f t="shared" si="28"/>
        <v>WASHINGTON</v>
      </c>
      <c r="H111" t="str">
        <f t="shared" si="29"/>
        <v>DC </v>
      </c>
      <c r="I111" s="1">
        <f t="shared" si="30"/>
        <v>20240</v>
      </c>
      <c r="J111" s="1" t="str">
        <f>T("202 208 5710")</f>
        <v>202 208 5710</v>
      </c>
      <c r="K111" s="1" t="s">
        <v>0</v>
      </c>
    </row>
    <row r="112" spans="1:11" ht="12.75">
      <c r="A112" s="1" t="s">
        <v>2</v>
      </c>
      <c r="B112" t="str">
        <f>T("INSULAR AFFAIRS")</f>
        <v>INSULAR AFFAIRS</v>
      </c>
      <c r="C112" t="str">
        <f>T("1849 C STREET NW  MS 7344 ")</f>
        <v>1849 C STREET NW  MS 7344 </v>
      </c>
      <c r="D112" t="s">
        <v>0</v>
      </c>
      <c r="E112" t="s">
        <v>0</v>
      </c>
      <c r="F112" t="s">
        <v>0</v>
      </c>
      <c r="G112" t="str">
        <f t="shared" si="28"/>
        <v>WASHINGTON</v>
      </c>
      <c r="H112" t="str">
        <f t="shared" si="29"/>
        <v>DC </v>
      </c>
      <c r="I112" s="1">
        <f t="shared" si="30"/>
        <v>20240</v>
      </c>
      <c r="J112" s="1" t="str">
        <f>T("202 235 3810")</f>
        <v>202 235 3810</v>
      </c>
      <c r="K112" s="1" t="s">
        <v>0</v>
      </c>
    </row>
    <row r="113" spans="1:11" ht="12.75">
      <c r="A113" s="1" t="s">
        <v>2</v>
      </c>
      <c r="B113" t="str">
        <f>T("INVASIVE &amp; ALIEN SPECIES OFC")</f>
        <v>INVASIVE &amp; ALIEN SPECIES OFC</v>
      </c>
      <c r="C113" t="str">
        <f>T("1849 C ST NW")</f>
        <v>1849 C ST NW</v>
      </c>
      <c r="D113" t="s">
        <v>0</v>
      </c>
      <c r="E113" t="s">
        <v>0</v>
      </c>
      <c r="F113" t="s">
        <v>0</v>
      </c>
      <c r="G113" t="str">
        <f t="shared" si="28"/>
        <v>WASHINGTON</v>
      </c>
      <c r="H113" t="str">
        <f t="shared" si="29"/>
        <v>DC </v>
      </c>
      <c r="I113" s="1">
        <f t="shared" si="30"/>
        <v>20240</v>
      </c>
      <c r="J113" s="1" t="str">
        <f>T("202-208-7833")</f>
        <v>202-208-7833</v>
      </c>
      <c r="K113" s="1" t="s">
        <v>0</v>
      </c>
    </row>
    <row r="114" spans="1:11" ht="12.75">
      <c r="A114" s="1" t="s">
        <v>2</v>
      </c>
      <c r="B114" t="str">
        <f>T("CTR FOR COMP SOURCING EXC")</f>
        <v>CTR FOR COMP SOURCING EXC</v>
      </c>
      <c r="C114" t="str">
        <f>T("1849 C ST NW")</f>
        <v>1849 C ST NW</v>
      </c>
      <c r="D114" t="str">
        <f aca="true" t="shared" si="31" ref="D114:D121">T("MS 1313")</f>
        <v>MS 1313</v>
      </c>
      <c r="E114" t="s">
        <v>0</v>
      </c>
      <c r="F114" t="s">
        <v>0</v>
      </c>
      <c r="G114" t="str">
        <f t="shared" si="28"/>
        <v>WASHINGTON</v>
      </c>
      <c r="H114" t="str">
        <f t="shared" si="29"/>
        <v>DC </v>
      </c>
      <c r="I114" s="1">
        <f t="shared" si="30"/>
        <v>20240</v>
      </c>
      <c r="J114" s="1">
        <f>N(9)</f>
        <v>9</v>
      </c>
      <c r="K114" s="1">
        <f>N(9)</f>
        <v>9</v>
      </c>
    </row>
    <row r="115" spans="1:11" ht="12.75">
      <c r="A115" s="1" t="s">
        <v>2</v>
      </c>
      <c r="B115" t="str">
        <f>T("NATIONAL BUSINESS CENTER")</f>
        <v>NATIONAL BUSINESS CENTER</v>
      </c>
      <c r="C115" t="str">
        <f>T("1849 C STREET, NW")</f>
        <v>1849 C STREET, NW</v>
      </c>
      <c r="D115" t="str">
        <f t="shared" si="31"/>
        <v>MS 1313</v>
      </c>
      <c r="E115" t="s">
        <v>0</v>
      </c>
      <c r="F115" t="s">
        <v>0</v>
      </c>
      <c r="G115" t="str">
        <f t="shared" si="28"/>
        <v>WASHINGTON</v>
      </c>
      <c r="H115" t="str">
        <f t="shared" si="29"/>
        <v>DC </v>
      </c>
      <c r="I115" s="1">
        <f t="shared" si="30"/>
        <v>20240</v>
      </c>
      <c r="J115" s="1">
        <f aca="true" t="shared" si="32" ref="J115:J121">N(2022087833)</f>
        <v>2022087833</v>
      </c>
      <c r="K115" s="1">
        <f aca="true" t="shared" si="33" ref="K115:K121">N(2022084719)</f>
        <v>2022084719</v>
      </c>
    </row>
    <row r="116" spans="1:11" ht="12.75">
      <c r="A116" s="1" t="s">
        <v>2</v>
      </c>
      <c r="B116" t="str">
        <f>T("NBC OFFICE OF THE DIRECTOR")</f>
        <v>NBC OFFICE OF THE DIRECTOR</v>
      </c>
      <c r="C116" t="str">
        <f>T("1849 C STREET , NW")</f>
        <v>1849 C STREET , NW</v>
      </c>
      <c r="D116" t="str">
        <f t="shared" si="31"/>
        <v>MS 1313</v>
      </c>
      <c r="E116" t="s">
        <v>0</v>
      </c>
      <c r="F116" t="s">
        <v>0</v>
      </c>
      <c r="G116" t="str">
        <f t="shared" si="28"/>
        <v>WASHINGTON</v>
      </c>
      <c r="H116" t="str">
        <f t="shared" si="29"/>
        <v>DC </v>
      </c>
      <c r="I116" s="1">
        <f t="shared" si="30"/>
        <v>20240</v>
      </c>
      <c r="J116" s="1">
        <f t="shared" si="32"/>
        <v>2022087833</v>
      </c>
      <c r="K116" s="1">
        <f t="shared" si="33"/>
        <v>2022084719</v>
      </c>
    </row>
    <row r="117" spans="1:11" ht="12.75">
      <c r="A117" s="1" t="s">
        <v>2</v>
      </c>
      <c r="B117" t="str">
        <f>T("NBC MAIL MGMT OFF")</f>
        <v>NBC MAIL MGMT OFF</v>
      </c>
      <c r="C117" t="str">
        <f>T("1849 C STREET, NW")</f>
        <v>1849 C STREET, NW</v>
      </c>
      <c r="D117" t="str">
        <f t="shared" si="31"/>
        <v>MS 1313</v>
      </c>
      <c r="E117" t="s">
        <v>0</v>
      </c>
      <c r="F117" t="s">
        <v>0</v>
      </c>
      <c r="G117" t="str">
        <f t="shared" si="28"/>
        <v>WASHINGTON</v>
      </c>
      <c r="H117" t="str">
        <f t="shared" si="29"/>
        <v>DC </v>
      </c>
      <c r="I117" s="1">
        <f t="shared" si="30"/>
        <v>20240</v>
      </c>
      <c r="J117" s="1">
        <f t="shared" si="32"/>
        <v>2022087833</v>
      </c>
      <c r="K117" s="1">
        <f t="shared" si="33"/>
        <v>2022084719</v>
      </c>
    </row>
    <row r="118" spans="1:11" ht="12.75">
      <c r="A118" s="1" t="s">
        <v>2</v>
      </c>
      <c r="B118" t="str">
        <f>T("NBC DIR  STRATEGIC MGMT HUMAN")</f>
        <v>NBC DIR  STRATEGIC MGMT HUMAN</v>
      </c>
      <c r="C118" t="str">
        <f>T("1849 C STREET, NW")</f>
        <v>1849 C STREET, NW</v>
      </c>
      <c r="D118" t="str">
        <f t="shared" si="31"/>
        <v>MS 1313</v>
      </c>
      <c r="E118" t="s">
        <v>0</v>
      </c>
      <c r="F118" t="s">
        <v>0</v>
      </c>
      <c r="G118" t="str">
        <f t="shared" si="28"/>
        <v>WASHINGTON</v>
      </c>
      <c r="H118" t="str">
        <f t="shared" si="29"/>
        <v>DC </v>
      </c>
      <c r="I118" s="1">
        <f t="shared" si="30"/>
        <v>20240</v>
      </c>
      <c r="J118" s="1">
        <f t="shared" si="32"/>
        <v>2022087833</v>
      </c>
      <c r="K118" s="1">
        <f t="shared" si="33"/>
        <v>2022084719</v>
      </c>
    </row>
    <row r="119" spans="1:11" ht="12.75">
      <c r="A119" s="1" t="s">
        <v>2</v>
      </c>
      <c r="B119" t="str">
        <f>T("NBC HUMAN RESOURCES OFF")</f>
        <v>NBC HUMAN RESOURCES OFF</v>
      </c>
      <c r="C119" t="str">
        <f>T("1849 C STREET, NW")</f>
        <v>1849 C STREET, NW</v>
      </c>
      <c r="D119" t="str">
        <f t="shared" si="31"/>
        <v>MS 1313</v>
      </c>
      <c r="E119" t="s">
        <v>0</v>
      </c>
      <c r="F119" t="s">
        <v>0</v>
      </c>
      <c r="G119" t="str">
        <f t="shared" si="28"/>
        <v>WASHINGTON</v>
      </c>
      <c r="H119" t="str">
        <f t="shared" si="29"/>
        <v>DC </v>
      </c>
      <c r="I119" s="1">
        <f t="shared" si="30"/>
        <v>20240</v>
      </c>
      <c r="J119" s="1">
        <f t="shared" si="32"/>
        <v>2022087833</v>
      </c>
      <c r="K119" s="1">
        <f t="shared" si="33"/>
        <v>2022084719</v>
      </c>
    </row>
    <row r="120" spans="1:11" ht="12.75">
      <c r="A120" s="1" t="s">
        <v>2</v>
      </c>
      <c r="B120" t="str">
        <f>T("NBC HUMAN RESOURCES - EAST")</f>
        <v>NBC HUMAN RESOURCES - EAST</v>
      </c>
      <c r="C120" t="str">
        <f>T("1849 C STREET, NW")</f>
        <v>1849 C STREET, NW</v>
      </c>
      <c r="D120" t="str">
        <f t="shared" si="31"/>
        <v>MS 1313</v>
      </c>
      <c r="E120" t="s">
        <v>0</v>
      </c>
      <c r="F120" t="s">
        <v>0</v>
      </c>
      <c r="G120" t="str">
        <f t="shared" si="28"/>
        <v>WASHINGTON</v>
      </c>
      <c r="H120" t="str">
        <f t="shared" si="29"/>
        <v>DC </v>
      </c>
      <c r="I120" s="1">
        <f t="shared" si="30"/>
        <v>20240</v>
      </c>
      <c r="J120" s="1">
        <f t="shared" si="32"/>
        <v>2022087833</v>
      </c>
      <c r="K120" s="1">
        <f t="shared" si="33"/>
        <v>2022084719</v>
      </c>
    </row>
    <row r="121" spans="1:11" ht="12.75">
      <c r="A121" s="1" t="s">
        <v>2</v>
      </c>
      <c r="B121" t="str">
        <f>T("NBC HUMAN RESOURCES - WEST")</f>
        <v>NBC HUMAN RESOURCES - WEST</v>
      </c>
      <c r="C121" t="str">
        <f>T("1849 C STREET, NW")</f>
        <v>1849 C STREET, NW</v>
      </c>
      <c r="D121" t="str">
        <f t="shared" si="31"/>
        <v>MS 1313</v>
      </c>
      <c r="E121" t="s">
        <v>0</v>
      </c>
      <c r="F121" t="s">
        <v>0</v>
      </c>
      <c r="G121" t="str">
        <f t="shared" si="28"/>
        <v>WASHINGTON</v>
      </c>
      <c r="H121" t="str">
        <f t="shared" si="29"/>
        <v>DC </v>
      </c>
      <c r="I121" s="1">
        <f t="shared" si="30"/>
        <v>20240</v>
      </c>
      <c r="J121" s="1">
        <f t="shared" si="32"/>
        <v>2022087833</v>
      </c>
      <c r="K121" s="1">
        <f t="shared" si="33"/>
        <v>2022084719</v>
      </c>
    </row>
    <row r="122" spans="1:11" ht="12.75">
      <c r="A122" s="1" t="s">
        <v>2</v>
      </c>
      <c r="B122" t="str">
        <f>T("NBC DOIU CULT RESOURES &amp; EVENT")</f>
        <v>NBC DOIU CULT RESOURES &amp; EVENT</v>
      </c>
      <c r="C122" t="str">
        <f>T("7301 W MANSFIELD AVE")</f>
        <v>7301 W MANSFIELD AVE</v>
      </c>
      <c r="D122" t="s">
        <v>0</v>
      </c>
      <c r="E122" t="s">
        <v>0</v>
      </c>
      <c r="F122" t="s">
        <v>0</v>
      </c>
      <c r="G122" t="str">
        <f>T("DENVER")</f>
        <v>DENVER</v>
      </c>
      <c r="H122" t="str">
        <f>T("CO ")</f>
        <v>CO </v>
      </c>
      <c r="I122" s="1">
        <f>N(80215)</f>
        <v>80215</v>
      </c>
      <c r="J122" s="1" t="str">
        <f>T("3039696630 2561")</f>
        <v>3039696630 2561</v>
      </c>
      <c r="K122" s="1">
        <f>N(3039696336)</f>
        <v>3039696336</v>
      </c>
    </row>
    <row r="123" spans="1:11" ht="12.75">
      <c r="A123" s="1" t="s">
        <v>2</v>
      </c>
      <c r="B123" t="str">
        <f>T("NBC MUSEUM SVCS BRANCH")</f>
        <v>NBC MUSEUM SVCS BRANCH</v>
      </c>
      <c r="C123" t="str">
        <f>T("1849 C STREET, NW")</f>
        <v>1849 C STREET, NW</v>
      </c>
      <c r="D123" t="str">
        <f>T("MS 1313")</f>
        <v>MS 1313</v>
      </c>
      <c r="E123" t="s">
        <v>0</v>
      </c>
      <c r="F123" t="s">
        <v>0</v>
      </c>
      <c r="G123" t="str">
        <f>T("WASHINGTON")</f>
        <v>WASHINGTON</v>
      </c>
      <c r="H123" t="str">
        <f>T("DC ")</f>
        <v>DC </v>
      </c>
      <c r="I123" s="1">
        <f>N(20240)</f>
        <v>20240</v>
      </c>
      <c r="J123" s="1">
        <f>N(2022087833)</f>
        <v>2022087833</v>
      </c>
      <c r="K123" s="1">
        <f>N(2022084719)</f>
        <v>2022084719</v>
      </c>
    </row>
    <row r="124" spans="1:11" ht="12.75">
      <c r="A124" s="1" t="s">
        <v>2</v>
      </c>
      <c r="B124" t="str">
        <f>T("NBC DOIU-LEAD &amp; PERF DIV")</f>
        <v>NBC DOIU-LEAD &amp; PERF DIV</v>
      </c>
      <c r="C124" t="str">
        <f>T("1849 C ST NW")</f>
        <v>1849 C ST NW</v>
      </c>
      <c r="D124" t="s">
        <v>0</v>
      </c>
      <c r="E124" t="s">
        <v>0</v>
      </c>
      <c r="F124" t="s">
        <v>0</v>
      </c>
      <c r="G124" t="str">
        <f>T("WASHINGTON")</f>
        <v>WASHINGTON</v>
      </c>
      <c r="H124" t="str">
        <f>T("DC ")</f>
        <v>DC </v>
      </c>
      <c r="I124" s="1">
        <f>N(20240)</f>
        <v>20240</v>
      </c>
      <c r="J124" s="1">
        <f>N(2022087833)</f>
        <v>2022087833</v>
      </c>
      <c r="K124" s="1">
        <f>N(2022084719)</f>
        <v>2022084719</v>
      </c>
    </row>
    <row r="125" spans="1:11" ht="12.75">
      <c r="A125" s="1" t="s">
        <v>2</v>
      </c>
      <c r="B125" t="str">
        <f>T("NBC CAREER DEVELOPMENT CNTR")</f>
        <v>NBC CAREER DEVELOPMENT CNTR</v>
      </c>
      <c r="C125" t="str">
        <f>T("7301 W MANSFIELD AVE")</f>
        <v>7301 W MANSFIELD AVE</v>
      </c>
      <c r="D125" t="s">
        <v>0</v>
      </c>
      <c r="E125" t="s">
        <v>0</v>
      </c>
      <c r="F125" t="s">
        <v>0</v>
      </c>
      <c r="G125" t="str">
        <f>T("DENVER")</f>
        <v>DENVER</v>
      </c>
      <c r="H125" t="str">
        <f>T("CO ")</f>
        <v>CO </v>
      </c>
      <c r="I125" s="1">
        <f>N(80215)</f>
        <v>80215</v>
      </c>
      <c r="J125" s="1" t="str">
        <f>T("3039696630 2561")</f>
        <v>3039696630 2561</v>
      </c>
      <c r="K125" s="1">
        <f>N(3039696336)</f>
        <v>3039696336</v>
      </c>
    </row>
    <row r="126" spans="1:11" ht="12.75">
      <c r="A126" s="1" t="s">
        <v>2</v>
      </c>
      <c r="B126" t="str">
        <f>T("NBC DOIU - ONLINE LEARNING DIV")</f>
        <v>NBC DOIU - ONLINE LEARNING DIV</v>
      </c>
      <c r="C126" t="str">
        <f>T("1849 C STREET,NW")</f>
        <v>1849 C STREET,NW</v>
      </c>
      <c r="D126" t="str">
        <f>T("MS 1313")</f>
        <v>MS 1313</v>
      </c>
      <c r="E126" t="s">
        <v>0</v>
      </c>
      <c r="F126" t="s">
        <v>0</v>
      </c>
      <c r="G126" t="str">
        <f>T("WASHINGTON")</f>
        <v>WASHINGTON</v>
      </c>
      <c r="H126" t="str">
        <f>T("DC ")</f>
        <v>DC </v>
      </c>
      <c r="I126" s="1">
        <f>N(20240)</f>
        <v>20240</v>
      </c>
      <c r="J126" s="1">
        <f>N(2022087833)</f>
        <v>2022087833</v>
      </c>
      <c r="K126" s="1">
        <f>N(2022084719)</f>
        <v>2022084719</v>
      </c>
    </row>
    <row r="127" spans="1:11" ht="12.75">
      <c r="A127" s="1" t="s">
        <v>2</v>
      </c>
      <c r="B127" t="str">
        <f>T("NBC DOIU-LEAD &amp; PERF CENTER")</f>
        <v>NBC DOIU-LEAD &amp; PERF CENTER</v>
      </c>
      <c r="C127" t="str">
        <f>T("7301 W MANSFIELD AVE")</f>
        <v>7301 W MANSFIELD AVE</v>
      </c>
      <c r="D127" t="str">
        <f>T("MS D 2780")</f>
        <v>MS D 2780</v>
      </c>
      <c r="E127" t="s">
        <v>0</v>
      </c>
      <c r="F127" t="s">
        <v>0</v>
      </c>
      <c r="G127" t="str">
        <f>T("DENVER")</f>
        <v>DENVER</v>
      </c>
      <c r="H127" t="str">
        <f>T("CO ")</f>
        <v>CO </v>
      </c>
      <c r="I127" s="1">
        <f>N(80215)</f>
        <v>80215</v>
      </c>
      <c r="J127" s="1">
        <f>N(3039695588)</f>
        <v>3039695588</v>
      </c>
      <c r="K127" s="1">
        <f>N(3039696336)</f>
        <v>3039696336</v>
      </c>
    </row>
    <row r="128" spans="1:11" ht="12.75">
      <c r="A128" s="1" t="s">
        <v>2</v>
      </c>
      <c r="B128" t="str">
        <f>T("NBC DOIU - ONLINE EDUC SVCS BR")</f>
        <v>NBC DOIU - ONLINE EDUC SVCS BR</v>
      </c>
      <c r="C128" t="str">
        <f aca="true" t="shared" si="34" ref="C128:C144">T("1849 C STREET, NW")</f>
        <v>1849 C STREET, NW</v>
      </c>
      <c r="D128" t="str">
        <f>T("MC 1313")</f>
        <v>MC 1313</v>
      </c>
      <c r="E128" t="s">
        <v>0</v>
      </c>
      <c r="F128" t="s">
        <v>0</v>
      </c>
      <c r="G128" t="str">
        <f aca="true" t="shared" si="35" ref="G128:G149">T("WASHINGTON")</f>
        <v>WASHINGTON</v>
      </c>
      <c r="H128" t="str">
        <f aca="true" t="shared" si="36" ref="H128:H149">T("DC ")</f>
        <v>DC </v>
      </c>
      <c r="I128" s="1">
        <f aca="true" t="shared" si="37" ref="I128:I149">N(20240)</f>
        <v>20240</v>
      </c>
      <c r="J128" s="1">
        <f aca="true" t="shared" si="38" ref="J128:J136">N(2022087833)</f>
        <v>2022087833</v>
      </c>
      <c r="K128" s="1">
        <f aca="true" t="shared" si="39" ref="K128:K144">N(2022084719)</f>
        <v>2022084719</v>
      </c>
    </row>
    <row r="129" spans="1:11" ht="12.75">
      <c r="A129" s="1" t="s">
        <v>2</v>
      </c>
      <c r="B129" t="str">
        <f>T("NBC INFORMATION TECH DIRECTORA")</f>
        <v>NBC INFORMATION TECH DIRECTORA</v>
      </c>
      <c r="C129" t="str">
        <f t="shared" si="34"/>
        <v>1849 C STREET, NW</v>
      </c>
      <c r="D129" t="str">
        <f>T("MS 1313")</f>
        <v>MS 1313</v>
      </c>
      <c r="E129" t="s">
        <v>0</v>
      </c>
      <c r="F129" t="s">
        <v>0</v>
      </c>
      <c r="G129" t="str">
        <f t="shared" si="35"/>
        <v>WASHINGTON</v>
      </c>
      <c r="H129" t="str">
        <f t="shared" si="36"/>
        <v>DC </v>
      </c>
      <c r="I129" s="1">
        <f t="shared" si="37"/>
        <v>20240</v>
      </c>
      <c r="J129" s="1">
        <f t="shared" si="38"/>
        <v>2022087833</v>
      </c>
      <c r="K129" s="1">
        <f t="shared" si="39"/>
        <v>2022084719</v>
      </c>
    </row>
    <row r="130" spans="1:11" ht="12.75">
      <c r="A130" s="1" t="s">
        <v>2</v>
      </c>
      <c r="B130" t="str">
        <f>T("NBC IT PLANS &amp; PROGRAM DIV")</f>
        <v>NBC IT PLANS &amp; PROGRAM DIV</v>
      </c>
      <c r="C130" t="str">
        <f t="shared" si="34"/>
        <v>1849 C STREET, NW</v>
      </c>
      <c r="D130" t="str">
        <f>T("MS 1313")</f>
        <v>MS 1313</v>
      </c>
      <c r="E130" t="s">
        <v>0</v>
      </c>
      <c r="F130" t="s">
        <v>0</v>
      </c>
      <c r="G130" t="str">
        <f t="shared" si="35"/>
        <v>WASHINGTON</v>
      </c>
      <c r="H130" t="str">
        <f t="shared" si="36"/>
        <v>DC </v>
      </c>
      <c r="I130" s="1">
        <f t="shared" si="37"/>
        <v>20240</v>
      </c>
      <c r="J130" s="1">
        <f t="shared" si="38"/>
        <v>2022087833</v>
      </c>
      <c r="K130" s="1">
        <f t="shared" si="39"/>
        <v>2022084719</v>
      </c>
    </row>
    <row r="131" spans="1:11" ht="12.75">
      <c r="A131" s="1" t="s">
        <v>2</v>
      </c>
      <c r="B131" t="str">
        <f>T("NBC IT PLANS BRANCH")</f>
        <v>NBC IT PLANS BRANCH</v>
      </c>
      <c r="C131" t="str">
        <f t="shared" si="34"/>
        <v>1849 C STREET, NW</v>
      </c>
      <c r="D131" t="str">
        <f>T("MS 1313")</f>
        <v>MS 1313</v>
      </c>
      <c r="E131" t="s">
        <v>0</v>
      </c>
      <c r="F131" t="s">
        <v>0</v>
      </c>
      <c r="G131" t="str">
        <f t="shared" si="35"/>
        <v>WASHINGTON</v>
      </c>
      <c r="H131" t="str">
        <f t="shared" si="36"/>
        <v>DC </v>
      </c>
      <c r="I131" s="1">
        <f t="shared" si="37"/>
        <v>20240</v>
      </c>
      <c r="J131" s="1">
        <f t="shared" si="38"/>
        <v>2022087833</v>
      </c>
      <c r="K131" s="1">
        <f t="shared" si="39"/>
        <v>2022084719</v>
      </c>
    </row>
    <row r="132" spans="1:11" ht="12.75">
      <c r="A132" s="1" t="s">
        <v>2</v>
      </c>
      <c r="B132" t="str">
        <f>T("NBC IT PROGRAMS BRANCH")</f>
        <v>NBC IT PROGRAMS BRANCH</v>
      </c>
      <c r="C132" t="str">
        <f t="shared" si="34"/>
        <v>1849 C STREET, NW</v>
      </c>
      <c r="D132" t="str">
        <f>T("MS 1313")</f>
        <v>MS 1313</v>
      </c>
      <c r="E132" t="s">
        <v>0</v>
      </c>
      <c r="F132" t="s">
        <v>0</v>
      </c>
      <c r="G132" t="str">
        <f t="shared" si="35"/>
        <v>WASHINGTON</v>
      </c>
      <c r="H132" t="str">
        <f t="shared" si="36"/>
        <v>DC </v>
      </c>
      <c r="I132" s="1">
        <f t="shared" si="37"/>
        <v>20240</v>
      </c>
      <c r="J132" s="1">
        <f t="shared" si="38"/>
        <v>2022087833</v>
      </c>
      <c r="K132" s="1">
        <f t="shared" si="39"/>
        <v>2022084719</v>
      </c>
    </row>
    <row r="133" spans="1:11" ht="12.75">
      <c r="A133" s="1" t="s">
        <v>2</v>
      </c>
      <c r="B133" t="str">
        <f>T("NBC IT HELPDESK/DESKTOP SRVS B")</f>
        <v>NBC IT HELPDESK/DESKTOP SRVS B</v>
      </c>
      <c r="C133" t="str">
        <f t="shared" si="34"/>
        <v>1849 C STREET, NW</v>
      </c>
      <c r="D133" t="str">
        <f>T("MS1313")</f>
        <v>MS1313</v>
      </c>
      <c r="E133" t="s">
        <v>0</v>
      </c>
      <c r="F133" t="s">
        <v>0</v>
      </c>
      <c r="G133" t="str">
        <f t="shared" si="35"/>
        <v>WASHINGTON</v>
      </c>
      <c r="H133" t="str">
        <f t="shared" si="36"/>
        <v>DC </v>
      </c>
      <c r="I133" s="1">
        <f t="shared" si="37"/>
        <v>20240</v>
      </c>
      <c r="J133" s="1">
        <f t="shared" si="38"/>
        <v>2022087833</v>
      </c>
      <c r="K133" s="1">
        <f t="shared" si="39"/>
        <v>2022084719</v>
      </c>
    </row>
    <row r="134" spans="1:11" ht="12.75">
      <c r="A134" s="1" t="s">
        <v>2</v>
      </c>
      <c r="B134" t="str">
        <f>T("NBC DESKTOP &amp; SERVER ADMIN BR")</f>
        <v>NBC DESKTOP &amp; SERVER ADMIN BR</v>
      </c>
      <c r="C134" t="str">
        <f t="shared" si="34"/>
        <v>1849 C STREET, NW</v>
      </c>
      <c r="D134" t="str">
        <f aca="true" t="shared" si="40" ref="D134:D149">T("MS 1313")</f>
        <v>MS 1313</v>
      </c>
      <c r="E134" t="s">
        <v>0</v>
      </c>
      <c r="F134" t="s">
        <v>0</v>
      </c>
      <c r="G134" t="str">
        <f t="shared" si="35"/>
        <v>WASHINGTON</v>
      </c>
      <c r="H134" t="str">
        <f t="shared" si="36"/>
        <v>DC </v>
      </c>
      <c r="I134" s="1">
        <f t="shared" si="37"/>
        <v>20240</v>
      </c>
      <c r="J134" s="1">
        <f t="shared" si="38"/>
        <v>2022087833</v>
      </c>
      <c r="K134" s="1">
        <f t="shared" si="39"/>
        <v>2022084719</v>
      </c>
    </row>
    <row r="135" spans="1:11" ht="12.75">
      <c r="A135" s="1" t="s">
        <v>2</v>
      </c>
      <c r="B135" t="str">
        <f>T("NBC SERVER/APPLICATION SVCS SE")</f>
        <v>NBC SERVER/APPLICATION SVCS SE</v>
      </c>
      <c r="C135" t="str">
        <f t="shared" si="34"/>
        <v>1849 C STREET, NW</v>
      </c>
      <c r="D135" t="str">
        <f t="shared" si="40"/>
        <v>MS 1313</v>
      </c>
      <c r="E135" t="s">
        <v>0</v>
      </c>
      <c r="F135" t="s">
        <v>0</v>
      </c>
      <c r="G135" t="str">
        <f t="shared" si="35"/>
        <v>WASHINGTON</v>
      </c>
      <c r="H135" t="str">
        <f t="shared" si="36"/>
        <v>DC </v>
      </c>
      <c r="I135" s="1">
        <f t="shared" si="37"/>
        <v>20240</v>
      </c>
      <c r="J135" s="1">
        <f t="shared" si="38"/>
        <v>2022087833</v>
      </c>
      <c r="K135" s="1">
        <f t="shared" si="39"/>
        <v>2022084719</v>
      </c>
    </row>
    <row r="136" spans="1:11" ht="12.75">
      <c r="A136" s="1" t="s">
        <v>2</v>
      </c>
      <c r="B136" t="str">
        <f>T("NBC TELECOMMUNICATIONS BR")</f>
        <v>NBC TELECOMMUNICATIONS BR</v>
      </c>
      <c r="C136" t="str">
        <f t="shared" si="34"/>
        <v>1849 C STREET, NW</v>
      </c>
      <c r="D136" t="str">
        <f t="shared" si="40"/>
        <v>MS 1313</v>
      </c>
      <c r="E136" t="s">
        <v>0</v>
      </c>
      <c r="F136" t="s">
        <v>0</v>
      </c>
      <c r="G136" t="str">
        <f t="shared" si="35"/>
        <v>WASHINGTON</v>
      </c>
      <c r="H136" t="str">
        <f t="shared" si="36"/>
        <v>DC </v>
      </c>
      <c r="I136" s="1">
        <f t="shared" si="37"/>
        <v>20240</v>
      </c>
      <c r="J136" s="1">
        <f t="shared" si="38"/>
        <v>2022087833</v>
      </c>
      <c r="K136" s="1">
        <f t="shared" si="39"/>
        <v>2022084719</v>
      </c>
    </row>
    <row r="137" spans="1:11" ht="12.75">
      <c r="A137" s="1" t="s">
        <v>2</v>
      </c>
      <c r="B137" t="str">
        <f>T("NBC VOICE SERVICES SEC")</f>
        <v>NBC VOICE SERVICES SEC</v>
      </c>
      <c r="C137" t="str">
        <f t="shared" si="34"/>
        <v>1849 C STREET, NW</v>
      </c>
      <c r="D137" t="str">
        <f t="shared" si="40"/>
        <v>MS 1313</v>
      </c>
      <c r="E137" t="s">
        <v>0</v>
      </c>
      <c r="F137" t="s">
        <v>0</v>
      </c>
      <c r="G137" t="str">
        <f t="shared" si="35"/>
        <v>WASHINGTON</v>
      </c>
      <c r="H137" t="str">
        <f t="shared" si="36"/>
        <v>DC </v>
      </c>
      <c r="I137" s="1">
        <f t="shared" si="37"/>
        <v>20240</v>
      </c>
      <c r="J137" s="1">
        <f>N(2022087800)</f>
        <v>2022087800</v>
      </c>
      <c r="K137" s="1">
        <f t="shared" si="39"/>
        <v>2022084719</v>
      </c>
    </row>
    <row r="138" spans="1:11" ht="12.75">
      <c r="A138" s="1" t="s">
        <v>2</v>
      </c>
      <c r="B138" t="str">
        <f>T("NBC DATABASE MGMT &amp; SYSTEM SUP")</f>
        <v>NBC DATABASE MGMT &amp; SYSTEM SUP</v>
      </c>
      <c r="C138" t="str">
        <f t="shared" si="34"/>
        <v>1849 C STREET, NW</v>
      </c>
      <c r="D138" t="str">
        <f t="shared" si="40"/>
        <v>MS 1313</v>
      </c>
      <c r="E138" t="s">
        <v>0</v>
      </c>
      <c r="F138" t="s">
        <v>0</v>
      </c>
      <c r="G138" t="str">
        <f t="shared" si="35"/>
        <v>WASHINGTON</v>
      </c>
      <c r="H138" t="str">
        <f t="shared" si="36"/>
        <v>DC </v>
      </c>
      <c r="I138" s="1">
        <f t="shared" si="37"/>
        <v>20240</v>
      </c>
      <c r="J138" s="1">
        <f aca="true" t="shared" si="41" ref="J138:J144">N(2022087833)</f>
        <v>2022087833</v>
      </c>
      <c r="K138" s="1">
        <f t="shared" si="39"/>
        <v>2022084719</v>
      </c>
    </row>
    <row r="139" spans="1:11" ht="12.75">
      <c r="A139" s="1" t="s">
        <v>2</v>
      </c>
      <c r="B139" t="str">
        <f>T("NBC IT AVIATION SYSTEM DIV")</f>
        <v>NBC IT AVIATION SYSTEM DIV</v>
      </c>
      <c r="C139" t="str">
        <f t="shared" si="34"/>
        <v>1849 C STREET, NW</v>
      </c>
      <c r="D139" t="str">
        <f t="shared" si="40"/>
        <v>MS 1313</v>
      </c>
      <c r="E139" t="s">
        <v>0</v>
      </c>
      <c r="F139" t="s">
        <v>0</v>
      </c>
      <c r="G139" t="str">
        <f t="shared" si="35"/>
        <v>WASHINGTON</v>
      </c>
      <c r="H139" t="str">
        <f t="shared" si="36"/>
        <v>DC </v>
      </c>
      <c r="I139" s="1">
        <f t="shared" si="37"/>
        <v>20240</v>
      </c>
      <c r="J139" s="1">
        <f t="shared" si="41"/>
        <v>2022087833</v>
      </c>
      <c r="K139" s="1">
        <f t="shared" si="39"/>
        <v>2022084719</v>
      </c>
    </row>
    <row r="140" spans="1:11" ht="12.75">
      <c r="A140" s="1" t="s">
        <v>2</v>
      </c>
      <c r="B140" t="str">
        <f>T("NBC E-APPS MGMT BR")</f>
        <v>NBC E-APPS MGMT BR</v>
      </c>
      <c r="C140" t="str">
        <f t="shared" si="34"/>
        <v>1849 C STREET, NW</v>
      </c>
      <c r="D140" t="str">
        <f t="shared" si="40"/>
        <v>MS 1313</v>
      </c>
      <c r="E140" t="s">
        <v>0</v>
      </c>
      <c r="F140" t="s">
        <v>0</v>
      </c>
      <c r="G140" t="str">
        <f t="shared" si="35"/>
        <v>WASHINGTON</v>
      </c>
      <c r="H140" t="str">
        <f t="shared" si="36"/>
        <v>DC </v>
      </c>
      <c r="I140" s="1">
        <f t="shared" si="37"/>
        <v>20240</v>
      </c>
      <c r="J140" s="1">
        <f t="shared" si="41"/>
        <v>2022087833</v>
      </c>
      <c r="K140" s="1">
        <f t="shared" si="39"/>
        <v>2022084719</v>
      </c>
    </row>
    <row r="141" spans="1:11" ht="12.75">
      <c r="A141" s="1" t="s">
        <v>2</v>
      </c>
      <c r="B141" t="str">
        <f>T("NBC DIR FED PERS PAYROLL SYS &amp;")</f>
        <v>NBC DIR FED PERS PAYROLL SYS &amp;</v>
      </c>
      <c r="C141" t="str">
        <f t="shared" si="34"/>
        <v>1849 C STREET, NW</v>
      </c>
      <c r="D141" t="str">
        <f t="shared" si="40"/>
        <v>MS 1313</v>
      </c>
      <c r="E141" t="s">
        <v>0</v>
      </c>
      <c r="F141" t="s">
        <v>0</v>
      </c>
      <c r="G141" t="str">
        <f t="shared" si="35"/>
        <v>WASHINGTON</v>
      </c>
      <c r="H141" t="str">
        <f t="shared" si="36"/>
        <v>DC </v>
      </c>
      <c r="I141" s="1">
        <f t="shared" si="37"/>
        <v>20240</v>
      </c>
      <c r="J141" s="1">
        <f t="shared" si="41"/>
        <v>2022087833</v>
      </c>
      <c r="K141" s="1">
        <f t="shared" si="39"/>
        <v>2022084719</v>
      </c>
    </row>
    <row r="142" spans="1:11" ht="12.75">
      <c r="A142" s="1" t="s">
        <v>2</v>
      </c>
      <c r="B142" t="str">
        <f>T("NBC CLIENT LIAISON &amp; PROD DEVE")</f>
        <v>NBC CLIENT LIAISON &amp; PROD DEVE</v>
      </c>
      <c r="C142" t="str">
        <f t="shared" si="34"/>
        <v>1849 C STREET, NW</v>
      </c>
      <c r="D142" t="str">
        <f t="shared" si="40"/>
        <v>MS 1313</v>
      </c>
      <c r="E142" t="s">
        <v>0</v>
      </c>
      <c r="F142" t="s">
        <v>0</v>
      </c>
      <c r="G142" t="str">
        <f t="shared" si="35"/>
        <v>WASHINGTON</v>
      </c>
      <c r="H142" t="str">
        <f t="shared" si="36"/>
        <v>DC </v>
      </c>
      <c r="I142" s="1">
        <f t="shared" si="37"/>
        <v>20240</v>
      </c>
      <c r="J142" s="1">
        <f t="shared" si="41"/>
        <v>2022087833</v>
      </c>
      <c r="K142" s="1">
        <f t="shared" si="39"/>
        <v>2022084719</v>
      </c>
    </row>
    <row r="143" spans="1:11" ht="12.75">
      <c r="A143" s="1" t="s">
        <v>2</v>
      </c>
      <c r="B143" t="str">
        <f>T("NBC PAYROLL OPERATIONS DIV")</f>
        <v>NBC PAYROLL OPERATIONS DIV</v>
      </c>
      <c r="C143" t="str">
        <f t="shared" si="34"/>
        <v>1849 C STREET, NW</v>
      </c>
      <c r="D143" t="str">
        <f t="shared" si="40"/>
        <v>MS 1313</v>
      </c>
      <c r="E143" t="s">
        <v>0</v>
      </c>
      <c r="F143" t="s">
        <v>0</v>
      </c>
      <c r="G143" t="str">
        <f t="shared" si="35"/>
        <v>WASHINGTON</v>
      </c>
      <c r="H143" t="str">
        <f t="shared" si="36"/>
        <v>DC </v>
      </c>
      <c r="I143" s="1">
        <f t="shared" si="37"/>
        <v>20240</v>
      </c>
      <c r="J143" s="1">
        <f t="shared" si="41"/>
        <v>2022087833</v>
      </c>
      <c r="K143" s="1">
        <f t="shared" si="39"/>
        <v>2022084719</v>
      </c>
    </row>
    <row r="144" spans="1:11" ht="12.75">
      <c r="A144" s="1" t="s">
        <v>2</v>
      </c>
      <c r="B144" t="str">
        <f>T("NBC PAYROLL SYSTEM MGMT BR")</f>
        <v>NBC PAYROLL SYSTEM MGMT BR</v>
      </c>
      <c r="C144" t="str">
        <f t="shared" si="34"/>
        <v>1849 C STREET, NW</v>
      </c>
      <c r="D144" t="str">
        <f t="shared" si="40"/>
        <v>MS 1313</v>
      </c>
      <c r="E144" t="s">
        <v>0</v>
      </c>
      <c r="F144" t="s">
        <v>0</v>
      </c>
      <c r="G144" t="str">
        <f t="shared" si="35"/>
        <v>WASHINGTON</v>
      </c>
      <c r="H144" t="str">
        <f t="shared" si="36"/>
        <v>DC </v>
      </c>
      <c r="I144" s="1">
        <f t="shared" si="37"/>
        <v>20240</v>
      </c>
      <c r="J144" s="1">
        <f t="shared" si="41"/>
        <v>2022087833</v>
      </c>
      <c r="K144" s="1">
        <f t="shared" si="39"/>
        <v>2022084719</v>
      </c>
    </row>
    <row r="145" spans="1:11" ht="12.75">
      <c r="A145" s="1" t="s">
        <v>2</v>
      </c>
      <c r="B145" t="str">
        <f>T("NBC PERSONNEL &amp; PAYROLL SYSTEM")</f>
        <v>NBC PERSONNEL &amp; PAYROLL SYSTEM</v>
      </c>
      <c r="C145" t="str">
        <f>T("1849 C ST NW")</f>
        <v>1849 C ST NW</v>
      </c>
      <c r="D145" t="str">
        <f t="shared" si="40"/>
        <v>MS 1313</v>
      </c>
      <c r="E145" t="s">
        <v>0</v>
      </c>
      <c r="F145" t="s">
        <v>0</v>
      </c>
      <c r="G145" t="str">
        <f t="shared" si="35"/>
        <v>WASHINGTON</v>
      </c>
      <c r="H145" t="str">
        <f t="shared" si="36"/>
        <v>DC </v>
      </c>
      <c r="I145" s="1">
        <f t="shared" si="37"/>
        <v>20240</v>
      </c>
      <c r="J145" s="1" t="str">
        <f>T("202-208-7833")</f>
        <v>202-208-7833</v>
      </c>
      <c r="K145" s="1" t="s">
        <v>0</v>
      </c>
    </row>
    <row r="146" spans="1:11" ht="12.75">
      <c r="A146" s="1" t="s">
        <v>2</v>
      </c>
      <c r="B146" t="str">
        <f>T("NBC TECH SYSTEMS MGMT BR")</f>
        <v>NBC TECH SYSTEMS MGMT BR</v>
      </c>
      <c r="C146" t="str">
        <f>T("1849 C ST NW")</f>
        <v>1849 C ST NW</v>
      </c>
      <c r="D146" t="str">
        <f t="shared" si="40"/>
        <v>MS 1313</v>
      </c>
      <c r="E146" t="s">
        <v>0</v>
      </c>
      <c r="F146" t="s">
        <v>0</v>
      </c>
      <c r="G146" t="str">
        <f t="shared" si="35"/>
        <v>WASHINGTON</v>
      </c>
      <c r="H146" t="str">
        <f t="shared" si="36"/>
        <v>DC </v>
      </c>
      <c r="I146" s="1">
        <f t="shared" si="37"/>
        <v>20240</v>
      </c>
      <c r="J146" s="1" t="str">
        <f>T("202-208-7833")</f>
        <v>202-208-7833</v>
      </c>
      <c r="K146" s="1" t="s">
        <v>0</v>
      </c>
    </row>
    <row r="147" spans="1:11" ht="12.75">
      <c r="A147" s="1" t="s">
        <v>2</v>
      </c>
      <c r="B147" t="str">
        <f>T("NBC SYSTEMS DEVELOPMENT BR")</f>
        <v>NBC SYSTEMS DEVELOPMENT BR</v>
      </c>
      <c r="C147" t="str">
        <f>T("1849 C ST NW")</f>
        <v>1849 C ST NW</v>
      </c>
      <c r="D147" t="str">
        <f t="shared" si="40"/>
        <v>MS 1313</v>
      </c>
      <c r="E147" t="s">
        <v>0</v>
      </c>
      <c r="F147" t="s">
        <v>0</v>
      </c>
      <c r="G147" t="str">
        <f t="shared" si="35"/>
        <v>WASHINGTON</v>
      </c>
      <c r="H147" t="str">
        <f t="shared" si="36"/>
        <v>DC </v>
      </c>
      <c r="I147" s="1">
        <f t="shared" si="37"/>
        <v>20240</v>
      </c>
      <c r="J147" s="1" t="str">
        <f>T("202-208-7833")</f>
        <v>202-208-7833</v>
      </c>
      <c r="K147" s="1" t="s">
        <v>0</v>
      </c>
    </row>
    <row r="148" spans="1:11" ht="12.75">
      <c r="A148" s="1" t="s">
        <v>2</v>
      </c>
      <c r="B148" t="str">
        <f>T("NBC ADMIN OPERATIONS DIRECTORA")</f>
        <v>NBC ADMIN OPERATIONS DIRECTORA</v>
      </c>
      <c r="C148" t="str">
        <f>T("1849 C ST NW")</f>
        <v>1849 C ST NW</v>
      </c>
      <c r="D148" t="str">
        <f t="shared" si="40"/>
        <v>MS 1313</v>
      </c>
      <c r="E148" t="s">
        <v>0</v>
      </c>
      <c r="F148" t="s">
        <v>0</v>
      </c>
      <c r="G148" t="str">
        <f t="shared" si="35"/>
        <v>WASHINGTON</v>
      </c>
      <c r="H148" t="str">
        <f t="shared" si="36"/>
        <v>DC </v>
      </c>
      <c r="I148" s="1">
        <f t="shared" si="37"/>
        <v>20240</v>
      </c>
      <c r="J148" s="1" t="str">
        <f>T("202-208-7833")</f>
        <v>202-208-7833</v>
      </c>
      <c r="K148" s="1" t="s">
        <v>0</v>
      </c>
    </row>
    <row r="149" spans="1:11" ht="12.75">
      <c r="A149" s="1" t="s">
        <v>2</v>
      </c>
      <c r="B149" t="str">
        <f>T("NBC MIB MODERNIZATION PROG DIV")</f>
        <v>NBC MIB MODERNIZATION PROG DIV</v>
      </c>
      <c r="C149" t="str">
        <f>T("1849 C ST NW")</f>
        <v>1849 C ST NW</v>
      </c>
      <c r="D149" t="str">
        <f t="shared" si="40"/>
        <v>MS 1313</v>
      </c>
      <c r="E149" t="s">
        <v>0</v>
      </c>
      <c r="F149" t="s">
        <v>0</v>
      </c>
      <c r="G149" t="str">
        <f t="shared" si="35"/>
        <v>WASHINGTON</v>
      </c>
      <c r="H149" t="str">
        <f t="shared" si="36"/>
        <v>DC </v>
      </c>
      <c r="I149" s="1">
        <f t="shared" si="37"/>
        <v>20240</v>
      </c>
      <c r="J149" s="1" t="str">
        <f>T("202-208-7833")</f>
        <v>202-208-7833</v>
      </c>
      <c r="K149" s="1" t="s">
        <v>0</v>
      </c>
    </row>
    <row r="150" spans="1:11" ht="12.75">
      <c r="A150" s="1" t="s">
        <v>2</v>
      </c>
      <c r="B150" t="str">
        <f>T("NBC WASH DC ACQUISITION BR")</f>
        <v>NBC WASH DC ACQUISITION BR</v>
      </c>
      <c r="C150" t="str">
        <f>T("7301 W MANSFIELD")</f>
        <v>7301 W MANSFIELD</v>
      </c>
      <c r="D150" t="s">
        <v>0</v>
      </c>
      <c r="E150" t="s">
        <v>0</v>
      </c>
      <c r="F150" t="s">
        <v>0</v>
      </c>
      <c r="G150" t="str">
        <f>T("DENVER")</f>
        <v>DENVER</v>
      </c>
      <c r="H150" t="str">
        <f>T("CO ")</f>
        <v>CO </v>
      </c>
      <c r="I150" s="1">
        <f>N(80215)</f>
        <v>80215</v>
      </c>
      <c r="J150" s="1" t="str">
        <f>T("3039696630 2561")</f>
        <v>3039696630 2561</v>
      </c>
      <c r="K150" s="1">
        <f>N(3039696336)</f>
        <v>3039696336</v>
      </c>
    </row>
    <row r="151" spans="1:11" ht="12.75">
      <c r="A151" s="1" t="s">
        <v>2</v>
      </c>
      <c r="B151" t="str">
        <f>T("NBC SOUTHWEST ACQUISITION BR")</f>
        <v>NBC SOUTHWEST ACQUISITION BR</v>
      </c>
      <c r="C151" t="str">
        <f>T("1849 C ST NW")</f>
        <v>1849 C ST NW</v>
      </c>
      <c r="D151" t="str">
        <f>T("MS 1313")</f>
        <v>MS 1313</v>
      </c>
      <c r="E151" t="s">
        <v>0</v>
      </c>
      <c r="F151" t="s">
        <v>0</v>
      </c>
      <c r="G151" t="str">
        <f>T("WASHINGTON")</f>
        <v>WASHINGTON</v>
      </c>
      <c r="H151" t="str">
        <f>T("DC ")</f>
        <v>DC </v>
      </c>
      <c r="I151" s="1">
        <f>N(20240)</f>
        <v>20240</v>
      </c>
      <c r="J151" s="1" t="str">
        <f>T("202-208-7833")</f>
        <v>202-208-7833</v>
      </c>
      <c r="K151" s="1" t="s">
        <v>0</v>
      </c>
    </row>
    <row r="152" spans="1:11" ht="12.75">
      <c r="A152" s="1" t="s">
        <v>2</v>
      </c>
      <c r="B152" t="str">
        <f>T("NBC DENVER ACQUISITION BR")</f>
        <v>NBC DENVER ACQUISITION BR</v>
      </c>
      <c r="C152" t="str">
        <f>T("1849 C ST NW")</f>
        <v>1849 C ST NW</v>
      </c>
      <c r="D152" t="str">
        <f>T("MS 1313")</f>
        <v>MS 1313</v>
      </c>
      <c r="E152" t="s">
        <v>0</v>
      </c>
      <c r="F152" t="s">
        <v>0</v>
      </c>
      <c r="G152" t="str">
        <f>T("WASHINGTON")</f>
        <v>WASHINGTON</v>
      </c>
      <c r="H152" t="str">
        <f>T("DC ")</f>
        <v>DC </v>
      </c>
      <c r="I152" s="1">
        <f>N(20240)</f>
        <v>20240</v>
      </c>
      <c r="J152" s="1" t="str">
        <f>T("202-208-7833")</f>
        <v>202-208-7833</v>
      </c>
      <c r="K152" s="1" t="s">
        <v>0</v>
      </c>
    </row>
    <row r="153" spans="1:11" ht="12.75">
      <c r="A153" s="1" t="s">
        <v>2</v>
      </c>
      <c r="B153" t="str">
        <f>T("NBC SACRAMENTO INDIRECCT COST")</f>
        <v>NBC SACRAMENTO INDIRECCT COST</v>
      </c>
      <c r="C153" t="str">
        <f>T("7301 W MANSFIELD AVE")</f>
        <v>7301 W MANSFIELD AVE</v>
      </c>
      <c r="D153" t="s">
        <v>0</v>
      </c>
      <c r="E153" t="s">
        <v>0</v>
      </c>
      <c r="F153" t="s">
        <v>0</v>
      </c>
      <c r="G153" t="str">
        <f>T("DENVER")</f>
        <v>DENVER</v>
      </c>
      <c r="H153" t="str">
        <f>T("CO ")</f>
        <v>CO </v>
      </c>
      <c r="I153" s="1">
        <f>N(80215)</f>
        <v>80215</v>
      </c>
      <c r="J153" s="1" t="str">
        <f>T("3039696630 2561")</f>
        <v>3039696630 2561</v>
      </c>
      <c r="K153" s="1">
        <f>N(3039696336)</f>
        <v>3039696336</v>
      </c>
    </row>
    <row r="154" spans="1:11" ht="12.75">
      <c r="A154" s="1" t="s">
        <v>2</v>
      </c>
      <c r="B154" t="str">
        <f>T("NBC TRUST ACQUISITIONS SUPPORT")</f>
        <v>NBC TRUST ACQUISITIONS SUPPORT</v>
      </c>
      <c r="C154" t="str">
        <f>T("1849 C ST NW")</f>
        <v>1849 C ST NW</v>
      </c>
      <c r="D154" t="str">
        <f>T("MS 1313")</f>
        <v>MS 1313</v>
      </c>
      <c r="E154" t="s">
        <v>0</v>
      </c>
      <c r="F154" t="s">
        <v>0</v>
      </c>
      <c r="G154" t="str">
        <f>T("WASHINGTON")</f>
        <v>WASHINGTON</v>
      </c>
      <c r="H154" t="str">
        <f>T("DC ")</f>
        <v>DC </v>
      </c>
      <c r="I154" s="1">
        <f>N(20240)</f>
        <v>20240</v>
      </c>
      <c r="J154" s="1" t="str">
        <f>T("202-208-7833")</f>
        <v>202-208-7833</v>
      </c>
      <c r="K154" s="1" t="s">
        <v>0</v>
      </c>
    </row>
    <row r="155" spans="1:11" ht="12.75">
      <c r="A155" s="1" t="s">
        <v>2</v>
      </c>
      <c r="B155" t="str">
        <f>T("NBC FAC MGMT SVCS DIV")</f>
        <v>NBC FAC MGMT SVCS DIV</v>
      </c>
      <c r="C155" t="str">
        <f>T("1849 C ST NW")</f>
        <v>1849 C ST NW</v>
      </c>
      <c r="D155" t="str">
        <f>T("MS 1313")</f>
        <v>MS 1313</v>
      </c>
      <c r="E155" t="s">
        <v>0</v>
      </c>
      <c r="F155" t="s">
        <v>0</v>
      </c>
      <c r="G155" t="str">
        <f>T("WASHINGTON")</f>
        <v>WASHINGTON</v>
      </c>
      <c r="H155" t="str">
        <f>T("DC ")</f>
        <v>DC </v>
      </c>
      <c r="I155" s="1">
        <f>N(20240)</f>
        <v>20240</v>
      </c>
      <c r="J155" s="1" t="str">
        <f>T("202-208-7833")</f>
        <v>202-208-7833</v>
      </c>
      <c r="K155" s="1" t="s">
        <v>0</v>
      </c>
    </row>
    <row r="156" spans="1:11" ht="12.75">
      <c r="A156" s="1" t="s">
        <v>2</v>
      </c>
      <c r="B156" t="str">
        <f>T("NBC BUILDING OPERATIONS BR")</f>
        <v>NBC BUILDING OPERATIONS BR</v>
      </c>
      <c r="C156" t="str">
        <f>T("7301 W MANSFIELD AVE")</f>
        <v>7301 W MANSFIELD AVE</v>
      </c>
      <c r="D156" t="s">
        <v>0</v>
      </c>
      <c r="E156" t="s">
        <v>0</v>
      </c>
      <c r="F156" t="s">
        <v>0</v>
      </c>
      <c r="G156" t="str">
        <f>T("DENVER")</f>
        <v>DENVER</v>
      </c>
      <c r="H156" t="str">
        <f>T("CO ")</f>
        <v>CO </v>
      </c>
      <c r="I156" s="1">
        <f>N(80215)</f>
        <v>80215</v>
      </c>
      <c r="J156" s="1" t="str">
        <f>T("3039696630 2561")</f>
        <v>3039696630 2561</v>
      </c>
      <c r="K156" s="1">
        <f>N(3039696336)</f>
        <v>3039696336</v>
      </c>
    </row>
    <row r="157" spans="1:11" ht="12.75">
      <c r="A157" s="1" t="s">
        <v>2</v>
      </c>
      <c r="B157" t="str">
        <f>T("NBC BUILDING SYSTEMS SECTION")</f>
        <v>NBC BUILDING SYSTEMS SECTION</v>
      </c>
      <c r="C157" t="str">
        <f>T("7301 W MANSFIELD AVE")</f>
        <v>7301 W MANSFIELD AVE</v>
      </c>
      <c r="D157" t="s">
        <v>0</v>
      </c>
      <c r="E157" t="s">
        <v>0</v>
      </c>
      <c r="F157" t="s">
        <v>0</v>
      </c>
      <c r="G157" t="str">
        <f>T("DENVER")</f>
        <v>DENVER</v>
      </c>
      <c r="H157" t="str">
        <f>T("CO ")</f>
        <v>CO </v>
      </c>
      <c r="I157" s="1">
        <f>N(80215)</f>
        <v>80215</v>
      </c>
      <c r="J157" s="1" t="str">
        <f>T("3039696630 2561")</f>
        <v>3039696630 2561</v>
      </c>
      <c r="K157" s="1">
        <f>N(3039696336)</f>
        <v>3039696336</v>
      </c>
    </row>
    <row r="158" spans="1:11" ht="12.75">
      <c r="A158" s="1" t="s">
        <v>2</v>
      </c>
      <c r="B158" t="str">
        <f>T("NBC RESTON FAC MGMT SEC")</f>
        <v>NBC RESTON FAC MGMT SEC</v>
      </c>
      <c r="C158" t="str">
        <f aca="true" t="shared" si="42" ref="C158:C171">T("1849 C ST NW")</f>
        <v>1849 C ST NW</v>
      </c>
      <c r="D158" t="str">
        <f aca="true" t="shared" si="43" ref="D158:D173">T("MS 1313")</f>
        <v>MS 1313</v>
      </c>
      <c r="E158" t="s">
        <v>0</v>
      </c>
      <c r="F158" t="s">
        <v>0</v>
      </c>
      <c r="G158" t="str">
        <f aca="true" t="shared" si="44" ref="G158:G173">T("WASHINGTON")</f>
        <v>WASHINGTON</v>
      </c>
      <c r="H158" t="str">
        <f aca="true" t="shared" si="45" ref="H158:H173">T("DC ")</f>
        <v>DC </v>
      </c>
      <c r="I158" s="1">
        <f aca="true" t="shared" si="46" ref="I158:I204">N(20240)</f>
        <v>20240</v>
      </c>
      <c r="J158" s="1" t="str">
        <f aca="true" t="shared" si="47" ref="J158:J173">T("202-208-7833")</f>
        <v>202-208-7833</v>
      </c>
      <c r="K158" s="1" t="s">
        <v>0</v>
      </c>
    </row>
    <row r="159" spans="1:11" ht="12.75">
      <c r="A159" s="1" t="s">
        <v>2</v>
      </c>
      <c r="B159" t="str">
        <f>T("NBC SPACE &amp; ALTERATIONS")</f>
        <v>NBC SPACE &amp; ALTERATIONS</v>
      </c>
      <c r="C159" t="str">
        <f t="shared" si="42"/>
        <v>1849 C ST NW</v>
      </c>
      <c r="D159" t="str">
        <f t="shared" si="43"/>
        <v>MS 1313</v>
      </c>
      <c r="E159" t="s">
        <v>0</v>
      </c>
      <c r="F159" t="s">
        <v>0</v>
      </c>
      <c r="G159" t="str">
        <f t="shared" si="44"/>
        <v>WASHINGTON</v>
      </c>
      <c r="H159" t="str">
        <f t="shared" si="45"/>
        <v>DC </v>
      </c>
      <c r="I159" s="1">
        <f t="shared" si="46"/>
        <v>20240</v>
      </c>
      <c r="J159" s="1" t="str">
        <f t="shared" si="47"/>
        <v>202-208-7833</v>
      </c>
      <c r="K159" s="1" t="s">
        <v>0</v>
      </c>
    </row>
    <row r="160" spans="1:11" ht="12.75">
      <c r="A160" s="1" t="s">
        <v>2</v>
      </c>
      <c r="B160" t="str">
        <f>T("NBC SAFETY  HEALTH &amp; ENVIRONME")</f>
        <v>NBC SAFETY  HEALTH &amp; ENVIRONME</v>
      </c>
      <c r="C160" t="str">
        <f t="shared" si="42"/>
        <v>1849 C ST NW</v>
      </c>
      <c r="D160" t="str">
        <f t="shared" si="43"/>
        <v>MS 1313</v>
      </c>
      <c r="E160" t="s">
        <v>0</v>
      </c>
      <c r="F160" t="s">
        <v>0</v>
      </c>
      <c r="G160" t="str">
        <f t="shared" si="44"/>
        <v>WASHINGTON</v>
      </c>
      <c r="H160" t="str">
        <f t="shared" si="45"/>
        <v>DC </v>
      </c>
      <c r="I160" s="1">
        <f t="shared" si="46"/>
        <v>20240</v>
      </c>
      <c r="J160" s="1" t="str">
        <f t="shared" si="47"/>
        <v>202-208-7833</v>
      </c>
      <c r="K160" s="1" t="s">
        <v>0</v>
      </c>
    </row>
    <row r="161" spans="1:11" ht="12.75">
      <c r="A161" s="1" t="s">
        <v>2</v>
      </c>
      <c r="B161" t="str">
        <f>T("NBC DENVER FAC MGMT BR")</f>
        <v>NBC DENVER FAC MGMT BR</v>
      </c>
      <c r="C161" t="str">
        <f t="shared" si="42"/>
        <v>1849 C ST NW</v>
      </c>
      <c r="D161" t="str">
        <f t="shared" si="43"/>
        <v>MS 1313</v>
      </c>
      <c r="E161" t="s">
        <v>0</v>
      </c>
      <c r="F161" t="s">
        <v>0</v>
      </c>
      <c r="G161" t="str">
        <f t="shared" si="44"/>
        <v>WASHINGTON</v>
      </c>
      <c r="H161" t="str">
        <f t="shared" si="45"/>
        <v>DC </v>
      </c>
      <c r="I161" s="1">
        <f t="shared" si="46"/>
        <v>20240</v>
      </c>
      <c r="J161" s="1" t="str">
        <f t="shared" si="47"/>
        <v>202-208-7833</v>
      </c>
      <c r="K161" s="1" t="s">
        <v>0</v>
      </c>
    </row>
    <row r="162" spans="1:11" ht="12.75">
      <c r="A162" s="1" t="s">
        <v>2</v>
      </c>
      <c r="B162" t="str">
        <f>T("NBC CREATIVE COMM SVCS BR")</f>
        <v>NBC CREATIVE COMM SVCS BR</v>
      </c>
      <c r="C162" t="str">
        <f t="shared" si="42"/>
        <v>1849 C ST NW</v>
      </c>
      <c r="D162" t="str">
        <f t="shared" si="43"/>
        <v>MS 1313</v>
      </c>
      <c r="E162" t="s">
        <v>0</v>
      </c>
      <c r="F162" t="s">
        <v>0</v>
      </c>
      <c r="G162" t="str">
        <f t="shared" si="44"/>
        <v>WASHINGTON</v>
      </c>
      <c r="H162" t="str">
        <f t="shared" si="45"/>
        <v>DC </v>
      </c>
      <c r="I162" s="1">
        <f t="shared" si="46"/>
        <v>20240</v>
      </c>
      <c r="J162" s="1" t="str">
        <f t="shared" si="47"/>
        <v>202-208-7833</v>
      </c>
      <c r="K162" s="1" t="s">
        <v>0</v>
      </c>
    </row>
    <row r="163" spans="1:11" ht="12.75">
      <c r="A163" s="1" t="s">
        <v>2</v>
      </c>
      <c r="B163" t="str">
        <f>T("NBC DRUG &amp; ALCOHOL TESTING BR")</f>
        <v>NBC DRUG &amp; ALCOHOL TESTING BR</v>
      </c>
      <c r="C163" t="str">
        <f t="shared" si="42"/>
        <v>1849 C ST NW</v>
      </c>
      <c r="D163" t="str">
        <f t="shared" si="43"/>
        <v>MS 1313</v>
      </c>
      <c r="E163" t="s">
        <v>0</v>
      </c>
      <c r="F163" t="s">
        <v>0</v>
      </c>
      <c r="G163" t="str">
        <f t="shared" si="44"/>
        <v>WASHINGTON</v>
      </c>
      <c r="H163" t="str">
        <f t="shared" si="45"/>
        <v>DC </v>
      </c>
      <c r="I163" s="1">
        <f t="shared" si="46"/>
        <v>20240</v>
      </c>
      <c r="J163" s="1" t="str">
        <f t="shared" si="47"/>
        <v>202-208-7833</v>
      </c>
      <c r="K163" s="1" t="s">
        <v>0</v>
      </c>
    </row>
    <row r="164" spans="1:11" ht="12.75">
      <c r="A164" s="1" t="s">
        <v>2</v>
      </c>
      <c r="B164" t="str">
        <f>T("NBC SECURITY SVCS BR")</f>
        <v>NBC SECURITY SVCS BR</v>
      </c>
      <c r="C164" t="str">
        <f t="shared" si="42"/>
        <v>1849 C ST NW</v>
      </c>
      <c r="D164" t="str">
        <f t="shared" si="43"/>
        <v>MS 1313</v>
      </c>
      <c r="E164" t="s">
        <v>0</v>
      </c>
      <c r="F164" t="s">
        <v>0</v>
      </c>
      <c r="G164" t="str">
        <f t="shared" si="44"/>
        <v>WASHINGTON</v>
      </c>
      <c r="H164" t="str">
        <f t="shared" si="45"/>
        <v>DC </v>
      </c>
      <c r="I164" s="1">
        <f t="shared" si="46"/>
        <v>20240</v>
      </c>
      <c r="J164" s="1" t="str">
        <f t="shared" si="47"/>
        <v>202-208-7833</v>
      </c>
      <c r="K164" s="1" t="s">
        <v>0</v>
      </c>
    </row>
    <row r="165" spans="1:11" ht="12.75">
      <c r="A165" s="1" t="s">
        <v>2</v>
      </c>
      <c r="B165" t="str">
        <f>T("NBC SPECIAL SVCS BR")</f>
        <v>NBC SPECIAL SVCS BR</v>
      </c>
      <c r="C165" t="str">
        <f t="shared" si="42"/>
        <v>1849 C ST NW</v>
      </c>
      <c r="D165" t="str">
        <f t="shared" si="43"/>
        <v>MS 1313</v>
      </c>
      <c r="E165" t="s">
        <v>0</v>
      </c>
      <c r="F165" t="s">
        <v>0</v>
      </c>
      <c r="G165" t="str">
        <f t="shared" si="44"/>
        <v>WASHINGTON</v>
      </c>
      <c r="H165" t="str">
        <f t="shared" si="45"/>
        <v>DC </v>
      </c>
      <c r="I165" s="1">
        <f t="shared" si="46"/>
        <v>20240</v>
      </c>
      <c r="J165" s="1" t="str">
        <f t="shared" si="47"/>
        <v>202-208-7833</v>
      </c>
      <c r="K165" s="1" t="s">
        <v>0</v>
      </c>
    </row>
    <row r="166" spans="1:11" ht="12.75">
      <c r="A166" s="1" t="s">
        <v>2</v>
      </c>
      <c r="B166" t="str">
        <f>T("NBC BUDGET &amp; FINANCE DIRECTORA")</f>
        <v>NBC BUDGET &amp; FINANCE DIRECTORA</v>
      </c>
      <c r="C166" t="str">
        <f t="shared" si="42"/>
        <v>1849 C ST NW</v>
      </c>
      <c r="D166" t="str">
        <f t="shared" si="43"/>
        <v>MS 1313</v>
      </c>
      <c r="E166" t="s">
        <v>0</v>
      </c>
      <c r="F166" t="s">
        <v>0</v>
      </c>
      <c r="G166" t="str">
        <f t="shared" si="44"/>
        <v>WASHINGTON</v>
      </c>
      <c r="H166" t="str">
        <f t="shared" si="45"/>
        <v>DC </v>
      </c>
      <c r="I166" s="1">
        <f t="shared" si="46"/>
        <v>20240</v>
      </c>
      <c r="J166" s="1" t="str">
        <f t="shared" si="47"/>
        <v>202-208-7833</v>
      </c>
      <c r="K166" s="1" t="s">
        <v>0</v>
      </c>
    </row>
    <row r="167" spans="1:11" ht="12.75">
      <c r="A167" s="1" t="s">
        <v>2</v>
      </c>
      <c r="B167" t="str">
        <f>T("NBC BUDGET OFFICE")</f>
        <v>NBC BUDGET OFFICE</v>
      </c>
      <c r="C167" t="str">
        <f t="shared" si="42"/>
        <v>1849 C ST NW</v>
      </c>
      <c r="D167" t="str">
        <f t="shared" si="43"/>
        <v>MS 1313</v>
      </c>
      <c r="E167" t="s">
        <v>0</v>
      </c>
      <c r="F167" t="s">
        <v>0</v>
      </c>
      <c r="G167" t="str">
        <f t="shared" si="44"/>
        <v>WASHINGTON</v>
      </c>
      <c r="H167" t="str">
        <f t="shared" si="45"/>
        <v>DC </v>
      </c>
      <c r="I167" s="1">
        <f t="shared" si="46"/>
        <v>20240</v>
      </c>
      <c r="J167" s="1" t="str">
        <f t="shared" si="47"/>
        <v>202-208-7833</v>
      </c>
      <c r="K167" s="1" t="s">
        <v>0</v>
      </c>
    </row>
    <row r="168" spans="1:11" ht="12.75">
      <c r="A168" s="1" t="s">
        <v>2</v>
      </c>
      <c r="B168" t="str">
        <f>T("NBC ACCOUNTING OPERATIONS DIV")</f>
        <v>NBC ACCOUNTING OPERATIONS DIV</v>
      </c>
      <c r="C168" t="str">
        <f t="shared" si="42"/>
        <v>1849 C ST NW</v>
      </c>
      <c r="D168" t="str">
        <f t="shared" si="43"/>
        <v>MS 1313</v>
      </c>
      <c r="E168" t="s">
        <v>0</v>
      </c>
      <c r="F168" t="s">
        <v>0</v>
      </c>
      <c r="G168" t="str">
        <f t="shared" si="44"/>
        <v>WASHINGTON</v>
      </c>
      <c r="H168" t="str">
        <f t="shared" si="45"/>
        <v>DC </v>
      </c>
      <c r="I168" s="1">
        <f t="shared" si="46"/>
        <v>20240</v>
      </c>
      <c r="J168" s="1" t="str">
        <f t="shared" si="47"/>
        <v>202-208-7833</v>
      </c>
      <c r="K168" s="1" t="s">
        <v>0</v>
      </c>
    </row>
    <row r="169" spans="1:11" ht="12.75">
      <c r="A169" s="1" t="s">
        <v>2</v>
      </c>
      <c r="B169" t="str">
        <f>T("NBC FINANCE &amp; PROCUREMENT SYST")</f>
        <v>NBC FINANCE &amp; PROCUREMENT SYST</v>
      </c>
      <c r="C169" t="str">
        <f t="shared" si="42"/>
        <v>1849 C ST NW</v>
      </c>
      <c r="D169" t="str">
        <f t="shared" si="43"/>
        <v>MS 1313</v>
      </c>
      <c r="E169" t="s">
        <v>0</v>
      </c>
      <c r="F169" t="s">
        <v>0</v>
      </c>
      <c r="G169" t="str">
        <f t="shared" si="44"/>
        <v>WASHINGTON</v>
      </c>
      <c r="H169" t="str">
        <f t="shared" si="45"/>
        <v>DC </v>
      </c>
      <c r="I169" s="1">
        <f t="shared" si="46"/>
        <v>20240</v>
      </c>
      <c r="J169" s="1" t="str">
        <f t="shared" si="47"/>
        <v>202-208-7833</v>
      </c>
      <c r="K169" s="1" t="s">
        <v>0</v>
      </c>
    </row>
    <row r="170" spans="1:11" ht="12.75">
      <c r="A170" s="1" t="s">
        <v>2</v>
      </c>
      <c r="B170" t="str">
        <f>T("NBC IMPLEMENTATION &amp; PRODUCTIO")</f>
        <v>NBC IMPLEMENTATION &amp; PRODUCTIO</v>
      </c>
      <c r="C170" t="str">
        <f t="shared" si="42"/>
        <v>1849 C ST NW</v>
      </c>
      <c r="D170" t="str">
        <f t="shared" si="43"/>
        <v>MS 1313</v>
      </c>
      <c r="E170" t="s">
        <v>0</v>
      </c>
      <c r="F170" t="s">
        <v>0</v>
      </c>
      <c r="G170" t="str">
        <f t="shared" si="44"/>
        <v>WASHINGTON</v>
      </c>
      <c r="H170" t="str">
        <f t="shared" si="45"/>
        <v>DC </v>
      </c>
      <c r="I170" s="1">
        <f t="shared" si="46"/>
        <v>20240</v>
      </c>
      <c r="J170" s="1" t="str">
        <f t="shared" si="47"/>
        <v>202-208-7833</v>
      </c>
      <c r="K170" s="1" t="s">
        <v>0</v>
      </c>
    </row>
    <row r="171" spans="1:11" ht="12.75">
      <c r="A171" s="1" t="s">
        <v>2</v>
      </c>
      <c r="B171" t="str">
        <f>T("NBC APPLICATION DEVELOPMENT BR")</f>
        <v>NBC APPLICATION DEVELOPMENT BR</v>
      </c>
      <c r="C171" t="str">
        <f t="shared" si="42"/>
        <v>1849 C ST NW</v>
      </c>
      <c r="D171" t="str">
        <f t="shared" si="43"/>
        <v>MS 1313</v>
      </c>
      <c r="E171" t="s">
        <v>0</v>
      </c>
      <c r="F171" t="s">
        <v>0</v>
      </c>
      <c r="G171" t="str">
        <f t="shared" si="44"/>
        <v>WASHINGTON</v>
      </c>
      <c r="H171" t="str">
        <f t="shared" si="45"/>
        <v>DC </v>
      </c>
      <c r="I171" s="1">
        <f t="shared" si="46"/>
        <v>20240</v>
      </c>
      <c r="J171" s="1" t="str">
        <f t="shared" si="47"/>
        <v>202-208-7833</v>
      </c>
      <c r="K171" s="1" t="s">
        <v>0</v>
      </c>
    </row>
    <row r="172" spans="1:11" ht="12.75">
      <c r="A172" s="1" t="s">
        <v>2</v>
      </c>
      <c r="B172" t="str">
        <f>T("NBC APPLICATION SUPPORT &amp; COMP")</f>
        <v>NBC APPLICATION SUPPORT &amp; COMP</v>
      </c>
      <c r="C172" t="str">
        <f>T("1849 C ST NW ")</f>
        <v>1849 C ST NW </v>
      </c>
      <c r="D172" t="str">
        <f t="shared" si="43"/>
        <v>MS 1313</v>
      </c>
      <c r="E172" t="s">
        <v>0</v>
      </c>
      <c r="F172" t="s">
        <v>0</v>
      </c>
      <c r="G172" t="str">
        <f t="shared" si="44"/>
        <v>WASHINGTON</v>
      </c>
      <c r="H172" t="str">
        <f t="shared" si="45"/>
        <v>DC </v>
      </c>
      <c r="I172" s="1">
        <f t="shared" si="46"/>
        <v>20240</v>
      </c>
      <c r="J172" s="1" t="str">
        <f t="shared" si="47"/>
        <v>202-208-7833</v>
      </c>
      <c r="K172" s="1" t="s">
        <v>0</v>
      </c>
    </row>
    <row r="173" spans="1:11" ht="12.75">
      <c r="A173" s="1" t="s">
        <v>2</v>
      </c>
      <c r="B173" t="str">
        <f>T("NBC SPACE MGMT SEC")</f>
        <v>NBC SPACE MGMT SEC</v>
      </c>
      <c r="C173" t="str">
        <f>T("1849 C ST NW")</f>
        <v>1849 C ST NW</v>
      </c>
      <c r="D173" t="str">
        <f t="shared" si="43"/>
        <v>MS 1313</v>
      </c>
      <c r="E173" t="s">
        <v>0</v>
      </c>
      <c r="F173" t="s">
        <v>0</v>
      </c>
      <c r="G173" t="str">
        <f t="shared" si="44"/>
        <v>WASHINGTON</v>
      </c>
      <c r="H173" t="str">
        <f t="shared" si="45"/>
        <v>DC </v>
      </c>
      <c r="I173" s="1">
        <f t="shared" si="46"/>
        <v>20240</v>
      </c>
      <c r="J173" s="1" t="str">
        <f t="shared" si="47"/>
        <v>202-208-7833</v>
      </c>
      <c r="K173" s="1" t="s">
        <v>0</v>
      </c>
    </row>
    <row r="174" spans="1:11" ht="12.75">
      <c r="A174" s="1" t="s">
        <v>2</v>
      </c>
      <c r="B174" t="str">
        <f>T("DIV OF CONGRSS &amp; LEGIS AFFAIRS")</f>
        <v>DIV OF CONGRSS &amp; LEGIS AFFAIRS</v>
      </c>
      <c r="C174" t="str">
        <f>T("1849 c street nw")</f>
        <v>1849 c street nw</v>
      </c>
      <c r="D174" t="str">
        <f>T("ms 1313")</f>
        <v>ms 1313</v>
      </c>
      <c r="E174" t="s">
        <v>0</v>
      </c>
      <c r="F174" t="s">
        <v>0</v>
      </c>
      <c r="G174" t="str">
        <f>T("washington")</f>
        <v>washington</v>
      </c>
      <c r="H174" t="str">
        <f>T("dc ")</f>
        <v>dc </v>
      </c>
      <c r="I174" s="1">
        <f t="shared" si="46"/>
        <v>20240</v>
      </c>
      <c r="J174" s="1">
        <f aca="true" t="shared" si="48" ref="J174:J184">N(2022087833)</f>
        <v>2022087833</v>
      </c>
      <c r="K174" s="1">
        <f aca="true" t="shared" si="49" ref="K174:K179">N(2022084719)</f>
        <v>2022084719</v>
      </c>
    </row>
    <row r="175" spans="1:11" ht="12.75">
      <c r="A175" s="1" t="s">
        <v>2</v>
      </c>
      <c r="B175" t="str">
        <f>T("DIVISION OF PUBLIC AFFAIRS")</f>
        <v>DIVISION OF PUBLIC AFFAIRS</v>
      </c>
      <c r="C175" t="str">
        <f>T("1849 c street nw")</f>
        <v>1849 c street nw</v>
      </c>
      <c r="D175" t="str">
        <f>T("ms 1313")</f>
        <v>ms 1313</v>
      </c>
      <c r="E175" t="s">
        <v>0</v>
      </c>
      <c r="F175" t="s">
        <v>0</v>
      </c>
      <c r="G175" t="str">
        <f>T("washington")</f>
        <v>washington</v>
      </c>
      <c r="H175" t="str">
        <f>T("dc ")</f>
        <v>dc </v>
      </c>
      <c r="I175" s="1">
        <f t="shared" si="46"/>
        <v>20240</v>
      </c>
      <c r="J175" s="1">
        <f t="shared" si="48"/>
        <v>2022087833</v>
      </c>
      <c r="K175" s="1">
        <f t="shared" si="49"/>
        <v>2022084719</v>
      </c>
    </row>
    <row r="176" spans="1:11" ht="12.75">
      <c r="A176" s="1" t="s">
        <v>2</v>
      </c>
      <c r="B176" t="str">
        <f>T("OFFICE OF INDIAN ENERGY RES DV")</f>
        <v>OFFICE OF INDIAN ENERGY RES DV</v>
      </c>
      <c r="C176" t="str">
        <f>T("1849 c street nw")</f>
        <v>1849 c street nw</v>
      </c>
      <c r="D176" t="str">
        <f>T("ms 1313")</f>
        <v>ms 1313</v>
      </c>
      <c r="E176" t="s">
        <v>0</v>
      </c>
      <c r="F176" t="s">
        <v>0</v>
      </c>
      <c r="G176" t="str">
        <f>T("washington")</f>
        <v>washington</v>
      </c>
      <c r="H176" t="str">
        <f>T("dc ")</f>
        <v>dc </v>
      </c>
      <c r="I176" s="1">
        <f t="shared" si="46"/>
        <v>20240</v>
      </c>
      <c r="J176" s="1">
        <f t="shared" si="48"/>
        <v>2022087833</v>
      </c>
      <c r="K176" s="1">
        <f t="shared" si="49"/>
        <v>2022084719</v>
      </c>
    </row>
    <row r="177" spans="1:11" ht="12.75">
      <c r="A177" s="1" t="s">
        <v>2</v>
      </c>
      <c r="B177" t="str">
        <f>T("INDIAN GAMING MGMT")</f>
        <v>INDIAN GAMING MGMT</v>
      </c>
      <c r="C177" t="str">
        <f>T("1849 c street nw")</f>
        <v>1849 c street nw</v>
      </c>
      <c r="D177" t="str">
        <f>T("ms 1313")</f>
        <v>ms 1313</v>
      </c>
      <c r="E177" t="s">
        <v>0</v>
      </c>
      <c r="F177" t="s">
        <v>0</v>
      </c>
      <c r="G177" t="str">
        <f>T("washington")</f>
        <v>washington</v>
      </c>
      <c r="H177" t="str">
        <f>T("dc ")</f>
        <v>dc </v>
      </c>
      <c r="I177" s="1">
        <f t="shared" si="46"/>
        <v>20240</v>
      </c>
      <c r="J177" s="1">
        <f t="shared" si="48"/>
        <v>2022087833</v>
      </c>
      <c r="K177" s="1">
        <f t="shared" si="49"/>
        <v>2022084719</v>
      </c>
    </row>
    <row r="178" spans="1:11" ht="12.75">
      <c r="A178" s="1" t="s">
        <v>2</v>
      </c>
      <c r="B178" t="str">
        <f>T("SELF-GOVRNCE &amp; SELF DTERMINATN")</f>
        <v>SELF-GOVRNCE &amp; SELF DTERMINATN</v>
      </c>
      <c r="C178" t="str">
        <f>T("1849 c street nw")</f>
        <v>1849 c street nw</v>
      </c>
      <c r="D178" t="str">
        <f>T("ms 1313")</f>
        <v>ms 1313</v>
      </c>
      <c r="E178" t="s">
        <v>0</v>
      </c>
      <c r="F178" t="s">
        <v>0</v>
      </c>
      <c r="G178" t="str">
        <f>T("washington")</f>
        <v>washington</v>
      </c>
      <c r="H178" t="str">
        <f>T("dc ")</f>
        <v>dc </v>
      </c>
      <c r="I178" s="1">
        <f t="shared" si="46"/>
        <v>20240</v>
      </c>
      <c r="J178" s="1">
        <f t="shared" si="48"/>
        <v>2022087833</v>
      </c>
      <c r="K178" s="1">
        <f t="shared" si="49"/>
        <v>2022084719</v>
      </c>
    </row>
    <row r="179" spans="1:11" ht="12.75">
      <c r="A179" s="1" t="s">
        <v>2</v>
      </c>
      <c r="B179" t="str">
        <f>T("PLANNING &amp; POLICY ANALYSIS")</f>
        <v>PLANNING &amp; POLICY ANALYSIS</v>
      </c>
      <c r="C179" t="str">
        <f>T("1849 C STREET NW")</f>
        <v>1849 C STREET NW</v>
      </c>
      <c r="D179" t="str">
        <f>T("MS 1313")</f>
        <v>MS 1313</v>
      </c>
      <c r="E179" t="s">
        <v>0</v>
      </c>
      <c r="F179" t="s">
        <v>0</v>
      </c>
      <c r="G179" t="str">
        <f aca="true" t="shared" si="50" ref="G179:G200">T("WASHINGTON")</f>
        <v>WASHINGTON</v>
      </c>
      <c r="H179" t="str">
        <f aca="true" t="shared" si="51" ref="H179:H200">T("DC ")</f>
        <v>DC </v>
      </c>
      <c r="I179" s="1">
        <f t="shared" si="46"/>
        <v>20240</v>
      </c>
      <c r="J179" s="1">
        <f t="shared" si="48"/>
        <v>2022087833</v>
      </c>
      <c r="K179" s="1">
        <f t="shared" si="49"/>
        <v>2022084719</v>
      </c>
    </row>
    <row r="180" spans="1:11" ht="12.75">
      <c r="A180" s="1" t="s">
        <v>2</v>
      </c>
      <c r="B180" t="str">
        <f>T("HUMAN RESOURCES")</f>
        <v>HUMAN RESOURCES</v>
      </c>
      <c r="C180" t="str">
        <f>T("1849 C STREET NW MS 1313")</f>
        <v>1849 C STREET NW MS 1313</v>
      </c>
      <c r="D180" t="s">
        <v>0</v>
      </c>
      <c r="E180" t="s">
        <v>0</v>
      </c>
      <c r="F180" t="s">
        <v>0</v>
      </c>
      <c r="G180" t="str">
        <f t="shared" si="50"/>
        <v>WASHINGTON</v>
      </c>
      <c r="H180" t="str">
        <f t="shared" si="51"/>
        <v>DC </v>
      </c>
      <c r="I180" s="1">
        <f t="shared" si="46"/>
        <v>20240</v>
      </c>
      <c r="J180" s="1">
        <f t="shared" si="48"/>
        <v>2022087833</v>
      </c>
      <c r="K180" s="1" t="s">
        <v>0</v>
      </c>
    </row>
    <row r="181" spans="1:11" ht="12.75">
      <c r="A181" s="1" t="s">
        <v>2</v>
      </c>
      <c r="B181" t="str">
        <f>T("INFORMATION POLICY")</f>
        <v>INFORMATION POLICY</v>
      </c>
      <c r="C181" t="str">
        <f aca="true" t="shared" si="52" ref="C181:C187">T("1849 C STREET NW")</f>
        <v>1849 C STREET NW</v>
      </c>
      <c r="D181" t="str">
        <f>T("MS 1313")</f>
        <v>MS 1313</v>
      </c>
      <c r="E181" t="s">
        <v>0</v>
      </c>
      <c r="F181" t="s">
        <v>0</v>
      </c>
      <c r="G181" t="str">
        <f t="shared" si="50"/>
        <v>WASHINGTON</v>
      </c>
      <c r="H181" t="str">
        <f t="shared" si="51"/>
        <v>DC </v>
      </c>
      <c r="I181" s="1">
        <f t="shared" si="46"/>
        <v>20240</v>
      </c>
      <c r="J181" s="1">
        <f t="shared" si="48"/>
        <v>2022087833</v>
      </c>
      <c r="K181" s="1">
        <f>N(2022084719)</f>
        <v>2022084719</v>
      </c>
    </row>
    <row r="182" spans="1:11" ht="12.75">
      <c r="A182" s="1" t="s">
        <v>2</v>
      </c>
      <c r="B182" t="str">
        <f>T("INFORMATION PLANNING")</f>
        <v>INFORMATION PLANNING</v>
      </c>
      <c r="C182" t="str">
        <f t="shared" si="52"/>
        <v>1849 C STREET NW</v>
      </c>
      <c r="D182" t="str">
        <f>T("MS 1313")</f>
        <v>MS 1313</v>
      </c>
      <c r="E182" t="s">
        <v>0</v>
      </c>
      <c r="F182" t="s">
        <v>0</v>
      </c>
      <c r="G182" t="str">
        <f t="shared" si="50"/>
        <v>WASHINGTON</v>
      </c>
      <c r="H182" t="str">
        <f t="shared" si="51"/>
        <v>DC </v>
      </c>
      <c r="I182" s="1">
        <f t="shared" si="46"/>
        <v>20240</v>
      </c>
      <c r="J182" s="1">
        <f t="shared" si="48"/>
        <v>2022087833</v>
      </c>
      <c r="K182" s="1">
        <f>N(2022084719)</f>
        <v>2022084719</v>
      </c>
    </row>
    <row r="183" spans="1:11" ht="12.75">
      <c r="A183" s="1" t="s">
        <v>2</v>
      </c>
      <c r="B183" t="str">
        <f>T("INFORMATION SECURITY &amp; PRIVACY")</f>
        <v>INFORMATION SECURITY &amp; PRIVACY</v>
      </c>
      <c r="C183" t="str">
        <f t="shared" si="52"/>
        <v>1849 C STREET NW</v>
      </c>
      <c r="D183" t="str">
        <f>T("MS 1313")</f>
        <v>MS 1313</v>
      </c>
      <c r="E183" t="s">
        <v>0</v>
      </c>
      <c r="F183" t="s">
        <v>0</v>
      </c>
      <c r="G183" t="str">
        <f t="shared" si="50"/>
        <v>WASHINGTON</v>
      </c>
      <c r="H183" t="str">
        <f t="shared" si="51"/>
        <v>DC </v>
      </c>
      <c r="I183" s="1">
        <f t="shared" si="46"/>
        <v>20240</v>
      </c>
      <c r="J183" s="1">
        <f t="shared" si="48"/>
        <v>2022087833</v>
      </c>
      <c r="K183" s="1">
        <f>N(2022084719)</f>
        <v>2022084719</v>
      </c>
    </row>
    <row r="184" spans="1:11" ht="12.75">
      <c r="A184" s="1" t="s">
        <v>2</v>
      </c>
      <c r="B184" t="str">
        <f>T("INFORMATION DEVELOPMENT")</f>
        <v>INFORMATION DEVELOPMENT</v>
      </c>
      <c r="C184" t="str">
        <f t="shared" si="52"/>
        <v>1849 C STREET NW</v>
      </c>
      <c r="D184" t="str">
        <f>T("MS 1313")</f>
        <v>MS 1313</v>
      </c>
      <c r="E184" t="s">
        <v>0</v>
      </c>
      <c r="F184" t="s">
        <v>0</v>
      </c>
      <c r="G184" t="str">
        <f t="shared" si="50"/>
        <v>WASHINGTON</v>
      </c>
      <c r="H184" t="str">
        <f t="shared" si="51"/>
        <v>DC </v>
      </c>
      <c r="I184" s="1">
        <f t="shared" si="46"/>
        <v>20240</v>
      </c>
      <c r="J184" s="1">
        <f t="shared" si="48"/>
        <v>2022087833</v>
      </c>
      <c r="K184" s="1">
        <f>N(2022084719)</f>
        <v>2022084719</v>
      </c>
    </row>
    <row r="185" spans="1:11" ht="12.75">
      <c r="A185" s="1" t="s">
        <v>2</v>
      </c>
      <c r="B185" t="str">
        <f>T("FBMS PMO")</f>
        <v>FBMS PMO</v>
      </c>
      <c r="C185" t="str">
        <f t="shared" si="52"/>
        <v>1849 C STREET NW</v>
      </c>
      <c r="D185" t="s">
        <v>0</v>
      </c>
      <c r="E185" t="s">
        <v>0</v>
      </c>
      <c r="F185" t="s">
        <v>0</v>
      </c>
      <c r="G185" t="str">
        <f t="shared" si="50"/>
        <v>WASHINGTON</v>
      </c>
      <c r="H185" t="str">
        <f t="shared" si="51"/>
        <v>DC </v>
      </c>
      <c r="I185" s="1">
        <f t="shared" si="46"/>
        <v>20240</v>
      </c>
      <c r="J185" s="1">
        <f>N(2022085386)</f>
        <v>2022085386</v>
      </c>
      <c r="K185" s="1" t="s">
        <v>0</v>
      </c>
    </row>
    <row r="186" spans="1:11" ht="12.75">
      <c r="A186" s="1" t="s">
        <v>2</v>
      </c>
      <c r="B186" t="str">
        <f>T("NBC APPRAISER SVCS")</f>
        <v>NBC APPRAISER SVCS</v>
      </c>
      <c r="C186" t="str">
        <f t="shared" si="52"/>
        <v>1849 C STREET NW</v>
      </c>
      <c r="D186" t="str">
        <f>T("MS 1313")</f>
        <v>MS 1313</v>
      </c>
      <c r="E186" t="s">
        <v>0</v>
      </c>
      <c r="F186" t="s">
        <v>0</v>
      </c>
      <c r="G186" t="str">
        <f t="shared" si="50"/>
        <v>WASHINGTON</v>
      </c>
      <c r="H186" t="str">
        <f t="shared" si="51"/>
        <v>DC </v>
      </c>
      <c r="I186" s="1">
        <f t="shared" si="46"/>
        <v>20240</v>
      </c>
      <c r="J186" s="1" t="str">
        <f>T("202-208-7833")</f>
        <v>202-208-7833</v>
      </c>
      <c r="K186" s="1" t="str">
        <f>T("202-208-4719")</f>
        <v>202-208-4719</v>
      </c>
    </row>
    <row r="187" spans="1:11" ht="12.75">
      <c r="A187" s="1" t="s">
        <v>2</v>
      </c>
      <c r="B187" t="str">
        <f>T("ADMINISTRATIVE OFFICE")</f>
        <v>ADMINISTRATIVE OFFICE</v>
      </c>
      <c r="C187" t="str">
        <f t="shared" si="52"/>
        <v>1849 C STREET NW</v>
      </c>
      <c r="D187" t="str">
        <f>T("MS 1741")</f>
        <v>MS 1741</v>
      </c>
      <c r="E187" t="s">
        <v>0</v>
      </c>
      <c r="F187" t="s">
        <v>0</v>
      </c>
      <c r="G187" t="str">
        <f t="shared" si="50"/>
        <v>WASHINGTON</v>
      </c>
      <c r="H187" t="str">
        <f t="shared" si="51"/>
        <v>DC </v>
      </c>
      <c r="I187" s="1">
        <f t="shared" si="46"/>
        <v>20240</v>
      </c>
      <c r="J187" s="1">
        <f>N(2022086723)</f>
        <v>2022086723</v>
      </c>
      <c r="K187" s="1">
        <f>N(2022084719)</f>
        <v>2022084719</v>
      </c>
    </row>
    <row r="188" spans="1:11" ht="12.75">
      <c r="A188" s="1" t="s">
        <v>2</v>
      </c>
      <c r="B188" t="str">
        <f>T("OFC OF SMALL &amp; DISADV BUS UTL")</f>
        <v>OFC OF SMALL &amp; DISADV BUS UTL</v>
      </c>
      <c r="C188" t="str">
        <f>T("1849 C ST NW")</f>
        <v>1849 C ST NW</v>
      </c>
      <c r="D188" t="s">
        <v>0</v>
      </c>
      <c r="E188" t="s">
        <v>0</v>
      </c>
      <c r="F188" t="s">
        <v>0</v>
      </c>
      <c r="G188" t="str">
        <f t="shared" si="50"/>
        <v>WASHINGTON</v>
      </c>
      <c r="H188" t="str">
        <f t="shared" si="51"/>
        <v>DC </v>
      </c>
      <c r="I188" s="1">
        <f t="shared" si="46"/>
        <v>20240</v>
      </c>
      <c r="J188" s="1" t="str">
        <f>T("202-208-6723")</f>
        <v>202-208-6723</v>
      </c>
      <c r="K188" s="1" t="str">
        <f>T("202-208-4719")</f>
        <v>202-208-4719</v>
      </c>
    </row>
    <row r="189" spans="1:11" ht="12.75">
      <c r="A189" s="1" t="s">
        <v>2</v>
      </c>
      <c r="B189" t="str">
        <f>T("OFC OF THE CHIEF INFRMTION OFC")</f>
        <v>OFC OF THE CHIEF INFRMTION OFC</v>
      </c>
      <c r="C189" t="str">
        <f aca="true" t="shared" si="53" ref="C189:C194">T("1849 C STREET NW")</f>
        <v>1849 C STREET NW</v>
      </c>
      <c r="D189" t="s">
        <v>0</v>
      </c>
      <c r="E189" t="s">
        <v>0</v>
      </c>
      <c r="F189" t="s">
        <v>0</v>
      </c>
      <c r="G189" t="str">
        <f t="shared" si="50"/>
        <v>WASHINGTON</v>
      </c>
      <c r="H189" t="str">
        <f t="shared" si="51"/>
        <v>DC </v>
      </c>
      <c r="I189" s="1">
        <f t="shared" si="46"/>
        <v>20240</v>
      </c>
      <c r="J189" s="1" t="str">
        <f>T("202-208-6723")</f>
        <v>202-208-6723</v>
      </c>
      <c r="K189" s="1" t="str">
        <f>T("202-208-4719")</f>
        <v>202-208-4719</v>
      </c>
    </row>
    <row r="190" spans="1:11" ht="12.75">
      <c r="A190" s="1" t="s">
        <v>2</v>
      </c>
      <c r="B190" t="str">
        <f>T("OFC OF CLLBRTIVE ACTION &amp; DISP")</f>
        <v>OFC OF CLLBRTIVE ACTION &amp; DISP</v>
      </c>
      <c r="C190" t="str">
        <f t="shared" si="53"/>
        <v>1849 C STREET NW</v>
      </c>
      <c r="D190" t="s">
        <v>0</v>
      </c>
      <c r="E190" t="s">
        <v>0</v>
      </c>
      <c r="F190" t="s">
        <v>0</v>
      </c>
      <c r="G190" t="str">
        <f t="shared" si="50"/>
        <v>WASHINGTON</v>
      </c>
      <c r="H190" t="str">
        <f t="shared" si="51"/>
        <v>DC </v>
      </c>
      <c r="I190" s="1">
        <f t="shared" si="46"/>
        <v>20240</v>
      </c>
      <c r="J190" s="1" t="str">
        <f>T("202-208-6723")</f>
        <v>202-208-6723</v>
      </c>
      <c r="K190" s="1" t="str">
        <f>T("202-208-4719")</f>
        <v>202-208-4719</v>
      </c>
    </row>
    <row r="191" spans="1:11" ht="12.75">
      <c r="A191" s="1" t="s">
        <v>2</v>
      </c>
      <c r="B191" t="str">
        <f>T("OFC OF PLANNING &amp; PERFRM MGMT")</f>
        <v>OFC OF PLANNING &amp; PERFRM MGMT</v>
      </c>
      <c r="C191" t="str">
        <f t="shared" si="53"/>
        <v>1849 C STREET NW</v>
      </c>
      <c r="D191" t="s">
        <v>0</v>
      </c>
      <c r="E191" t="s">
        <v>0</v>
      </c>
      <c r="F191" t="s">
        <v>0</v>
      </c>
      <c r="G191" t="str">
        <f t="shared" si="50"/>
        <v>WASHINGTON</v>
      </c>
      <c r="H191" t="str">
        <f t="shared" si="51"/>
        <v>DC </v>
      </c>
      <c r="I191" s="1">
        <f t="shared" si="46"/>
        <v>20240</v>
      </c>
      <c r="J191" s="1" t="str">
        <f>T("202-208-6723")</f>
        <v>202-208-6723</v>
      </c>
      <c r="K191" s="1" t="str">
        <f>T("202-208-4719")</f>
        <v>202-208-4719</v>
      </c>
    </row>
    <row r="192" spans="1:11" ht="12.75">
      <c r="A192" s="1" t="s">
        <v>2</v>
      </c>
      <c r="B192" t="str">
        <f>T("INDIAN ARTS &amp; CRAFTS BOARD")</f>
        <v>INDIAN ARTS &amp; CRAFTS BOARD</v>
      </c>
      <c r="C192" t="str">
        <f t="shared" si="53"/>
        <v>1849 C STREET NW</v>
      </c>
      <c r="D192" t="s">
        <v>0</v>
      </c>
      <c r="E192" t="s">
        <v>0</v>
      </c>
      <c r="F192" t="s">
        <v>0</v>
      </c>
      <c r="G192" t="str">
        <f t="shared" si="50"/>
        <v>WASHINGTON</v>
      </c>
      <c r="H192" t="str">
        <f t="shared" si="51"/>
        <v>DC </v>
      </c>
      <c r="I192" s="1">
        <f t="shared" si="46"/>
        <v>20240</v>
      </c>
      <c r="J192" s="1" t="str">
        <f>T("202-208-6723")</f>
        <v>202-208-6723</v>
      </c>
      <c r="K192" s="1" t="str">
        <f>T("202-208-4719")</f>
        <v>202-208-4719</v>
      </c>
    </row>
    <row r="193" spans="1:11" ht="12.75">
      <c r="A193" s="1" t="s">
        <v>2</v>
      </c>
      <c r="B193" t="str">
        <f>T("BILLINGS FIELD OFC")</f>
        <v>BILLINGS FIELD OFC</v>
      </c>
      <c r="C193" t="str">
        <f t="shared" si="53"/>
        <v>1849 C STREET NW</v>
      </c>
      <c r="D193" t="s">
        <v>0</v>
      </c>
      <c r="E193" t="s">
        <v>0</v>
      </c>
      <c r="F193" t="s">
        <v>0</v>
      </c>
      <c r="G193" t="str">
        <f t="shared" si="50"/>
        <v>WASHINGTON</v>
      </c>
      <c r="H193" t="str">
        <f t="shared" si="51"/>
        <v>DC </v>
      </c>
      <c r="I193" s="1">
        <f t="shared" si="46"/>
        <v>20240</v>
      </c>
      <c r="J193" s="1" t="str">
        <f>T("202-219-0340")</f>
        <v>202-219-0340</v>
      </c>
      <c r="K193" s="1" t="str">
        <f>T("202-208-4956")</f>
        <v>202-208-4956</v>
      </c>
    </row>
    <row r="194" spans="1:11" ht="12.75">
      <c r="A194" s="1" t="s">
        <v>2</v>
      </c>
      <c r="B194" t="str">
        <f>T("PHOENIX FIELD OFFICE")</f>
        <v>PHOENIX FIELD OFFICE</v>
      </c>
      <c r="C194" t="str">
        <f t="shared" si="53"/>
        <v>1849 C STREET NW</v>
      </c>
      <c r="D194" t="s">
        <v>0</v>
      </c>
      <c r="E194" t="s">
        <v>0</v>
      </c>
      <c r="F194" t="s">
        <v>0</v>
      </c>
      <c r="G194" t="str">
        <f t="shared" si="50"/>
        <v>WASHINGTON</v>
      </c>
      <c r="H194" t="str">
        <f t="shared" si="51"/>
        <v>DC </v>
      </c>
      <c r="I194" s="1">
        <f t="shared" si="46"/>
        <v>20240</v>
      </c>
      <c r="J194" s="1" t="str">
        <f>T("202-219-0340")</f>
        <v>202-219-0340</v>
      </c>
      <c r="K194" s="1" t="str">
        <f>T("202-208-4956")</f>
        <v>202-208-4956</v>
      </c>
    </row>
    <row r="195" spans="1:11" ht="12.75">
      <c r="A195" s="1" t="s">
        <v>2</v>
      </c>
      <c r="B195" t="str">
        <f>T("PORTLAND  OR")</f>
        <v>PORTLAND  OR</v>
      </c>
      <c r="C195" t="str">
        <f>T("1849 c street nw")</f>
        <v>1849 c street nw</v>
      </c>
      <c r="D195" t="s">
        <v>0</v>
      </c>
      <c r="E195" t="s">
        <v>0</v>
      </c>
      <c r="F195" t="s">
        <v>0</v>
      </c>
      <c r="G195" t="str">
        <f t="shared" si="50"/>
        <v>WASHINGTON</v>
      </c>
      <c r="H195" t="str">
        <f t="shared" si="51"/>
        <v>DC </v>
      </c>
      <c r="I195" s="1">
        <f t="shared" si="46"/>
        <v>20240</v>
      </c>
      <c r="J195" s="1" t="str">
        <f>T("202-219-0340")</f>
        <v>202-219-0340</v>
      </c>
      <c r="K195" s="1" t="str">
        <f>T("202-208-4956")</f>
        <v>202-208-4956</v>
      </c>
    </row>
    <row r="196" spans="1:11" ht="12.75">
      <c r="A196" s="1" t="s">
        <v>2</v>
      </c>
      <c r="B196" t="str">
        <f>T("DIVISION OF EQUAL EMPLYMNT OPP")</f>
        <v>DIVISION OF EQUAL EMPLYMNT OPP</v>
      </c>
      <c r="C196" t="str">
        <f aca="true" t="shared" si="54" ref="C196:C202">T("1849 C ST NW")</f>
        <v>1849 C ST NW</v>
      </c>
      <c r="D196" t="s">
        <v>0</v>
      </c>
      <c r="E196" t="s">
        <v>0</v>
      </c>
      <c r="F196" t="s">
        <v>0</v>
      </c>
      <c r="G196" t="str">
        <f t="shared" si="50"/>
        <v>WASHINGTON</v>
      </c>
      <c r="H196" t="str">
        <f t="shared" si="51"/>
        <v>DC </v>
      </c>
      <c r="I196" s="1">
        <f t="shared" si="46"/>
        <v>20240</v>
      </c>
      <c r="J196" s="1">
        <f aca="true" t="shared" si="55" ref="J196:J202">N(2022190340)</f>
        <v>2022190340</v>
      </c>
      <c r="K196" s="1">
        <f aca="true" t="shared" si="56" ref="K196:K204">N(2022084956)</f>
        <v>2022084956</v>
      </c>
    </row>
    <row r="197" spans="1:11" ht="12.75">
      <c r="A197" s="1" t="s">
        <v>2</v>
      </c>
      <c r="B197" t="str">
        <f>T("OFFICE OF THE CHIEF FINANCL OF")</f>
        <v>OFFICE OF THE CHIEF FINANCL OF</v>
      </c>
      <c r="C197" t="str">
        <f t="shared" si="54"/>
        <v>1849 C ST NW</v>
      </c>
      <c r="D197" t="s">
        <v>0</v>
      </c>
      <c r="E197" t="s">
        <v>0</v>
      </c>
      <c r="F197" t="s">
        <v>0</v>
      </c>
      <c r="G197" t="str">
        <f t="shared" si="50"/>
        <v>WASHINGTON</v>
      </c>
      <c r="H197" t="str">
        <f t="shared" si="51"/>
        <v>DC </v>
      </c>
      <c r="I197" s="1">
        <f t="shared" si="46"/>
        <v>20240</v>
      </c>
      <c r="J197" s="1">
        <f t="shared" si="55"/>
        <v>2022190340</v>
      </c>
      <c r="K197" s="1">
        <f t="shared" si="56"/>
        <v>2022084956</v>
      </c>
    </row>
    <row r="198" spans="1:11" ht="12.75">
      <c r="A198" s="1" t="s">
        <v>2</v>
      </c>
      <c r="B198" t="str">
        <f>T("OFFICE OF AUDIT AND EVALUATION")</f>
        <v>OFFICE OF AUDIT AND EVALUATION</v>
      </c>
      <c r="C198" t="str">
        <f t="shared" si="54"/>
        <v>1849 C ST NW</v>
      </c>
      <c r="D198" t="s">
        <v>0</v>
      </c>
      <c r="E198" t="s">
        <v>0</v>
      </c>
      <c r="F198" t="s">
        <v>0</v>
      </c>
      <c r="G198" t="str">
        <f t="shared" si="50"/>
        <v>WASHINGTON</v>
      </c>
      <c r="H198" t="str">
        <f t="shared" si="51"/>
        <v>DC </v>
      </c>
      <c r="I198" s="1">
        <f t="shared" si="46"/>
        <v>20240</v>
      </c>
      <c r="J198" s="1">
        <f t="shared" si="55"/>
        <v>2022190340</v>
      </c>
      <c r="K198" s="1">
        <f t="shared" si="56"/>
        <v>2022084956</v>
      </c>
    </row>
    <row r="199" spans="1:11" ht="12.75">
      <c r="A199" s="1" t="s">
        <v>2</v>
      </c>
      <c r="B199" t="str">
        <f>T("OFFICE OF FIN MNGMNT")</f>
        <v>OFFICE OF FIN MNGMNT</v>
      </c>
      <c r="C199" t="str">
        <f t="shared" si="54"/>
        <v>1849 C ST NW</v>
      </c>
      <c r="D199" t="s">
        <v>0</v>
      </c>
      <c r="E199" t="s">
        <v>0</v>
      </c>
      <c r="F199" t="s">
        <v>0</v>
      </c>
      <c r="G199" t="str">
        <f t="shared" si="50"/>
        <v>WASHINGTON</v>
      </c>
      <c r="H199" t="str">
        <f t="shared" si="51"/>
        <v>DC </v>
      </c>
      <c r="I199" s="1">
        <f t="shared" si="46"/>
        <v>20240</v>
      </c>
      <c r="J199" s="1">
        <f t="shared" si="55"/>
        <v>2022190340</v>
      </c>
      <c r="K199" s="1">
        <f t="shared" si="56"/>
        <v>2022084956</v>
      </c>
    </row>
    <row r="200" spans="1:11" ht="12.75">
      <c r="A200" s="1" t="s">
        <v>2</v>
      </c>
      <c r="B200" t="str">
        <f>T("OFFICE OF BUDGET MANAGEMENT")</f>
        <v>OFFICE OF BUDGET MANAGEMENT</v>
      </c>
      <c r="C200" t="str">
        <f t="shared" si="54"/>
        <v>1849 C ST NW</v>
      </c>
      <c r="D200" t="s">
        <v>0</v>
      </c>
      <c r="E200" t="s">
        <v>0</v>
      </c>
      <c r="F200" t="s">
        <v>0</v>
      </c>
      <c r="G200" t="str">
        <f t="shared" si="50"/>
        <v>WASHINGTON</v>
      </c>
      <c r="H200" t="str">
        <f t="shared" si="51"/>
        <v>DC </v>
      </c>
      <c r="I200" s="1">
        <f t="shared" si="46"/>
        <v>20240</v>
      </c>
      <c r="J200" s="1">
        <f t="shared" si="55"/>
        <v>2022190340</v>
      </c>
      <c r="K200" s="1">
        <f t="shared" si="56"/>
        <v>2022084956</v>
      </c>
    </row>
    <row r="201" spans="1:11" ht="12.75">
      <c r="A201" s="1" t="s">
        <v>2</v>
      </c>
      <c r="B201" t="str">
        <f>T("OFFICE OF ACQUIS &amp; PROPRTY")</f>
        <v>OFFICE OF ACQUIS &amp; PROPRTY</v>
      </c>
      <c r="C201" t="str">
        <f t="shared" si="54"/>
        <v>1849 C ST NW</v>
      </c>
      <c r="D201" t="s">
        <v>0</v>
      </c>
      <c r="E201" t="s">
        <v>0</v>
      </c>
      <c r="F201" t="s">
        <v>0</v>
      </c>
      <c r="G201" t="str">
        <f>T("WASHINGTON")</f>
        <v>WASHINGTON</v>
      </c>
      <c r="H201" t="str">
        <f>T("DC ")</f>
        <v>DC </v>
      </c>
      <c r="I201" s="1">
        <f t="shared" si="46"/>
        <v>20240</v>
      </c>
      <c r="J201" s="1">
        <f t="shared" si="55"/>
        <v>2022190340</v>
      </c>
      <c r="K201" s="1">
        <f t="shared" si="56"/>
        <v>2022084956</v>
      </c>
    </row>
    <row r="202" spans="1:11" ht="12.75">
      <c r="A202" s="1" t="s">
        <v>2</v>
      </c>
      <c r="B202" t="str">
        <f>T("ADMINISTRATIVE SUPP SERVCS")</f>
        <v>ADMINISTRATIVE SUPP SERVCS</v>
      </c>
      <c r="C202" t="str">
        <f t="shared" si="54"/>
        <v>1849 C ST NW</v>
      </c>
      <c r="D202" t="s">
        <v>0</v>
      </c>
      <c r="E202" t="s">
        <v>0</v>
      </c>
      <c r="F202" t="s">
        <v>0</v>
      </c>
      <c r="G202" t="str">
        <f>T("WASHINGTON")</f>
        <v>WASHINGTON</v>
      </c>
      <c r="H202" t="str">
        <f>T("DC ")</f>
        <v>DC </v>
      </c>
      <c r="I202" s="1">
        <f t="shared" si="46"/>
        <v>20240</v>
      </c>
      <c r="J202" s="1">
        <f t="shared" si="55"/>
        <v>2022190340</v>
      </c>
      <c r="K202" s="1">
        <f t="shared" si="56"/>
        <v>2022084956</v>
      </c>
    </row>
    <row r="203" spans="1:11" ht="12.75">
      <c r="A203" s="1" t="s">
        <v>2</v>
      </c>
      <c r="B203" t="str">
        <f>T("DIV OF ECONOMIC AFFAIRS")</f>
        <v>DIV OF ECONOMIC AFFAIRS</v>
      </c>
      <c r="C203" t="str">
        <f>T("1849 C STREET NW")</f>
        <v>1849 C STREET NW</v>
      </c>
      <c r="D203" t="s">
        <v>0</v>
      </c>
      <c r="E203" t="s">
        <v>0</v>
      </c>
      <c r="F203" t="s">
        <v>0</v>
      </c>
      <c r="G203" t="str">
        <f>T("WASHINGTON")</f>
        <v>WASHINGTON</v>
      </c>
      <c r="H203" t="str">
        <f>T("DC ")</f>
        <v>DC </v>
      </c>
      <c r="I203" s="1">
        <f t="shared" si="46"/>
        <v>20240</v>
      </c>
      <c r="J203" s="1">
        <f>N(2012190340)</f>
        <v>2012190340</v>
      </c>
      <c r="K203" s="1">
        <f t="shared" si="56"/>
        <v>2022084956</v>
      </c>
    </row>
    <row r="204" spans="1:11" ht="12.75">
      <c r="A204" s="1" t="s">
        <v>2</v>
      </c>
      <c r="B204" t="str">
        <f>T("OFC OF FACIL  ENVIR &amp; CULT MGT")</f>
        <v>OFC OF FACIL  ENVIR &amp; CULT MGT</v>
      </c>
      <c r="C204" t="str">
        <f>T("1849 C STREET NW")</f>
        <v>1849 C STREET NW</v>
      </c>
      <c r="D204" t="s">
        <v>0</v>
      </c>
      <c r="E204" t="s">
        <v>0</v>
      </c>
      <c r="F204" t="s">
        <v>0</v>
      </c>
      <c r="G204" t="str">
        <f>T("WASHINGTON")</f>
        <v>WASHINGTON</v>
      </c>
      <c r="H204" t="str">
        <f>T("DC ")</f>
        <v>DC </v>
      </c>
      <c r="I204" s="1">
        <f t="shared" si="46"/>
        <v>20240</v>
      </c>
      <c r="J204" s="1">
        <f>N(2022190340)</f>
        <v>2022190340</v>
      </c>
      <c r="K204" s="1">
        <f t="shared" si="56"/>
        <v>2022084956</v>
      </c>
    </row>
    <row r="205" spans="1:11" ht="12.75">
      <c r="A205" s="1" t="s">
        <v>2</v>
      </c>
      <c r="B205" t="str">
        <f>T("NBC APPRAISER SVCS ATLANTA RO")</f>
        <v>NBC APPRAISER SVCS ATLANTA RO</v>
      </c>
      <c r="C205" t="str">
        <f>T("7301 W MANSFIELD AVE")</f>
        <v>7301 W MANSFIELD AVE</v>
      </c>
      <c r="D205" t="s">
        <v>0</v>
      </c>
      <c r="E205" t="s">
        <v>0</v>
      </c>
      <c r="F205" t="s">
        <v>0</v>
      </c>
      <c r="G205" t="str">
        <f>T("DENVER")</f>
        <v>DENVER</v>
      </c>
      <c r="H205" t="str">
        <f>T("CO ")</f>
        <v>CO </v>
      </c>
      <c r="I205" s="1">
        <f>N(80215)</f>
        <v>80215</v>
      </c>
      <c r="J205" s="1" t="str">
        <f>T("3039696630 2561")</f>
        <v>3039696630 2561</v>
      </c>
      <c r="K205" s="1">
        <f>N(3039696336)</f>
        <v>3039696336</v>
      </c>
    </row>
    <row r="206" spans="1:11" ht="12.75">
      <c r="A206" s="1" t="s">
        <v>2</v>
      </c>
      <c r="B206" t="str">
        <f>T("NBC APPRAISER SVCS MPLS RO")</f>
        <v>NBC APPRAISER SVCS MPLS RO</v>
      </c>
      <c r="C206" t="str">
        <f>T("7301 W MANSFIELD AVE")</f>
        <v>7301 W MANSFIELD AVE</v>
      </c>
      <c r="D206" t="s">
        <v>0</v>
      </c>
      <c r="E206" t="s">
        <v>0</v>
      </c>
      <c r="F206" t="s">
        <v>0</v>
      </c>
      <c r="G206" t="str">
        <f>T("DENVER")</f>
        <v>DENVER</v>
      </c>
      <c r="H206" t="str">
        <f>T("CO ")</f>
        <v>CO </v>
      </c>
      <c r="I206" s="1">
        <f>N(80215)</f>
        <v>80215</v>
      </c>
      <c r="J206" s="1" t="str">
        <f>T("3039696630 2561")</f>
        <v>3039696630 2561</v>
      </c>
      <c r="K206" s="1">
        <f>N(3039696336)</f>
        <v>3039696336</v>
      </c>
    </row>
    <row r="207" spans="1:11" ht="12.75">
      <c r="A207" s="1" t="s">
        <v>2</v>
      </c>
      <c r="B207" t="str">
        <f>T("NBC APPRAISER SVCS DENVER RO")</f>
        <v>NBC APPRAISER SVCS DENVER RO</v>
      </c>
      <c r="C207" t="str">
        <f>T("7301 W MANSFIELD AVE")</f>
        <v>7301 W MANSFIELD AVE</v>
      </c>
      <c r="D207" t="s">
        <v>0</v>
      </c>
      <c r="E207" t="s">
        <v>0</v>
      </c>
      <c r="F207" t="s">
        <v>0</v>
      </c>
      <c r="G207" t="str">
        <f>T("DENVER")</f>
        <v>DENVER</v>
      </c>
      <c r="H207" t="str">
        <f>T("CO ")</f>
        <v>CO </v>
      </c>
      <c r="I207" s="1">
        <f>N(80215)</f>
        <v>80215</v>
      </c>
      <c r="J207" s="1" t="str">
        <f>T("3039696330 2561")</f>
        <v>3039696330 2561</v>
      </c>
      <c r="K207" s="1">
        <f>N(3039696336)</f>
        <v>3039696336</v>
      </c>
    </row>
    <row r="208" spans="1:11" ht="12.75">
      <c r="A208" s="1" t="s">
        <v>2</v>
      </c>
      <c r="B208" t="str">
        <f>T("NBC APPRAISER SVCS PORTLANT RD")</f>
        <v>NBC APPRAISER SVCS PORTLANT RD</v>
      </c>
      <c r="C208" t="str">
        <f>T("7301 W MANSFIELD AVE")</f>
        <v>7301 W MANSFIELD AVE</v>
      </c>
      <c r="D208" t="s">
        <v>0</v>
      </c>
      <c r="E208" t="s">
        <v>0</v>
      </c>
      <c r="F208" t="s">
        <v>0</v>
      </c>
      <c r="G208" t="str">
        <f>T("DENVER")</f>
        <v>DENVER</v>
      </c>
      <c r="H208" t="str">
        <f>T("CO ")</f>
        <v>CO </v>
      </c>
      <c r="I208" s="1">
        <f>N(80215)</f>
        <v>80215</v>
      </c>
      <c r="J208" s="1" t="str">
        <f>T("303-969-6630 2561")</f>
        <v>303-969-6630 2561</v>
      </c>
      <c r="K208" s="1">
        <f>N(3039696336)</f>
        <v>3039696336</v>
      </c>
    </row>
    <row r="209" spans="1:11" ht="12.75">
      <c r="A209" s="1" t="s">
        <v>2</v>
      </c>
      <c r="B209" t="str">
        <f>T("NBC APPRAISAL SVCS SACRAMENTO")</f>
        <v>NBC APPRAISAL SVCS SACRAMENTO</v>
      </c>
      <c r="C209" t="str">
        <f>T("2180 HARVARD ST")</f>
        <v>2180 HARVARD ST</v>
      </c>
      <c r="D209" t="str">
        <f>T("SUITE 380")</f>
        <v>SUITE 380</v>
      </c>
      <c r="E209" t="s">
        <v>0</v>
      </c>
      <c r="F209" t="s">
        <v>0</v>
      </c>
      <c r="G209" t="str">
        <f>T("SACRAMENTO")</f>
        <v>SACRAMENTO</v>
      </c>
      <c r="H209" t="str">
        <f>T("CA ")</f>
        <v>CA </v>
      </c>
      <c r="I209" s="1">
        <f>N(95815)</f>
        <v>95815</v>
      </c>
      <c r="J209" s="1" t="str">
        <f>T("303-969-6630 2423")</f>
        <v>303-969-6630 2423</v>
      </c>
      <c r="K209" s="1" t="s">
        <v>0</v>
      </c>
    </row>
    <row r="210" spans="1:11" ht="12.75">
      <c r="A210" s="1" t="s">
        <v>2</v>
      </c>
      <c r="B210" t="str">
        <f>T("NBC APPRAISER SVCS DC METRO RO")</f>
        <v>NBC APPRAISER SVCS DC METRO RO</v>
      </c>
      <c r="C210" t="str">
        <f>T("7301 W MANSFIELD AVE")</f>
        <v>7301 W MANSFIELD AVE</v>
      </c>
      <c r="D210" t="s">
        <v>0</v>
      </c>
      <c r="E210" t="s">
        <v>0</v>
      </c>
      <c r="F210" t="s">
        <v>0</v>
      </c>
      <c r="G210" t="str">
        <f>T("DENVER")</f>
        <v>DENVER</v>
      </c>
      <c r="H210" t="str">
        <f>T("CO ")</f>
        <v>CO </v>
      </c>
      <c r="I210" s="1">
        <f>N(80215)</f>
        <v>80215</v>
      </c>
      <c r="J210" s="1" t="str">
        <f>T("3039696330 2561")</f>
        <v>3039696330 2561</v>
      </c>
      <c r="K210" s="1">
        <f>N(3039666336)</f>
        <v>3039666336</v>
      </c>
    </row>
    <row r="211" spans="1:11" ht="12.75">
      <c r="A211" s="1" t="s">
        <v>2</v>
      </c>
      <c r="B211" t="str">
        <f>T("NBC TECHNOLOGY SERVICES DIV")</f>
        <v>NBC TECHNOLOGY SERVICES DIV</v>
      </c>
      <c r="C211" t="str">
        <f>T("7301 W MANSFIELD AVE")</f>
        <v>7301 W MANSFIELD AVE</v>
      </c>
      <c r="D211" t="s">
        <v>0</v>
      </c>
      <c r="E211" t="s">
        <v>0</v>
      </c>
      <c r="F211" t="s">
        <v>0</v>
      </c>
      <c r="G211" t="str">
        <f>T("DENVER")</f>
        <v>DENVER</v>
      </c>
      <c r="H211" t="str">
        <f>T("CO ")</f>
        <v>CO </v>
      </c>
      <c r="I211" s="1">
        <f>N(80215)</f>
        <v>80215</v>
      </c>
      <c r="J211" s="1" t="str">
        <f>T("3039696630 2561")</f>
        <v>3039696630 2561</v>
      </c>
      <c r="K211" s="1">
        <f>N(3039696336)</f>
        <v>3039696336</v>
      </c>
    </row>
    <row r="212" spans="1:11" ht="12.75">
      <c r="A212" s="1" t="s">
        <v>2</v>
      </c>
      <c r="B212" t="str">
        <f>T("NBC PAY SEC 5 ATLANTA UNIT 1")</f>
        <v>NBC PAY SEC 5 ATLANTA UNIT 1</v>
      </c>
      <c r="C212" t="str">
        <f>T("7301 W MANSFIELD AVE")</f>
        <v>7301 W MANSFIELD AVE</v>
      </c>
      <c r="D212" t="s">
        <v>0</v>
      </c>
      <c r="E212" t="s">
        <v>0</v>
      </c>
      <c r="F212" t="s">
        <v>0</v>
      </c>
      <c r="G212" t="str">
        <f>T("DENVER")</f>
        <v>DENVER</v>
      </c>
      <c r="H212" t="str">
        <f>T("CO ")</f>
        <v>CO </v>
      </c>
      <c r="I212" s="1">
        <f>N(80215)</f>
        <v>80215</v>
      </c>
      <c r="J212" s="1" t="str">
        <f>T("3039696630 2561")</f>
        <v>3039696630 2561</v>
      </c>
      <c r="K212" s="1">
        <f>N(3039696336)</f>
        <v>3039696336</v>
      </c>
    </row>
    <row r="213" spans="1:11" ht="12.75">
      <c r="A213" s="1" t="s">
        <v>2</v>
      </c>
      <c r="B213" t="str">
        <f>T("NBC ACQUISITION &amp; PROPERTY MGT")</f>
        <v>NBC ACQUISITION &amp; PROPERTY MGT</v>
      </c>
      <c r="C213" t="str">
        <f>T("7301 W MANSFIELD AVE")</f>
        <v>7301 W MANSFIELD AVE</v>
      </c>
      <c r="D213" t="s">
        <v>0</v>
      </c>
      <c r="E213" t="s">
        <v>0</v>
      </c>
      <c r="F213" t="s">
        <v>0</v>
      </c>
      <c r="G213" t="str">
        <f>T("DENVER")</f>
        <v>DENVER</v>
      </c>
      <c r="H213" t="str">
        <f>T("CO ")</f>
        <v>CO </v>
      </c>
      <c r="I213" s="1">
        <f>N(80215)</f>
        <v>80215</v>
      </c>
      <c r="J213" s="1" t="str">
        <f>T("3039696630 2561")</f>
        <v>3039696630 2561</v>
      </c>
      <c r="K213" s="1">
        <f>N(3039696336)</f>
        <v>3039696336</v>
      </c>
    </row>
    <row r="214" spans="1:11" ht="12.75">
      <c r="A214" s="1" t="s">
        <v>2</v>
      </c>
      <c r="B214" t="str">
        <f>T("NBC SOLUTIONS COORDINATION OFF")</f>
        <v>NBC SOLUTIONS COORDINATION OFF</v>
      </c>
      <c r="C214" t="str">
        <f>T("7301 W MANSFIELD AVE MS D 2780")</f>
        <v>7301 W MANSFIELD AVE MS D 2780</v>
      </c>
      <c r="D214" t="s">
        <v>0</v>
      </c>
      <c r="E214" t="s">
        <v>0</v>
      </c>
      <c r="F214" t="s">
        <v>0</v>
      </c>
      <c r="G214" t="str">
        <f>T("DENVER")</f>
        <v>DENVER</v>
      </c>
      <c r="H214" t="str">
        <f>T("CO ")</f>
        <v>CO </v>
      </c>
      <c r="I214" s="1">
        <f>N(80235)</f>
        <v>80235</v>
      </c>
      <c r="J214" s="1">
        <f>N(3039695588)</f>
        <v>3039695588</v>
      </c>
      <c r="K214" s="1" t="s">
        <v>0</v>
      </c>
    </row>
    <row r="215" spans="1:11" ht="12.75">
      <c r="A215" s="1" t="s">
        <v>2</v>
      </c>
      <c r="B215" t="str">
        <f>T("PROGRAM INTEGRITY")</f>
        <v>PROGRAM INTEGRITY</v>
      </c>
      <c r="C215" t="str">
        <f>T("1849 C ST NW")</f>
        <v>1849 C ST NW</v>
      </c>
      <c r="D215" t="s">
        <v>0</v>
      </c>
      <c r="E215" t="s">
        <v>0</v>
      </c>
      <c r="F215" t="s">
        <v>0</v>
      </c>
      <c r="G215" t="str">
        <f>T("WASHINGTON")</f>
        <v>WASHINGTON</v>
      </c>
      <c r="H215" t="str">
        <f>T("DC ")</f>
        <v>DC </v>
      </c>
      <c r="I215" s="1">
        <f>N(20240)</f>
        <v>20240</v>
      </c>
      <c r="J215" s="1">
        <f>N(7034875381)</f>
        <v>7034875381</v>
      </c>
      <c r="K215" s="1" t="s">
        <v>0</v>
      </c>
    </row>
    <row r="216" spans="1:11" ht="12.75">
      <c r="A216" s="1" t="s">
        <v>2</v>
      </c>
      <c r="B216" t="str">
        <f>T("NBC APPRAISAL SVCS PHX RO")</f>
        <v>NBC APPRAISAL SVCS PHX RO</v>
      </c>
      <c r="C216" t="str">
        <f>T("400 N CENTRAL AVE 2330")</f>
        <v>400 N CENTRAL AVE 2330</v>
      </c>
      <c r="D216" t="s">
        <v>0</v>
      </c>
      <c r="E216" t="s">
        <v>0</v>
      </c>
      <c r="F216" t="s">
        <v>0</v>
      </c>
      <c r="G216" t="str">
        <f>T("PHOENIX")</f>
        <v>PHOENIX</v>
      </c>
      <c r="H216" t="str">
        <f>T("AZ ")</f>
        <v>AZ </v>
      </c>
      <c r="I216" s="1">
        <f>N(84012)</f>
        <v>84012</v>
      </c>
      <c r="J216" s="1">
        <f>N(30396966932561)</f>
        <v>30396966932561</v>
      </c>
      <c r="K216" s="1" t="s">
        <v>0</v>
      </c>
    </row>
    <row r="217" spans="1:11" ht="12.75">
      <c r="A217" s="1" t="s">
        <v>2</v>
      </c>
      <c r="B217" t="str">
        <f>T("NBC RECORDS MGMT SECTION")</f>
        <v>NBC RECORDS MGMT SECTION</v>
      </c>
      <c r="C217" t="str">
        <f>T("7301 W MANSFIELD AVE")</f>
        <v>7301 W MANSFIELD AVE</v>
      </c>
      <c r="D217" t="s">
        <v>0</v>
      </c>
      <c r="E217" t="s">
        <v>0</v>
      </c>
      <c r="F217" t="s">
        <v>0</v>
      </c>
      <c r="G217" t="str">
        <f>T("DENVER")</f>
        <v>DENVER</v>
      </c>
      <c r="H217" t="str">
        <f>T("CO ")</f>
        <v>CO </v>
      </c>
      <c r="I217" s="1">
        <f aca="true" t="shared" si="57" ref="I217:I229">N(80235)</f>
        <v>80235</v>
      </c>
      <c r="J217" s="1">
        <f>N(3039696630)</f>
        <v>3039696630</v>
      </c>
      <c r="K217" s="1">
        <f>N(3039696336)</f>
        <v>3039696336</v>
      </c>
    </row>
    <row r="218" spans="1:11" ht="12.75">
      <c r="A218" s="1" t="s">
        <v>2</v>
      </c>
      <c r="B218" t="str">
        <f>T("NBC HR CROSS SERVICING DIV")</f>
        <v>NBC HR CROSS SERVICING DIV</v>
      </c>
      <c r="C218" t="str">
        <f>T("7301 w mansfield ave")</f>
        <v>7301 w mansfield ave</v>
      </c>
      <c r="D218" t="s">
        <v>0</v>
      </c>
      <c r="E218" t="s">
        <v>0</v>
      </c>
      <c r="F218" t="s">
        <v>0</v>
      </c>
      <c r="G218" t="str">
        <f>T("denver")</f>
        <v>denver</v>
      </c>
      <c r="H218" t="str">
        <f>T("co ")</f>
        <v>co </v>
      </c>
      <c r="I218" s="1">
        <f t="shared" si="57"/>
        <v>80235</v>
      </c>
      <c r="J218" s="1" t="str">
        <f>T("3039696630 2561")</f>
        <v>3039696630 2561</v>
      </c>
      <c r="K218" s="1">
        <f>N(3039696336)</f>
        <v>3039696336</v>
      </c>
    </row>
    <row r="219" spans="1:11" ht="12.75">
      <c r="A219" s="1" t="s">
        <v>2</v>
      </c>
      <c r="B219" t="str">
        <f>T("NBC STRATEGIC &amp; BUS PLAN BR")</f>
        <v>NBC STRATEGIC &amp; BUS PLAN BR</v>
      </c>
      <c r="C219" t="str">
        <f aca="true" t="shared" si="58" ref="C219:C229">T("7301 W MANSFIELD AVE")</f>
        <v>7301 W MANSFIELD AVE</v>
      </c>
      <c r="D219" t="s">
        <v>0</v>
      </c>
      <c r="E219" t="s">
        <v>0</v>
      </c>
      <c r="F219" t="s">
        <v>0</v>
      </c>
      <c r="G219" t="str">
        <f aca="true" t="shared" si="59" ref="G219:G229">T("DENVER")</f>
        <v>DENVER</v>
      </c>
      <c r="H219" t="str">
        <f aca="true" t="shared" si="60" ref="H219:H229">T("CO ")</f>
        <v>CO </v>
      </c>
      <c r="I219" s="1">
        <f t="shared" si="57"/>
        <v>80235</v>
      </c>
      <c r="J219" s="1" t="str">
        <f>T("3039696630 2561")</f>
        <v>3039696630 2561</v>
      </c>
      <c r="K219" s="1">
        <f>N(3039696336)</f>
        <v>3039696336</v>
      </c>
    </row>
    <row r="220" spans="1:11" ht="12.75">
      <c r="A220" s="1" t="s">
        <v>2</v>
      </c>
      <c r="B220" t="str">
        <f>T("NBC HR LOB")</f>
        <v>NBC HR LOB</v>
      </c>
      <c r="C220" t="str">
        <f t="shared" si="58"/>
        <v>7301 W MANSFIELD AVE</v>
      </c>
      <c r="D220" t="str">
        <f aca="true" t="shared" si="61" ref="D220:D228">T("MS D2780")</f>
        <v>MS D2780</v>
      </c>
      <c r="E220" t="s">
        <v>0</v>
      </c>
      <c r="F220" t="s">
        <v>0</v>
      </c>
      <c r="G220" t="str">
        <f t="shared" si="59"/>
        <v>DENVER</v>
      </c>
      <c r="H220" t="str">
        <f t="shared" si="60"/>
        <v>CO </v>
      </c>
      <c r="I220" s="1">
        <f t="shared" si="57"/>
        <v>80235</v>
      </c>
      <c r="J220" s="1">
        <f aca="true" t="shared" si="62" ref="J220:J228">N(3039695588)</f>
        <v>3039695588</v>
      </c>
      <c r="K220" s="1" t="s">
        <v>0</v>
      </c>
    </row>
    <row r="221" spans="1:11" ht="12.75">
      <c r="A221" s="1" t="s">
        <v>2</v>
      </c>
      <c r="B221" t="str">
        <f>T("NBC FM LOB")</f>
        <v>NBC FM LOB</v>
      </c>
      <c r="C221" t="str">
        <f t="shared" si="58"/>
        <v>7301 W MANSFIELD AVE</v>
      </c>
      <c r="D221" t="str">
        <f t="shared" si="61"/>
        <v>MS D2780</v>
      </c>
      <c r="E221" t="s">
        <v>0</v>
      </c>
      <c r="F221" t="s">
        <v>0</v>
      </c>
      <c r="G221" t="str">
        <f t="shared" si="59"/>
        <v>DENVER</v>
      </c>
      <c r="H221" t="str">
        <f t="shared" si="60"/>
        <v>CO </v>
      </c>
      <c r="I221" s="1">
        <f t="shared" si="57"/>
        <v>80235</v>
      </c>
      <c r="J221" s="1">
        <f t="shared" si="62"/>
        <v>3039695588</v>
      </c>
      <c r="K221" s="1" t="s">
        <v>0</v>
      </c>
    </row>
    <row r="222" spans="1:11" ht="12.75">
      <c r="A222" s="1" t="s">
        <v>2</v>
      </c>
      <c r="B222" t="str">
        <f>T("NBC IT LOB")</f>
        <v>NBC IT LOB</v>
      </c>
      <c r="C222" t="str">
        <f t="shared" si="58"/>
        <v>7301 W MANSFIELD AVE</v>
      </c>
      <c r="D222" t="str">
        <f t="shared" si="61"/>
        <v>MS D2780</v>
      </c>
      <c r="E222" t="s">
        <v>0</v>
      </c>
      <c r="F222" t="s">
        <v>0</v>
      </c>
      <c r="G222" t="str">
        <f t="shared" si="59"/>
        <v>DENVER</v>
      </c>
      <c r="H222" t="str">
        <f t="shared" si="60"/>
        <v>CO </v>
      </c>
      <c r="I222" s="1">
        <f t="shared" si="57"/>
        <v>80235</v>
      </c>
      <c r="J222" s="1">
        <f t="shared" si="62"/>
        <v>3039695588</v>
      </c>
      <c r="K222" s="1" t="s">
        <v>0</v>
      </c>
    </row>
    <row r="223" spans="1:11" ht="12.75">
      <c r="A223" s="1" t="s">
        <v>2</v>
      </c>
      <c r="B223" t="str">
        <f>T("NBC PMO STRATEGIC PLAN &amp; OUT")</f>
        <v>NBC PMO STRATEGIC PLAN &amp; OUT</v>
      </c>
      <c r="C223" t="str">
        <f t="shared" si="58"/>
        <v>7301 W MANSFIELD AVE</v>
      </c>
      <c r="D223" t="str">
        <f t="shared" si="61"/>
        <v>MS D2780</v>
      </c>
      <c r="E223" t="s">
        <v>0</v>
      </c>
      <c r="F223" t="s">
        <v>0</v>
      </c>
      <c r="G223" t="str">
        <f t="shared" si="59"/>
        <v>DENVER</v>
      </c>
      <c r="H223" t="str">
        <f t="shared" si="60"/>
        <v>CO </v>
      </c>
      <c r="I223" s="1">
        <f t="shared" si="57"/>
        <v>80235</v>
      </c>
      <c r="J223" s="1">
        <f t="shared" si="62"/>
        <v>3039695588</v>
      </c>
      <c r="K223" s="1" t="s">
        <v>0</v>
      </c>
    </row>
    <row r="224" spans="1:11" ht="12.75">
      <c r="A224" s="1" t="s">
        <v>2</v>
      </c>
      <c r="B224" t="str">
        <f>T("NBC NATIONAL INDIAN PROG TRNG")</f>
        <v>NBC NATIONAL INDIAN PROG TRNG</v>
      </c>
      <c r="C224" t="str">
        <f t="shared" si="58"/>
        <v>7301 W MANSFIELD AVE</v>
      </c>
      <c r="D224" t="str">
        <f t="shared" si="61"/>
        <v>MS D2780</v>
      </c>
      <c r="E224" t="s">
        <v>0</v>
      </c>
      <c r="F224" t="s">
        <v>0</v>
      </c>
      <c r="G224" t="str">
        <f t="shared" si="59"/>
        <v>DENVER</v>
      </c>
      <c r="H224" t="str">
        <f t="shared" si="60"/>
        <v>CO </v>
      </c>
      <c r="I224" s="1">
        <f t="shared" si="57"/>
        <v>80235</v>
      </c>
      <c r="J224" s="1">
        <f t="shared" si="62"/>
        <v>3039695588</v>
      </c>
      <c r="K224" s="1" t="s">
        <v>0</v>
      </c>
    </row>
    <row r="225" spans="1:11" ht="12.75">
      <c r="A225" s="1" t="s">
        <v>2</v>
      </c>
      <c r="B225" t="str">
        <f>T("NBC APPLICATION CLIENT TRNG BR")</f>
        <v>NBC APPLICATION CLIENT TRNG BR</v>
      </c>
      <c r="C225" t="str">
        <f t="shared" si="58"/>
        <v>7301 W MANSFIELD AVE</v>
      </c>
      <c r="D225" t="str">
        <f t="shared" si="61"/>
        <v>MS D2780</v>
      </c>
      <c r="E225" t="s">
        <v>0</v>
      </c>
      <c r="F225" t="s">
        <v>0</v>
      </c>
      <c r="G225" t="str">
        <f t="shared" si="59"/>
        <v>DENVER</v>
      </c>
      <c r="H225" t="str">
        <f t="shared" si="60"/>
        <v>CO </v>
      </c>
      <c r="I225" s="1">
        <f t="shared" si="57"/>
        <v>80235</v>
      </c>
      <c r="J225" s="1">
        <f t="shared" si="62"/>
        <v>3039695588</v>
      </c>
      <c r="K225" s="1" t="s">
        <v>0</v>
      </c>
    </row>
    <row r="226" spans="1:11" ht="12.75">
      <c r="A226" s="1" t="s">
        <v>2</v>
      </c>
      <c r="B226" t="str">
        <f>T("NBC GEN ACCOUNTING SEC A")</f>
        <v>NBC GEN ACCOUNTING SEC A</v>
      </c>
      <c r="C226" t="str">
        <f t="shared" si="58"/>
        <v>7301 W MANSFIELD AVE</v>
      </c>
      <c r="D226" t="str">
        <f t="shared" si="61"/>
        <v>MS D2780</v>
      </c>
      <c r="E226" t="s">
        <v>0</v>
      </c>
      <c r="F226" t="s">
        <v>0</v>
      </c>
      <c r="G226" t="str">
        <f t="shared" si="59"/>
        <v>DENVER</v>
      </c>
      <c r="H226" t="str">
        <f t="shared" si="60"/>
        <v>CO </v>
      </c>
      <c r="I226" s="1">
        <f t="shared" si="57"/>
        <v>80235</v>
      </c>
      <c r="J226" s="1">
        <f t="shared" si="62"/>
        <v>3039695588</v>
      </c>
      <c r="K226" s="1" t="s">
        <v>0</v>
      </c>
    </row>
    <row r="227" spans="1:11" ht="12.75">
      <c r="A227" s="1" t="s">
        <v>2</v>
      </c>
      <c r="B227" t="str">
        <f>T("NBC AUDIT LIASON OFFICE")</f>
        <v>NBC AUDIT LIASON OFFICE</v>
      </c>
      <c r="C227" t="str">
        <f t="shared" si="58"/>
        <v>7301 W MANSFIELD AVE</v>
      </c>
      <c r="D227" t="str">
        <f t="shared" si="61"/>
        <v>MS D2780</v>
      </c>
      <c r="E227" t="s">
        <v>0</v>
      </c>
      <c r="F227" t="s">
        <v>0</v>
      </c>
      <c r="G227" t="str">
        <f t="shared" si="59"/>
        <v>DENVER</v>
      </c>
      <c r="H227" t="str">
        <f t="shared" si="60"/>
        <v>CO </v>
      </c>
      <c r="I227" s="1">
        <f t="shared" si="57"/>
        <v>80235</v>
      </c>
      <c r="J227" s="1">
        <f t="shared" si="62"/>
        <v>3039695588</v>
      </c>
      <c r="K227" s="1" t="s">
        <v>0</v>
      </c>
    </row>
    <row r="228" spans="1:11" ht="12.75">
      <c r="A228" s="1" t="s">
        <v>2</v>
      </c>
      <c r="B228" t="str">
        <f>T("NBC AVIATION MGMT")</f>
        <v>NBC AVIATION MGMT</v>
      </c>
      <c r="C228" t="str">
        <f t="shared" si="58"/>
        <v>7301 W MANSFIELD AVE</v>
      </c>
      <c r="D228" t="str">
        <f t="shared" si="61"/>
        <v>MS D2780</v>
      </c>
      <c r="E228" t="s">
        <v>0</v>
      </c>
      <c r="F228" t="s">
        <v>0</v>
      </c>
      <c r="G228" t="str">
        <f t="shared" si="59"/>
        <v>DENVER</v>
      </c>
      <c r="H228" t="str">
        <f t="shared" si="60"/>
        <v>CO </v>
      </c>
      <c r="I228" s="1">
        <f t="shared" si="57"/>
        <v>80235</v>
      </c>
      <c r="J228" s="1">
        <f t="shared" si="62"/>
        <v>3039695588</v>
      </c>
      <c r="K228" s="1" t="s">
        <v>0</v>
      </c>
    </row>
    <row r="229" spans="1:11" ht="12.75">
      <c r="A229" s="1" t="s">
        <v>2</v>
      </c>
      <c r="B229" t="str">
        <f>T("NBC AVIATION MGMT ACCOUNT")</f>
        <v>NBC AVIATION MGMT ACCOUNT</v>
      </c>
      <c r="C229" t="str">
        <f t="shared" si="58"/>
        <v>7301 W MANSFIELD AVE</v>
      </c>
      <c r="D229" t="str">
        <f>T("MS D-2780")</f>
        <v>MS D-2780</v>
      </c>
      <c r="E229" t="s">
        <v>0</v>
      </c>
      <c r="F229" t="s">
        <v>0</v>
      </c>
      <c r="G229" t="str">
        <f t="shared" si="59"/>
        <v>DENVER</v>
      </c>
      <c r="H229" t="str">
        <f t="shared" si="60"/>
        <v>CO </v>
      </c>
      <c r="I229" s="1">
        <f t="shared" si="57"/>
        <v>80235</v>
      </c>
      <c r="J229" s="1">
        <f>N(3039697291)</f>
        <v>3039697291</v>
      </c>
      <c r="K229" s="1" t="s">
        <v>0</v>
      </c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2007-04-30T14:02:42Z</dcterms:created>
  <dcterms:modified xsi:type="dcterms:W3CDTF">2007-05-01T17:47:58Z</dcterms:modified>
  <cp:category/>
  <cp:version/>
  <cp:contentType/>
  <cp:contentStatus/>
</cp:coreProperties>
</file>