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25" yWindow="60" windowWidth="11910" windowHeight="8220" firstSheet="1" activeTab="1"/>
  </bookViews>
  <sheets>
    <sheet name="Instructions" sheetId="1" r:id="rId1"/>
    <sheet name="Main" sheetId="2" r:id="rId2"/>
    <sheet name="Score" sheetId="3" r:id="rId3"/>
    <sheet name="Concept" sheetId="4" state="hidden" r:id="rId4"/>
    <sheet name="Lists" sheetId="5" state="hidden" r:id="rId5"/>
    <sheet name="OutputCalcs" sheetId="6" state="hidden" r:id="rId6"/>
    <sheet name="Econ1" sheetId="7" state="hidden" r:id="rId7"/>
    <sheet name="Econ2" sheetId="8" state="hidden" r:id="rId8"/>
    <sheet name="Concept Results" sheetId="9" r:id="rId9"/>
  </sheets>
  <definedNames>
    <definedName name="Crit_Table">'Lists'!$E$2:$N$50</definedName>
    <definedName name="Crit_Table_Col1">'Lists'!$E$2:$E$50</definedName>
    <definedName name="Perc_Table">'Lists'!$A$2:$B$14</definedName>
    <definedName name="Perc_Table_Col1">'Lists'!$A$2:$A$14</definedName>
    <definedName name="_xlnm.Print_Area" localSheetId="8">'Concept Results'!$S$81:$AO$148</definedName>
    <definedName name="_xlnm.Print_Area" localSheetId="1">'Main'!$A$1:$G$41</definedName>
    <definedName name="_xlnm.Print_Area" localSheetId="2">'Score'!$A$1:$X$34</definedName>
  </definedNames>
  <calcPr fullCalcOnLoad="1"/>
</workbook>
</file>

<file path=xl/sharedStrings.xml><?xml version="1.0" encoding="utf-8"?>
<sst xmlns="http://schemas.openxmlformats.org/spreadsheetml/2006/main" count="448" uniqueCount="362">
  <si>
    <r>
      <t>10-15 m</t>
    </r>
    <r>
      <rPr>
        <vertAlign val="superscript"/>
        <sz val="10"/>
        <rFont val="Arial"/>
        <family val="0"/>
      </rPr>
      <t>3</t>
    </r>
    <r>
      <rPr>
        <sz val="10"/>
        <rFont val="Arial"/>
        <family val="0"/>
      </rPr>
      <t>/GWeYr</t>
    </r>
  </si>
  <si>
    <r>
      <t>5-10 m</t>
    </r>
    <r>
      <rPr>
        <vertAlign val="superscript"/>
        <sz val="10"/>
        <rFont val="Arial"/>
        <family val="0"/>
      </rPr>
      <t>3</t>
    </r>
    <r>
      <rPr>
        <sz val="10"/>
        <rFont val="Arial"/>
        <family val="0"/>
      </rPr>
      <t>/GWeYr</t>
    </r>
  </si>
  <si>
    <t>&gt;10 kW/GWeYr</t>
  </si>
  <si>
    <t>5-10 kW/GWeYr</t>
  </si>
  <si>
    <t>0.5-1 kW/GWeYr</t>
  </si>
  <si>
    <t>0.1-0.5 kW/GWeYr</t>
  </si>
  <si>
    <t>&gt;3,500 MSv/GWeYr</t>
  </si>
  <si>
    <t>2,500-3,500 MSv/GWeYr</t>
  </si>
  <si>
    <t>1,500-2,500 MSv/GWeYr</t>
  </si>
  <si>
    <t>500-1,500 MSv/GWeYr</t>
  </si>
  <si>
    <t>Release fraction comparable to Gen. III</t>
  </si>
  <si>
    <t>release fraction 10 X worse</t>
  </si>
  <si>
    <t>Release fraction 10 X better</t>
  </si>
  <si>
    <t>SR3-2: Robust mitigation</t>
  </si>
  <si>
    <t>Flat</t>
  </si>
  <si>
    <t>Distribution</t>
  </si>
  <si>
    <t>Y</t>
  </si>
  <si>
    <t>X</t>
  </si>
  <si>
    <t>Sum</t>
  </si>
  <si>
    <t>SUM</t>
  </si>
  <si>
    <t>C=</t>
  </si>
  <si>
    <t>&gt;$2000M</t>
  </si>
  <si>
    <t>&lt;$250M</t>
  </si>
  <si>
    <t>Score3</t>
  </si>
  <si>
    <t>Score4</t>
  </si>
  <si>
    <t>Score5</t>
  </si>
  <si>
    <t>Score6</t>
  </si>
  <si>
    <t>Score7</t>
  </si>
  <si>
    <t>Score8</t>
  </si>
  <si>
    <t>Score9</t>
  </si>
  <si>
    <t>Score10</t>
  </si>
  <si>
    <t>Score11</t>
  </si>
  <si>
    <t>Score12</t>
  </si>
  <si>
    <t>Score13</t>
  </si>
  <si>
    <t>Score14</t>
  </si>
  <si>
    <t>Score15</t>
  </si>
  <si>
    <t>Score16</t>
  </si>
  <si>
    <t>Score17</t>
  </si>
  <si>
    <t>Score18</t>
  </si>
  <si>
    <t>Score19</t>
  </si>
  <si>
    <t>Score20</t>
  </si>
  <si>
    <t>HEU, Pu, Np can be readily separated</t>
  </si>
  <si>
    <t>HEU, Pu, Np fuels in resistant matrices</t>
  </si>
  <si>
    <t>LEU fuels or intense radiation barriers</t>
  </si>
  <si>
    <t>DNLEU, Th fuels with additional barriers</t>
  </si>
  <si>
    <t>Low burnup fuels readily separated</t>
  </si>
  <si>
    <t>Peak on Peak</t>
  </si>
  <si>
    <t>Multiplier</t>
  </si>
  <si>
    <t>Peak1pick list</t>
  </si>
  <si>
    <t>Bipolar mult.</t>
  </si>
  <si>
    <t>$14-16/MWh</t>
  </si>
  <si>
    <t>Development Cost:</t>
  </si>
  <si>
    <t>Goal Rollup</t>
  </si>
  <si>
    <t>EC1-1: Overnight construction costs</t>
  </si>
  <si>
    <t>$1800-2000/kW</t>
  </si>
  <si>
    <t>$1600-1800/kW</t>
  </si>
  <si>
    <t>&lt;$1000/kW</t>
  </si>
  <si>
    <t>$1000-1200/kW</t>
  </si>
  <si>
    <t>$18-20/MWh</t>
  </si>
  <si>
    <t>$16-18/MWh</t>
  </si>
  <si>
    <t>$10-12/MWh</t>
  </si>
  <si>
    <t>Safety &amp; Reliability:</t>
  </si>
  <si>
    <t>Economics:</t>
  </si>
  <si>
    <t>Mean</t>
  </si>
  <si>
    <t>Cumulative function</t>
  </si>
  <si>
    <t>Find where profile exceeds percentile</t>
  </si>
  <si>
    <t>Level 2 Goal summary data</t>
  </si>
  <si>
    <t>Metric6</t>
  </si>
  <si>
    <t>Metric7</t>
  </si>
  <si>
    <t>Saved?:</t>
  </si>
  <si>
    <r>
      <t>&gt;100 m</t>
    </r>
    <r>
      <rPr>
        <vertAlign val="superscript"/>
        <sz val="10"/>
        <rFont val="Arial"/>
        <family val="0"/>
      </rPr>
      <t>3</t>
    </r>
    <r>
      <rPr>
        <sz val="10"/>
        <rFont val="Arial"/>
        <family val="0"/>
      </rPr>
      <t>/GWeYr</t>
    </r>
  </si>
  <si>
    <r>
      <t>15-20 m</t>
    </r>
    <r>
      <rPr>
        <vertAlign val="superscript"/>
        <sz val="10"/>
        <rFont val="Arial"/>
        <family val="0"/>
      </rPr>
      <t>3</t>
    </r>
    <r>
      <rPr>
        <sz val="10"/>
        <rFont val="Arial"/>
        <family val="0"/>
      </rPr>
      <t>/GWeYr</t>
    </r>
  </si>
  <si>
    <t>Design features preclude core damage</t>
  </si>
  <si>
    <t>Complex decay heat removal system</t>
  </si>
  <si>
    <t>Comparable decay heat removal system</t>
  </si>
  <si>
    <t>&gt;300 MT U feed/Gwyr</t>
  </si>
  <si>
    <t>10-100 MT U feed/Gwyr</t>
  </si>
  <si>
    <t>&lt;10 MT U feed/Gwyr</t>
  </si>
  <si>
    <t>&lt;0.1 kW/GWeYr</t>
  </si>
  <si>
    <r>
      <t>&lt;5 m</t>
    </r>
    <r>
      <rPr>
        <vertAlign val="superscript"/>
        <sz val="10"/>
        <rFont val="Arial"/>
        <family val="0"/>
      </rPr>
      <t>3</t>
    </r>
    <r>
      <rPr>
        <sz val="10"/>
        <rFont val="Arial"/>
        <family val="0"/>
      </rPr>
      <t>/GWeYr</t>
    </r>
  </si>
  <si>
    <t>1-3 kW/GWeYr</t>
  </si>
  <si>
    <t>Comments</t>
  </si>
  <si>
    <t>$1000-2000M</t>
  </si>
  <si>
    <t>Scored?</t>
  </si>
  <si>
    <t>Complete:</t>
  </si>
  <si>
    <t>Ave</t>
  </si>
  <si>
    <t>Metric3</t>
  </si>
  <si>
    <t>Metric4</t>
  </si>
  <si>
    <t>Metric5</t>
  </si>
  <si>
    <t>Percentile Pick list</t>
  </si>
  <si>
    <t>Criterion</t>
  </si>
  <si>
    <t>Critierion Number</t>
  </si>
  <si>
    <t>Related Goal</t>
  </si>
  <si>
    <t>Weight</t>
  </si>
  <si>
    <t># to Complete</t>
  </si>
  <si>
    <t>Goals</t>
  </si>
  <si>
    <t>Completion Info</t>
  </si>
  <si>
    <t>Calc C value:</t>
  </si>
  <si>
    <t>Number</t>
  </si>
  <si>
    <t>EC2-1: Construction Duration</t>
  </si>
  <si>
    <t>$550-1000M</t>
  </si>
  <si>
    <t>$450-550M</t>
  </si>
  <si>
    <t>$350-450M</t>
  </si>
  <si>
    <t>$250-350M</t>
  </si>
  <si>
    <t>SR1-2: Worker safety-routine exposures</t>
  </si>
  <si>
    <t>Triangular Cumulative Dist Function</t>
  </si>
  <si>
    <t>Max:</t>
  </si>
  <si>
    <t>MEAN</t>
  </si>
  <si>
    <t>SR2-1: Robust safety features</t>
  </si>
  <si>
    <t>Low burnup fuels</t>
  </si>
  <si>
    <t>B=</t>
  </si>
  <si>
    <t>Trianglular</t>
  </si>
  <si>
    <t>A=</t>
  </si>
  <si>
    <t>Peak:</t>
  </si>
  <si>
    <t>CDF</t>
  </si>
  <si>
    <t>Peak1</t>
  </si>
  <si>
    <t>Peak2</t>
  </si>
  <si>
    <t>Peak 1</t>
  </si>
  <si>
    <t>Peak 2</t>
  </si>
  <si>
    <t>CDF Peak 1</t>
  </si>
  <si>
    <t>CDF Peak 2</t>
  </si>
  <si>
    <t>100-500 MSv/GWeYr</t>
  </si>
  <si>
    <t>20-100 MSv/GWeYr</t>
  </si>
  <si>
    <t>&lt;20 MSv/GWeYr</t>
  </si>
  <si>
    <t>Equivalent
=</t>
  </si>
  <si>
    <t>- -</t>
  </si>
  <si>
    <t>-</t>
  </si>
  <si>
    <t>+</t>
  </si>
  <si>
    <t>+ +</t>
  </si>
  <si>
    <t>SCALE TEXT</t>
  </si>
  <si>
    <t>Calc Flag</t>
  </si>
  <si>
    <t>&lt;$10/MWh</t>
  </si>
  <si>
    <t>Level 3 Criteria data</t>
  </si>
  <si>
    <t>SR2-2: Models with well-characterized uncertainty</t>
  </si>
  <si>
    <t>Significant increased risk of exposure</t>
  </si>
  <si>
    <t>Greater accidental exposure risks</t>
  </si>
  <si>
    <t>ECS using AC power &amp; external water</t>
  </si>
  <si>
    <t>Passive systems w/ external activation</t>
  </si>
  <si>
    <t>&gt;$2000/kW</t>
  </si>
  <si>
    <t>&gt;$20/MWh</t>
  </si>
  <si>
    <t>Data List</t>
  </si>
  <si>
    <t>Goal</t>
  </si>
  <si>
    <t>2 X greater energy release mechanisms</t>
  </si>
  <si>
    <t>250-300 MT U feed/Gwyr</t>
  </si>
  <si>
    <t>200-250 MT U feed/Gwyr</t>
  </si>
  <si>
    <t>150-200 MT U feed/Gwyr</t>
  </si>
  <si>
    <t>SR3-1: Mechanisms for energy release</t>
  </si>
  <si>
    <t>SU2-2: Environmental impact</t>
  </si>
  <si>
    <t>20-40 MT/GWeYr</t>
  </si>
  <si>
    <t>$12-14/MWh</t>
  </si>
  <si>
    <t>Current Crit.</t>
  </si>
  <si>
    <t>Sustainability:</t>
  </si>
  <si>
    <t>Criteria Info:</t>
  </si>
  <si>
    <t>MAX</t>
  </si>
  <si>
    <t>Metric2</t>
  </si>
  <si>
    <t>SU1-1: Fuel Utilization</t>
  </si>
  <si>
    <t>SU2-1: Waste minimization</t>
  </si>
  <si>
    <t>Justification</t>
  </si>
  <si>
    <t>Justification:</t>
  </si>
  <si>
    <t>EC1-2: Production Costs</t>
  </si>
  <si>
    <t>Peak1Mult</t>
  </si>
  <si>
    <t>Score1</t>
  </si>
  <si>
    <t>Score2</t>
  </si>
  <si>
    <t>SR1-1: Reliability</t>
  </si>
  <si>
    <t>&gt; 5 increase of forced outage rates</t>
  </si>
  <si>
    <t>Force outage rate reduced by factor of 5</t>
  </si>
  <si>
    <t>Forced outage rates unchanged</t>
  </si>
  <si>
    <t>Rates unchanged, defense improved</t>
  </si>
  <si>
    <t>5 times increase of forced outage rates</t>
  </si>
  <si>
    <t>Significant reductions in routine exposure</t>
  </si>
  <si>
    <t>Significant reductions in accidental exposure</t>
  </si>
  <si>
    <t>Positive temperature or reactivity coefficient</t>
  </si>
  <si>
    <t>Negative temperature and reactivity coefficients</t>
  </si>
  <si>
    <t># of Flats</t>
  </si>
  <si>
    <t># of Triangles</t>
  </si>
  <si>
    <t># of bipolar</t>
  </si>
  <si>
    <t>Triangle</t>
  </si>
  <si>
    <t>Bipolar</t>
  </si>
  <si>
    <t>Locations Used</t>
  </si>
  <si>
    <t>Widths</t>
  </si>
  <si>
    <t>Widths used</t>
  </si>
  <si>
    <t>3-5 kW/GWeYr</t>
  </si>
  <si>
    <t>Decay heat removal uses no AC power</t>
  </si>
  <si>
    <t>Decay heat removal has no moving parts</t>
  </si>
  <si>
    <t>Phenomena treated with bounding analysis</t>
  </si>
  <si>
    <t>Phenomena studies scaled or extrapolated</t>
  </si>
  <si>
    <t>Phenomena studies in full-scale &amp; full range</t>
  </si>
  <si>
    <t>Fuel has shorter thermal time inertia</t>
  </si>
  <si>
    <t>Comparable fuel/coolant thermal inertias</t>
  </si>
  <si>
    <t>much longer fuel/coolant thermal inertias</t>
  </si>
  <si>
    <t>Significant distortions in integral testing</t>
  </si>
  <si>
    <t>Integral testing at prototypical scale</t>
  </si>
  <si>
    <t>Integral testing at reduced scale</t>
  </si>
  <si>
    <t>Continuous safety systems &amp; monitoring</t>
  </si>
  <si>
    <t>Much higher bounding fractional release</t>
  </si>
  <si>
    <t>Similar bounding fractional release</t>
  </si>
  <si>
    <t>10 X less bounding fractional release</t>
  </si>
  <si>
    <t>Similar energy release mechanisms</t>
  </si>
  <si>
    <t>2 X fewer energy release mechanisms</t>
  </si>
  <si>
    <t>Core damage directly after event</t>
  </si>
  <si>
    <t>Core damage delayed 1 hr after event</t>
  </si>
  <si>
    <t>Damage delayed 24 hrs after event</t>
  </si>
  <si>
    <t>15-20 MT/GWeYr</t>
  </si>
  <si>
    <t>&lt;5 MT/GWeYr</t>
  </si>
  <si>
    <t>Comments:</t>
  </si>
  <si>
    <t>Triangular peak</t>
  </si>
  <si>
    <t>CB1</t>
  </si>
  <si>
    <t>CB2</t>
  </si>
  <si>
    <t>CB3</t>
  </si>
  <si>
    <t>CB4</t>
  </si>
  <si>
    <t>CB5</t>
  </si>
  <si>
    <t>CB6</t>
  </si>
  <si>
    <t>CB7</t>
  </si>
  <si>
    <t>Metric1</t>
  </si>
  <si>
    <t>Score21</t>
  </si>
  <si>
    <t>Percentile</t>
  </si>
  <si>
    <t>SR3-1: Source Term</t>
  </si>
  <si>
    <t>&gt;75 Months</t>
  </si>
  <si>
    <t>65-75 Months</t>
  </si>
  <si>
    <t>55-65 Months</t>
  </si>
  <si>
    <t>45-55 Months</t>
  </si>
  <si>
    <t>35-45 Months</t>
  </si>
  <si>
    <t>25-35 Months</t>
  </si>
  <si>
    <t>&lt;25 Months</t>
  </si>
  <si>
    <t>Substantially easier physical access</t>
  </si>
  <si>
    <t>Somewhat easier physical access</t>
  </si>
  <si>
    <t>Passive safety systems w/o activation</t>
  </si>
  <si>
    <t>$1400-1600/kW</t>
  </si>
  <si>
    <t>$1200-1400/kW</t>
  </si>
  <si>
    <t>100-150 MT U feed/Gwyr</t>
  </si>
  <si>
    <t>&gt;80 MT/GWeYr</t>
  </si>
  <si>
    <t>40-80 MT/GWeYr</t>
  </si>
  <si>
    <t>5-10 MT/GWeYr</t>
  </si>
  <si>
    <t>10-15 MT/GWeYr</t>
  </si>
  <si>
    <r>
      <t>50-100 m</t>
    </r>
    <r>
      <rPr>
        <vertAlign val="superscript"/>
        <sz val="10"/>
        <rFont val="Arial"/>
        <family val="0"/>
      </rPr>
      <t>3</t>
    </r>
    <r>
      <rPr>
        <sz val="10"/>
        <rFont val="Arial"/>
        <family val="0"/>
      </rPr>
      <t>/GWeYr</t>
    </r>
  </si>
  <si>
    <r>
      <t>20-50 m</t>
    </r>
    <r>
      <rPr>
        <vertAlign val="superscript"/>
        <sz val="10"/>
        <rFont val="Arial"/>
        <family val="0"/>
      </rPr>
      <t>3</t>
    </r>
    <r>
      <rPr>
        <sz val="10"/>
        <rFont val="Arial"/>
        <family val="0"/>
      </rPr>
      <t>/GWeYr</t>
    </r>
  </si>
  <si>
    <t>MWe</t>
  </si>
  <si>
    <t>Plant Common Costs</t>
  </si>
  <si>
    <t>Discount Rate</t>
  </si>
  <si>
    <t>Lifetime Cap. Factor</t>
  </si>
  <si>
    <t>Average Const. Dur.</t>
  </si>
  <si>
    <t>months</t>
  </si>
  <si>
    <t>Plant Life</t>
  </si>
  <si>
    <t>years</t>
  </si>
  <si>
    <t>Nuclear Decon RoR</t>
  </si>
  <si>
    <t>Cap. Additions</t>
  </si>
  <si>
    <t>$/MWh</t>
  </si>
  <si>
    <t>$M</t>
  </si>
  <si>
    <t>r1</t>
  </si>
  <si>
    <t>c</t>
  </si>
  <si>
    <t>Plant size</t>
  </si>
  <si>
    <t>Unit Size</t>
  </si>
  <si>
    <t>s</t>
  </si>
  <si>
    <t>u</t>
  </si>
  <si>
    <t>Upper Value</t>
  </si>
  <si>
    <t>Lower Value</t>
  </si>
  <si>
    <t>Constr. Dur.</t>
  </si>
  <si>
    <t>R&amp;D Costs</t>
  </si>
  <si>
    <t>Development Costs</t>
  </si>
  <si>
    <t>Metric 3: Volume of waste</t>
  </si>
  <si>
    <t>Metric 4: Long-term heat output</t>
  </si>
  <si>
    <t>Metric 5: Long-Term Radiotoxicity</t>
  </si>
  <si>
    <t>Metric 6: Environmental Impact</t>
  </si>
  <si>
    <t>Metric 7: Separated Materials</t>
  </si>
  <si>
    <t>Metric 8: Spent fuel characteristics</t>
  </si>
  <si>
    <t>Metric 9: Sabotage resistance</t>
  </si>
  <si>
    <t>Metric 10: Reliability</t>
  </si>
  <si>
    <t>Metric 11: Worker safety-routine exposures</t>
  </si>
  <si>
    <t>Metric 13: Reliable reactivity control</t>
  </si>
  <si>
    <t>Metric 14: Reliable heat removal</t>
  </si>
  <si>
    <t>Metric 15: Dominant phenomena have low uncertainty</t>
  </si>
  <si>
    <t>Metric 16: Long fuel thermal response time</t>
  </si>
  <si>
    <t>Metric 17: Integral experiments scalability</t>
  </si>
  <si>
    <t>Metric 18: Source Term</t>
  </si>
  <si>
    <t>Metric 19: Mechanisms for energy release</t>
  </si>
  <si>
    <t>Metric 20: Long system time constants</t>
  </si>
  <si>
    <t>Metric 21: Long and effective holdup</t>
  </si>
  <si>
    <t>Metric 22: Overnight construction costs</t>
  </si>
  <si>
    <t>Metric 23: Production Costs</t>
  </si>
  <si>
    <t>Metric 24: Construction Duration</t>
  </si>
  <si>
    <t>Metric 25: Development costs</t>
  </si>
  <si>
    <t>Metric 1: Fuel Utilization</t>
  </si>
  <si>
    <t>Metric 2: Mass of waste</t>
  </si>
  <si>
    <t>$550-650M</t>
  </si>
  <si>
    <t>$650-750M</t>
  </si>
  <si>
    <t>&gt;$750M</t>
  </si>
  <si>
    <t>7&amp;8</t>
  </si>
  <si>
    <t>R&amp;D Cost:</t>
  </si>
  <si>
    <t>IDCmult</t>
  </si>
  <si>
    <t>r1=</t>
  </si>
  <si>
    <t>Metric 26: R&amp;D Costs</t>
  </si>
  <si>
    <t>Ov. Constr.$</t>
  </si>
  <si>
    <t>s=</t>
  </si>
  <si>
    <t>u=</t>
  </si>
  <si>
    <t>c=</t>
  </si>
  <si>
    <t>Unit nth</t>
  </si>
  <si>
    <t>Unit 1st</t>
  </si>
  <si>
    <t>Upper</t>
  </si>
  <si>
    <t>Lower</t>
  </si>
  <si>
    <t>value</t>
  </si>
  <si>
    <t>upper</t>
  </si>
  <si>
    <t>lower</t>
  </si>
  <si>
    <t>cfr=</t>
  </si>
  <si>
    <t>tl</t>
  </si>
  <si>
    <t>tl=</t>
  </si>
  <si>
    <t>a</t>
  </si>
  <si>
    <t>a=</t>
  </si>
  <si>
    <t>Prod. $</t>
  </si>
  <si>
    <t>r2</t>
  </si>
  <si>
    <t>r2=</t>
  </si>
  <si>
    <t>r2 term=</t>
  </si>
  <si>
    <t>f</t>
  </si>
  <si>
    <t>f=</t>
  </si>
  <si>
    <t>Cap&amp;Decom 1</t>
  </si>
  <si>
    <t>Cap&amp;Decom 2</t>
  </si>
  <si>
    <t>version3.0</t>
  </si>
  <si>
    <t>Total Plant Size</t>
  </si>
  <si>
    <t>Number of Units</t>
  </si>
  <si>
    <t>Nonproliferation:</t>
  </si>
  <si>
    <t>Version 3.0</t>
  </si>
  <si>
    <t>Long-lived integrated core, no fuel storage</t>
  </si>
  <si>
    <t>Irradiation levels &gt;50,000 MWd/MTHM</t>
  </si>
  <si>
    <t>PR&amp;PP-2: Sabotage Resistance</t>
  </si>
  <si>
    <t>PR&amp;PP-1: Diversion Resistance</t>
  </si>
  <si>
    <t>Metric 12: Worker/public safety - accidents</t>
  </si>
  <si>
    <t>SR1-3: Worker/public safety - accidents</t>
  </si>
  <si>
    <t>Routine exposure risk similar to reference</t>
  </si>
  <si>
    <t>Accidental exposure risk similar to reference</t>
  </si>
  <si>
    <t>The Track A cycle system is better than the reference once-through system because of avoiding the environmental impacts from the mining and depleted uranium.</t>
  </si>
  <si>
    <t>JNC think that there have been no established methodologies for evaluating the proliferation resistance of nuclear fuel cycles at present, so  it is better to evaluate the proliferation resistance in a qualitative and relative manner.</t>
  </si>
  <si>
    <t>A highly automated control system can be designed due to the inherent features of the design (passive decay heat removal, passive accommodation of ATWS events).</t>
  </si>
  <si>
    <t>Passive decay heat removal systems are adopted.</t>
  </si>
  <si>
    <t>The high boiling point of sodium is thought to make the transient behavior prediction of the coolant very simple, perhaps reducing the importance of full-scale experiments.</t>
  </si>
  <si>
    <t>All LMR design options inherently preclude uncovering the core and all options have high thermal inertia.</t>
  </si>
  <si>
    <t>Based on the prototypical test and related analyses, the safety behavior can be forseen.  Some safety systems function continuously during normal operation and continuous monitoring of dominant safety-related parameters (power, flow, temperatures) can be provided.</t>
  </si>
  <si>
    <t xml:space="preserve">The MOX-fueled, sodium-cooled concepts in Track A provide unique features that make core damage an extremely remote possibility, and which provide for long and effective holdup of any radioactive material released.  Core damage accidents are essentially precluded by: 1) a reactor core that uses a passive shutdown system to tolerate anticipated transients without scram (ATWS) without fuel failure, and 2) passive decay heat removal systems that rely on natural convection.  Holdup of radioactive material is promoted by: 1) a 10-meter deep sodium pool on top of the core with helium cover gas at atmospheric pressure during full power operation, and 2) a reactor vessel that can contain a whole molten core.  Thus, in-vessel retention provides for holdup of all releases before the materials reach the containment. </t>
  </si>
  <si>
    <t>The short construction duration estimate of the representative plant (M4) of track A is 46 months.</t>
  </si>
  <si>
    <t>Track A/Mox Fueled, Na cooled Fast Reactor Concept Group(M4,M6,M22,M30)</t>
  </si>
  <si>
    <t>Complete</t>
  </si>
  <si>
    <t>The efficiency of fuel utilization for FBR with multi-recycle system, which is characterized by high burnup performance, is generally estimated at around 1 MTU feed/GW-yr, as shown in the above justification. This is an outstanding feature, and should be distinguished from that of any other concept. It is highly recommended that the uppermost rank be modified to &lt; 1 MTU feed/GW-yr which is suitable for a threshold of the rank.</t>
  </si>
  <si>
    <t>The resource utilization for all closed-cycle fast reactor systems, where the breeding ratio is over 1, is approximately 0.9 MTU per GWe-yr.</t>
  </si>
  <si>
    <t>The HLW left behind after TRU and uranium have been separated from spent fuel is mixed with molten raw glass to form a vitrified solid.  And, if it is feasible to separate cesium and strontium, the mass of HLW is much reduced from that of the reference (9.6 MT/GWe-yr).  The estimate of waste mass from the Track A cycle system is approximately 3 to 10 MT/GWe-yr .</t>
  </si>
  <si>
    <t xml:space="preserve">If the evaluation is based on heavy metal in fuel only, the resulting mass will be much less than 5 MT/GWe-yr . </t>
  </si>
  <si>
    <t>The HLW  left behind after TRU and uranium have been separated from spent fuel is mixed with molten raw glass to form a vitrified solid. And, if it is feasible to separate cesium and strontium, the volume of HLW is much less than that of the reference.  The estimate of waste volume from the Track A cycle system is approximately &lt;4 m3/GWe-yr.</t>
  </si>
  <si>
    <t>JNC thinks that the weighting factors for the mass and volume of HLW are too large, compared with other metrics' weighting factors.</t>
  </si>
  <si>
    <t xml:space="preserve">The long-term heat output (500 years after reprocessing) is less than 0.1 kW/GWe-yr. The reason is the assumed 99.9% recycle of all actinides. </t>
  </si>
  <si>
    <t xml:space="preserve">The long-term radiotoxicity (500 years after reprocessing) is approximately &lt;20 MSv/Gwe-yr.  The reason is 99.9% recycle of actinides. </t>
  </si>
  <si>
    <t>A high radiation barrier exists because of including most MAs and some FPs by adopting low DF reprocessing.</t>
  </si>
  <si>
    <t>Burnups will be about 150,000 MWd/MTHM in the core region.  The average burnups in the core with radial-blankets and the core without radial-blankets will be about 60,000 MWd/MTHM and over 60,000 MWd/MTHM, respectively.  The core without radial blankets is included in the integrated core cited here.</t>
  </si>
  <si>
    <t xml:space="preserve">Any system that is rated higher in reliability than today's fleet will need explicit justification.  The TWG believes that mature track A systems have the potential to be highly reliable and achieve forced outage rates as low as ALWRs.  The passive safety characteristics of the track A systems offer improved lines of defense. </t>
  </si>
  <si>
    <t>The TWG recognizes that a chemical hazard from accidents associated with sodium and inert gases exists in these systems, but routine exposure from these hazards has not been an issue in the plants operated to date.  More importantly, a potential exists for reductions in routine radiological exposure to plant personnel.  Routine exposures are likely to be lower in fast reactor plants due to greater confinement and lesser degree of activated corrosion products.  This is supported by the sparse data available.  Other credible reasons for lower expected exposures include the low-pressure primary heat transport system (PHTS) boundary, the reactor remaining sealed during refueling, and the remote ISI of coolant pumps.</t>
  </si>
  <si>
    <t>The TWG uses the lower tail on the triangular distribution here to recognize that there is a potential accident hazard to personnel related to the presence of sodium and inert gases.  More importantly, the TWG believes that radiological exposure from accidents is reduced in these systems, notwithstanding sodium-24 activation of the primary coolant, due to unpressurized primary and secondary heat transport systems and due to double vessel and guard-piping throughout.</t>
  </si>
  <si>
    <t xml:space="preserve">Power and temperature coefficients are inherently negative.  Sodium void reactivity can be locally positive, but is overcome by the overall power coefficient.  Cores are designed for small burnup reactivity loss, so that rod removal reactivity can be overcome by inherent negative feedbacks.  Core damage is precluded by passive design features and/or inherent characteristics which assure the ability of the reactor to accommodate ATWS events.  All ATWS events, in fact, are passively terminated without voiding or core damage.  For example, in JSFR, if the reactor protection system fails to call for a scram then a Curie point magnetic latch will release three secondary rods as temperature increases.  Thus the shutdown system has a high degree of redundancy and diversity, a feature of all Track A designs. </t>
  </si>
  <si>
    <t xml:space="preserve">According to the current table, the description for "Similar to reference" and the later half of the description for "Better than reference" are very similar but a bit different.  That seems to be unreasonable. From the standpoint of Reliable Reactivity Control, the requirement for "Better than reference" should include both preclusion of core damage and the requirement for "Similar to reference". 
JNC recommends the metrics below.
Better than reference:
Inherent design features preclude core damage from reactivity insertion due to inadvertent movement of multiple reactivity control elements, and the metric for "Similar to reference" is satisfied.
Similar to reference:
Power, temperature and void coefficients are inherently negative, or inherently have no safety-related effects, during normal and anticipated transients and all modes of operation.
Worse than reference:
Positive temperature or void reactivity coefficient can exist under some operating modes, and less than two independent and diverse mechanisms are provided for reactivity shutdown. </t>
  </si>
  <si>
    <t>The low operating pressure of the primary coolant along with the use of a guard vessel prevents loss of coolant type accidents and acts to reduce the size of the source term.  In addition, the oxide-fueled LMR core with features designed to prevent recriticality will have benign severe accident energetics.  This behavior inhibits aerosol forming mechanisms and reduces the release of fission products from the fuel and the primary sodium coolant.  The core is covered by a 10 meter tall pool of sodium which reduces the release of radio-isotopes (U-Pu, other actinides, alkaline earths, mostly insolubles, mostly soluble non-volatiles in Na, rare earths, noble metals) significantly because of both dilution and reduced diffusion and transport through the Na pool.  In-vessel retention of core debris will confine all FPs except for gases.</t>
  </si>
  <si>
    <t xml:space="preserve">Core design of track A system is such that significant mechanical energy release never occurs, even during severe accidents. </t>
  </si>
  <si>
    <t xml:space="preserve">In the LMR design, we have not been able to identify an initiating event that would lead to fuel damage in the normal design basis range, or even in what has previously been considered in the beyond-design-basis (BDB) category; that includes the accommodation of ATWS events.  </t>
  </si>
  <si>
    <t xml:space="preserve">The total operating cost of the representative plant (M4) is around $12-15/MWh. </t>
  </si>
  <si>
    <t>The overnight construction cost estimate of the representative plant (M4) of Track A is $880-990/kWe.  Other already developed concepts (e.g. RNR1500) are in the range of similar to reference.</t>
  </si>
  <si>
    <t xml:space="preserve">The estimate of development costs of the representative plant (M4) is distributed in the third block, at most $960M.  And the development cost reduction is established by using conventional technologies and materials such as 9 Cr.  On the other hand, already developed concepts, e.g. RNR-1500, are in the fourth block, similar to reference. </t>
  </si>
  <si>
    <t xml:space="preserve">Estimated total R&amp;D costs of $610M.
   Fuels and materials:  $160M
   Reactor systems:  $140M
   Balance of plant:  $50M
   Safety:  $160M
   Design and evaluation:  $100M
</t>
  </si>
  <si>
    <t>This is a large (1500 MWe) sodium-cooled fast reactor with a closed fuel cycle.  It uses mixed oxide fuel and an advanced aqueous recycling process.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</si>
</sst>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0.0000000"/>
    <numFmt numFmtId="170" formatCode="0.00000000"/>
    <numFmt numFmtId="171" formatCode="0.000000000"/>
    <numFmt numFmtId="172" formatCode="0.0000000000"/>
    <numFmt numFmtId="173" formatCode="0.00000000000"/>
    <numFmt numFmtId="174" formatCode="0.000000000000"/>
    <numFmt numFmtId="175" formatCode="0.0000000000000"/>
    <numFmt numFmtId="176" formatCode="#,##0.000000000"/>
    <numFmt numFmtId="177" formatCode="#,##0.0"/>
    <numFmt numFmtId="178" formatCode="#,##0.000"/>
  </numFmts>
  <fonts count="43">
    <font>
      <sz val="10"/>
      <name val="Arial"/>
      <family val="0"/>
    </font>
    <font>
      <b/>
      <sz val="10"/>
      <name val="Arial"/>
      <family val="0"/>
    </font>
    <font>
      <i/>
      <sz val="10"/>
      <name val="Arial"/>
      <family val="0"/>
    </font>
    <font>
      <b/>
      <i/>
      <sz val="10"/>
      <name val="Arial"/>
      <family val="0"/>
    </font>
    <font>
      <sz val="10"/>
      <name val="Geneva"/>
      <family val="0"/>
    </font>
    <font>
      <u val="single"/>
      <sz val="10"/>
      <color indexed="12"/>
      <name val="Arial"/>
      <family val="0"/>
    </font>
    <font>
      <u val="single"/>
      <sz val="10"/>
      <color indexed="36"/>
      <name val="Arial"/>
      <family val="0"/>
    </font>
    <font>
      <sz val="9"/>
      <name val="Arial"/>
      <family val="0"/>
    </font>
    <font>
      <sz val="8"/>
      <name val="Arial"/>
      <family val="0"/>
    </font>
    <font>
      <sz val="8"/>
      <name val="Tahoma"/>
      <family val="2"/>
    </font>
    <font>
      <b/>
      <sz val="11"/>
      <name val="Arial"/>
      <family val="0"/>
    </font>
    <font>
      <b/>
      <sz val="14"/>
      <color indexed="9"/>
      <name val="Arial"/>
      <family val="0"/>
    </font>
    <font>
      <b/>
      <sz val="9"/>
      <name val="Arial"/>
      <family val="2"/>
    </font>
    <font>
      <sz val="12"/>
      <name val="Arial"/>
      <family val="2"/>
    </font>
    <font>
      <vertAlign val="superscript"/>
      <sz val="10"/>
      <name val="Arial"/>
      <family val="0"/>
    </font>
    <font>
      <b/>
      <sz val="8"/>
      <name val="Arial"/>
      <family val="0"/>
    </font>
    <font>
      <sz val="3.75"/>
      <name val="Arial"/>
      <family val="0"/>
    </font>
    <font>
      <sz val="5.5"/>
      <name val="Arial"/>
      <family val="2"/>
    </font>
    <font>
      <b/>
      <sz val="9.25"/>
      <name val="Arial"/>
      <family val="2"/>
    </font>
    <font>
      <sz val="12"/>
      <name val="Gadget"/>
      <family val="0"/>
    </font>
    <font>
      <b/>
      <sz val="12"/>
      <color indexed="18"/>
      <name val="Arial"/>
      <family val="0"/>
    </font>
    <font>
      <b/>
      <sz val="9"/>
      <color indexed="18"/>
      <name val="Arial"/>
      <family val="0"/>
    </font>
    <font>
      <b/>
      <sz val="10"/>
      <color indexed="12"/>
      <name val="Arial"/>
      <family val="0"/>
    </font>
    <font>
      <sz val="10"/>
      <color indexed="9"/>
      <name val="Arial"/>
      <family val="2"/>
    </font>
    <font>
      <b/>
      <sz val="10"/>
      <color indexed="10"/>
      <name val="Arial"/>
      <family val="2"/>
    </font>
    <font>
      <b/>
      <sz val="11"/>
      <color indexed="10"/>
      <name val="Arial"/>
      <family val="2"/>
    </font>
    <font>
      <b/>
      <sz val="12"/>
      <color indexed="9"/>
      <name val="Arial"/>
      <family val="0"/>
    </font>
    <font>
      <sz val="9"/>
      <name val="Courier"/>
      <family val="0"/>
    </font>
    <font>
      <b/>
      <sz val="9"/>
      <name val="Courier"/>
      <family val="0"/>
    </font>
    <font>
      <b/>
      <sz val="10"/>
      <color indexed="18"/>
      <name val="Arial"/>
      <family val="0"/>
    </font>
    <font>
      <b/>
      <sz val="10"/>
      <color indexed="17"/>
      <name val="Arial"/>
      <family val="0"/>
    </font>
    <font>
      <b/>
      <sz val="12"/>
      <color indexed="10"/>
      <name val="Arial"/>
      <family val="0"/>
    </font>
    <font>
      <b/>
      <sz val="10"/>
      <color indexed="21"/>
      <name val="Arial"/>
      <family val="0"/>
    </font>
    <font>
      <sz val="10"/>
      <color indexed="18"/>
      <name val="Arial"/>
      <family val="0"/>
    </font>
    <font>
      <sz val="10"/>
      <color indexed="10"/>
      <name val="Arial"/>
      <family val="0"/>
    </font>
    <font>
      <sz val="10"/>
      <color indexed="17"/>
      <name val="Arial"/>
      <family val="0"/>
    </font>
    <font>
      <sz val="10"/>
      <color indexed="21"/>
      <name val="Arial"/>
      <family val="0"/>
    </font>
    <font>
      <b/>
      <sz val="12"/>
      <name val="Arial"/>
      <family val="0"/>
    </font>
    <font>
      <b/>
      <sz val="8"/>
      <color indexed="12"/>
      <name val="Arial"/>
      <family val="2"/>
    </font>
    <font>
      <b/>
      <sz val="11"/>
      <color indexed="18"/>
      <name val="Arial"/>
      <family val="2"/>
    </font>
    <font>
      <sz val="11"/>
      <name val="Arial"/>
      <family val="2"/>
    </font>
    <font>
      <sz val="7"/>
      <name val="Arial"/>
      <family val="2"/>
    </font>
    <font>
      <b/>
      <sz val="10"/>
      <color indexed="53"/>
      <name val="Arial"/>
      <family val="2"/>
    </font>
  </fonts>
  <fills count="7">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s>
  <borders count="33">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7" fillId="0" borderId="0" xfId="0"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right"/>
      <protection locked="0"/>
    </xf>
    <xf numFmtId="0" fontId="0" fillId="0" borderId="0" xfId="0" applyAlignment="1" applyProtection="1">
      <alignment horizontal="left"/>
      <protection locked="0"/>
    </xf>
    <xf numFmtId="164" fontId="7" fillId="0" borderId="0" xfId="0" applyNumberFormat="1" applyFont="1" applyAlignment="1" applyProtection="1">
      <alignment/>
      <protection locked="0"/>
    </xf>
    <xf numFmtId="164" fontId="0" fillId="0" borderId="0" xfId="0" applyNumberFormat="1" applyAlignment="1" applyProtection="1">
      <alignment/>
      <protection locked="0"/>
    </xf>
    <xf numFmtId="0" fontId="0" fillId="0" borderId="1" xfId="0" applyBorder="1" applyAlignment="1" applyProtection="1">
      <alignment/>
      <protection locked="0"/>
    </xf>
    <xf numFmtId="164" fontId="8" fillId="0" borderId="0" xfId="0" applyNumberFormat="1"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0" fillId="0" borderId="0" xfId="0" applyFont="1" applyAlignment="1" applyProtection="1">
      <alignment horizontal="left"/>
      <protection locked="0"/>
    </xf>
    <xf numFmtId="0" fontId="7" fillId="0" borderId="0" xfId="0" applyFont="1" applyAlignment="1" applyProtection="1">
      <alignment horizontal="center"/>
      <protection locked="0"/>
    </xf>
    <xf numFmtId="0" fontId="8" fillId="0" borderId="0" xfId="0" applyFont="1" applyAlignment="1" applyProtection="1">
      <alignment/>
      <protection locked="0"/>
    </xf>
    <xf numFmtId="2" fontId="7" fillId="0" borderId="0" xfId="0" applyNumberFormat="1" applyFont="1" applyAlignment="1" applyProtection="1">
      <alignment/>
      <protection locked="0"/>
    </xf>
    <xf numFmtId="2" fontId="0" fillId="0" borderId="0" xfId="0" applyNumberFormat="1" applyAlignment="1" applyProtection="1">
      <alignment horizontal="left"/>
      <protection locked="0"/>
    </xf>
    <xf numFmtId="164" fontId="0" fillId="0" borderId="0" xfId="0" applyNumberFormat="1" applyAlignment="1" applyProtection="1">
      <alignment horizontal="left"/>
      <protection locked="0"/>
    </xf>
    <xf numFmtId="0" fontId="0" fillId="0" borderId="2" xfId="0" applyBorder="1" applyAlignment="1" applyProtection="1">
      <alignment/>
      <protection locked="0"/>
    </xf>
    <xf numFmtId="0" fontId="0" fillId="2" borderId="0" xfId="0" applyFill="1" applyAlignment="1" applyProtection="1">
      <alignment/>
      <protection locked="0"/>
    </xf>
    <xf numFmtId="0" fontId="0" fillId="0" borderId="0" xfId="0" applyAlignment="1">
      <alignment horizontal="center"/>
    </xf>
    <xf numFmtId="0" fontId="0" fillId="0" borderId="2" xfId="0" applyBorder="1" applyAlignment="1">
      <alignment/>
    </xf>
    <xf numFmtId="0" fontId="0" fillId="0" borderId="0" xfId="0" applyAlignment="1">
      <alignment horizontal="right"/>
    </xf>
    <xf numFmtId="0" fontId="0" fillId="0" borderId="3" xfId="0" applyBorder="1" applyAlignment="1">
      <alignment/>
    </xf>
    <xf numFmtId="0" fontId="0" fillId="3" borderId="0" xfId="0" applyFill="1" applyAlignment="1" applyProtection="1">
      <alignment/>
      <protection locked="0"/>
    </xf>
    <xf numFmtId="0" fontId="0" fillId="0" borderId="0" xfId="0" applyBorder="1" applyAlignment="1">
      <alignment/>
    </xf>
    <xf numFmtId="0" fontId="0" fillId="0" borderId="4" xfId="0" applyBorder="1" applyAlignment="1">
      <alignment/>
    </xf>
    <xf numFmtId="0" fontId="0" fillId="0" borderId="2" xfId="0" applyBorder="1" applyAlignment="1">
      <alignment horizontal="center"/>
    </xf>
    <xf numFmtId="167" fontId="0" fillId="0" borderId="0" xfId="0" applyNumberFormat="1" applyAlignment="1">
      <alignment/>
    </xf>
    <xf numFmtId="0" fontId="0" fillId="0" borderId="0" xfId="0" applyNumberFormat="1" applyAlignment="1">
      <alignment/>
    </xf>
    <xf numFmtId="0" fontId="0" fillId="0" borderId="0" xfId="0" applyFont="1" applyAlignment="1">
      <alignment/>
    </xf>
    <xf numFmtId="0" fontId="0" fillId="0" borderId="0" xfId="0" applyFill="1" applyBorder="1" applyAlignment="1">
      <alignment horizontal="center"/>
    </xf>
    <xf numFmtId="0" fontId="0" fillId="0" borderId="0" xfId="0" applyAlignment="1">
      <alignment wrapText="1"/>
    </xf>
    <xf numFmtId="0" fontId="0" fillId="0" borderId="0" xfId="0" applyAlignment="1">
      <alignment wrapText="1" shrinkToFit="1"/>
    </xf>
    <xf numFmtId="0" fontId="7" fillId="0" borderId="0" xfId="0" applyFont="1" applyAlignment="1">
      <alignment horizontal="center"/>
    </xf>
    <xf numFmtId="0" fontId="7" fillId="0" borderId="0" xfId="0" applyFont="1" applyBorder="1" applyAlignment="1">
      <alignment horizontal="center"/>
    </xf>
    <xf numFmtId="165" fontId="0" fillId="0" borderId="0" xfId="0" applyNumberFormat="1" applyBorder="1" applyAlignment="1">
      <alignment horizontal="center"/>
    </xf>
    <xf numFmtId="0" fontId="7" fillId="0" borderId="0" xfId="0" applyFont="1" applyAlignment="1">
      <alignment horizontal="center" vertical="center"/>
    </xf>
    <xf numFmtId="0" fontId="20" fillId="0" borderId="0" xfId="0" applyFont="1" applyAlignment="1">
      <alignment/>
    </xf>
    <xf numFmtId="0" fontId="0" fillId="0" borderId="0" xfId="0" applyAlignment="1">
      <alignment horizontal="left"/>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23" fillId="0" borderId="0" xfId="0" applyFont="1" applyAlignment="1" applyProtection="1">
      <alignment/>
      <protection locked="0"/>
    </xf>
    <xf numFmtId="0" fontId="24" fillId="0" borderId="0" xfId="0" applyFont="1" applyAlignment="1">
      <alignment/>
    </xf>
    <xf numFmtId="0" fontId="0" fillId="0" borderId="8" xfId="0" applyBorder="1" applyAlignment="1" applyProtection="1">
      <alignment/>
      <protection locked="0"/>
    </xf>
    <xf numFmtId="0" fontId="0" fillId="0" borderId="8" xfId="0" applyBorder="1" applyAlignment="1">
      <alignment horizontal="right"/>
    </xf>
    <xf numFmtId="0" fontId="0" fillId="0" borderId="8" xfId="0" applyBorder="1" applyAlignment="1" applyProtection="1">
      <alignment horizontal="right"/>
      <protection locked="0"/>
    </xf>
    <xf numFmtId="0" fontId="0" fillId="2" borderId="0" xfId="0" applyFill="1" applyAlignment="1">
      <alignment/>
    </xf>
    <xf numFmtId="0" fontId="0" fillId="0" borderId="7" xfId="0" applyBorder="1" applyAlignment="1">
      <alignment horizontal="center"/>
    </xf>
    <xf numFmtId="0" fontId="0" fillId="0" borderId="6" xfId="0" applyBorder="1" applyAlignment="1">
      <alignment/>
    </xf>
    <xf numFmtId="0" fontId="0" fillId="0" borderId="9" xfId="0" applyBorder="1" applyAlignment="1">
      <alignment horizontal="center"/>
    </xf>
    <xf numFmtId="0" fontId="10" fillId="0" borderId="0" xfId="0" applyFont="1" applyBorder="1" applyAlignment="1">
      <alignment horizontal="center" vertical="center"/>
    </xf>
    <xf numFmtId="0" fontId="0" fillId="0" borderId="0" xfId="0" applyFill="1" applyAlignment="1" applyProtection="1">
      <alignment horizontal="center"/>
      <protection locked="0"/>
    </xf>
    <xf numFmtId="0" fontId="0" fillId="0" borderId="0" xfId="0" applyBorder="1" applyAlignment="1">
      <alignment wrapText="1" shrinkToFit="1"/>
    </xf>
    <xf numFmtId="0" fontId="0" fillId="0" borderId="0" xfId="0" applyFill="1" applyBorder="1" applyAlignment="1">
      <alignment/>
    </xf>
    <xf numFmtId="0" fontId="23" fillId="0" borderId="0" xfId="0" applyFont="1" applyAlignment="1" applyProtection="1">
      <alignment/>
      <protection locked="0"/>
    </xf>
    <xf numFmtId="2" fontId="0" fillId="0" borderId="0" xfId="0" applyNumberFormat="1" applyAlignment="1">
      <alignment/>
    </xf>
    <xf numFmtId="0" fontId="0" fillId="0" borderId="0" xfId="0" applyBorder="1" applyAlignment="1" applyProtection="1">
      <alignment/>
      <protection locked="0"/>
    </xf>
    <xf numFmtId="0" fontId="0" fillId="0" borderId="0" xfId="0" applyBorder="1" applyAlignment="1">
      <alignment horizontal="left"/>
    </xf>
    <xf numFmtId="0" fontId="31" fillId="0" borderId="0" xfId="0" applyFont="1" applyAlignment="1">
      <alignment horizontal="left"/>
    </xf>
    <xf numFmtId="0" fontId="31" fillId="0" borderId="0" xfId="0" applyFont="1" applyAlignment="1">
      <alignment horizontal="right"/>
    </xf>
    <xf numFmtId="165" fontId="29" fillId="0" borderId="0" xfId="0" applyNumberFormat="1" applyFont="1" applyBorder="1" applyAlignment="1">
      <alignment horizontal="center"/>
    </xf>
    <xf numFmtId="165" fontId="24" fillId="0" borderId="0" xfId="0" applyNumberFormat="1" applyFont="1" applyBorder="1" applyAlignment="1">
      <alignment horizontal="center"/>
    </xf>
    <xf numFmtId="165" fontId="30" fillId="0" borderId="0" xfId="0" applyNumberFormat="1" applyFont="1" applyFill="1" applyBorder="1" applyAlignment="1">
      <alignment horizontal="center"/>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6" fillId="0" borderId="0" xfId="0" applyFont="1" applyAlignment="1">
      <alignment/>
    </xf>
    <xf numFmtId="0" fontId="0" fillId="0" borderId="10" xfId="0" applyBorder="1" applyAlignment="1">
      <alignment/>
    </xf>
    <xf numFmtId="0" fontId="0" fillId="0" borderId="11" xfId="0" applyBorder="1" applyAlignment="1">
      <alignment/>
    </xf>
    <xf numFmtId="2" fontId="29" fillId="0" borderId="1" xfId="0" applyNumberFormat="1" applyFont="1" applyBorder="1" applyAlignment="1">
      <alignment horizontal="center"/>
    </xf>
    <xf numFmtId="2" fontId="24" fillId="0" borderId="1" xfId="0" applyNumberFormat="1" applyFont="1" applyBorder="1" applyAlignment="1">
      <alignment horizontal="center"/>
    </xf>
    <xf numFmtId="2" fontId="30" fillId="0" borderId="1" xfId="0" applyNumberFormat="1" applyFont="1" applyFill="1" applyBorder="1" applyAlignment="1">
      <alignment horizontal="center"/>
    </xf>
    <xf numFmtId="2" fontId="32" fillId="0" borderId="1" xfId="0" applyNumberFormat="1" applyFont="1" applyFill="1" applyBorder="1" applyAlignment="1">
      <alignment horizontal="center"/>
    </xf>
    <xf numFmtId="0" fontId="0" fillId="0" borderId="2"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3" xfId="0" applyFill="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Alignment="1" applyProtection="1">
      <alignment/>
      <protection/>
    </xf>
    <xf numFmtId="0" fontId="0" fillId="0" borderId="20" xfId="0" applyBorder="1" applyAlignment="1">
      <alignment/>
    </xf>
    <xf numFmtId="0" fontId="12" fillId="3" borderId="0" xfId="0" applyFont="1" applyFill="1" applyAlignment="1" applyProtection="1">
      <alignment horizontal="right" vertical="top"/>
      <protection/>
    </xf>
    <xf numFmtId="0" fontId="0" fillId="0" borderId="0" xfId="0" applyAlignment="1" quotePrefix="1">
      <alignment/>
    </xf>
    <xf numFmtId="0" fontId="7" fillId="0" borderId="1" xfId="0" applyFont="1" applyBorder="1" applyAlignment="1" applyProtection="1">
      <alignment horizontal="left"/>
      <protection locked="0"/>
    </xf>
    <xf numFmtId="0" fontId="7" fillId="0" borderId="1" xfId="0" applyFont="1" applyBorder="1" applyAlignment="1" applyProtection="1">
      <alignment horizontal="right"/>
      <protection locked="0"/>
    </xf>
    <xf numFmtId="22" fontId="23" fillId="0" borderId="0" xfId="0" applyNumberFormat="1" applyFont="1" applyAlignment="1">
      <alignment/>
    </xf>
    <xf numFmtId="0" fontId="23" fillId="0" borderId="0" xfId="0" applyFont="1" applyAlignment="1">
      <alignment/>
    </xf>
    <xf numFmtId="0" fontId="24" fillId="0" borderId="0" xfId="0" applyFont="1" applyAlignment="1">
      <alignment horizontal="left"/>
    </xf>
    <xf numFmtId="0" fontId="20" fillId="0" borderId="0" xfId="0" applyFont="1" applyBorder="1" applyAlignment="1" applyProtection="1">
      <alignment horizontal="center" vertical="center"/>
      <protection/>
    </xf>
    <xf numFmtId="0" fontId="0" fillId="0" borderId="0" xfId="0" applyBorder="1" applyAlignment="1" applyProtection="1">
      <alignment/>
      <protection/>
    </xf>
    <xf numFmtId="0" fontId="24" fillId="0" borderId="0" xfId="0" applyFont="1" applyAlignment="1" applyProtection="1">
      <alignment/>
      <protection/>
    </xf>
    <xf numFmtId="0" fontId="22" fillId="0" borderId="0" xfId="0" applyFont="1" applyAlignment="1">
      <alignment/>
    </xf>
    <xf numFmtId="3" fontId="33" fillId="0" borderId="0" xfId="0" applyNumberFormat="1" applyFont="1" applyFill="1" applyBorder="1" applyAlignment="1">
      <alignment horizontal="center"/>
    </xf>
    <xf numFmtId="0" fontId="0" fillId="3" borderId="0" xfId="0" applyFill="1" applyAlignment="1">
      <alignment/>
    </xf>
    <xf numFmtId="0" fontId="36" fillId="0" borderId="0" xfId="0" applyFont="1" applyFill="1" applyBorder="1" applyAlignment="1">
      <alignment/>
    </xf>
    <xf numFmtId="0" fontId="35" fillId="0" borderId="0" xfId="0" applyFont="1" applyAlignment="1">
      <alignment horizontal="right"/>
    </xf>
    <xf numFmtId="2" fontId="0" fillId="0" borderId="2" xfId="0" applyNumberFormat="1" applyBorder="1" applyAlignment="1">
      <alignment/>
    </xf>
    <xf numFmtId="0" fontId="0" fillId="0" borderId="0" xfId="0" applyFill="1" applyBorder="1" applyAlignment="1">
      <alignment horizontal="right"/>
    </xf>
    <xf numFmtId="0" fontId="1" fillId="4" borderId="0" xfId="0" applyFont="1" applyFill="1" applyAlignment="1">
      <alignment/>
    </xf>
    <xf numFmtId="3" fontId="0" fillId="0" borderId="0" xfId="0" applyNumberFormat="1" applyAlignment="1">
      <alignment/>
    </xf>
    <xf numFmtId="3" fontId="0" fillId="0" borderId="18" xfId="0" applyNumberFormat="1" applyBorder="1" applyAlignment="1">
      <alignment/>
    </xf>
    <xf numFmtId="0" fontId="0" fillId="0" borderId="18" xfId="0" applyBorder="1" applyAlignment="1">
      <alignment horizontal="center"/>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0" borderId="18" xfId="0" applyNumberFormat="1" applyBorder="1" applyAlignment="1">
      <alignment/>
    </xf>
    <xf numFmtId="0" fontId="0" fillId="5" borderId="0" xfId="0" applyNumberFormat="1" applyFill="1" applyAlignment="1">
      <alignment/>
    </xf>
    <xf numFmtId="0" fontId="0" fillId="5" borderId="18" xfId="0" applyNumberFormat="1" applyFill="1" applyBorder="1" applyAlignment="1">
      <alignment/>
    </xf>
    <xf numFmtId="0" fontId="12" fillId="0" borderId="0" xfId="0" applyFont="1" applyAlignment="1">
      <alignment/>
    </xf>
    <xf numFmtId="0" fontId="0" fillId="3" borderId="0" xfId="0" applyFill="1" applyBorder="1" applyAlignment="1" applyProtection="1">
      <alignment/>
      <protection/>
    </xf>
    <xf numFmtId="0" fontId="0" fillId="0" borderId="1" xfId="0" applyBorder="1" applyAlignment="1" applyProtection="1">
      <alignment horizontal="center"/>
      <protection locked="0"/>
    </xf>
    <xf numFmtId="0" fontId="23" fillId="0" borderId="0" xfId="0" applyFont="1" applyAlignment="1">
      <alignment/>
    </xf>
    <xf numFmtId="2" fontId="0" fillId="0" borderId="2" xfId="0" applyNumberFormat="1" applyBorder="1" applyAlignment="1" applyProtection="1">
      <alignment/>
      <protection locked="0"/>
    </xf>
    <xf numFmtId="2" fontId="42" fillId="0" borderId="1" xfId="0" applyNumberFormat="1" applyFont="1" applyBorder="1" applyAlignment="1">
      <alignment horizontal="center"/>
    </xf>
    <xf numFmtId="2" fontId="32" fillId="0" borderId="10" xfId="0" applyNumberFormat="1" applyFont="1" applyFill="1" applyBorder="1" applyAlignment="1">
      <alignment horizontal="center"/>
    </xf>
    <xf numFmtId="0" fontId="39" fillId="0" borderId="21" xfId="0" applyFont="1" applyBorder="1" applyAlignment="1" applyProtection="1">
      <alignment horizontal="left" vertical="center"/>
      <protection locked="0"/>
    </xf>
    <xf numFmtId="0" fontId="39" fillId="0" borderId="22" xfId="0" applyFont="1" applyBorder="1" applyAlignment="1" applyProtection="1">
      <alignment horizontal="left" vertical="center"/>
      <protection locked="0"/>
    </xf>
    <xf numFmtId="0" fontId="40" fillId="0" borderId="23" xfId="0" applyFont="1" applyBorder="1" applyAlignment="1" applyProtection="1">
      <alignment horizontal="left"/>
      <protection locked="0"/>
    </xf>
    <xf numFmtId="0" fontId="21" fillId="0" borderId="24"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0" fontId="7" fillId="0" borderId="11" xfId="0" applyFont="1" applyBorder="1" applyAlignment="1" applyProtection="1">
      <alignment vertical="top" wrapText="1"/>
      <protection locked="0"/>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7" fillId="6" borderId="25" xfId="0" applyFont="1" applyFill="1" applyBorder="1" applyAlignment="1" applyProtection="1">
      <alignment horizontal="left" vertical="top" wrapText="1"/>
      <protection locked="0"/>
    </xf>
    <xf numFmtId="0" fontId="7" fillId="0" borderId="20" xfId="0" applyFont="1" applyBorder="1" applyAlignment="1" applyProtection="1">
      <alignment horizontal="left" vertical="top" wrapText="1"/>
      <protection locked="0"/>
    </xf>
    <xf numFmtId="0" fontId="7" fillId="0" borderId="26" xfId="0" applyFont="1" applyBorder="1" applyAlignment="1" applyProtection="1">
      <alignment horizontal="left" vertical="top" wrapText="1"/>
      <protection locked="0"/>
    </xf>
    <xf numFmtId="0" fontId="7" fillId="0" borderId="2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15" fillId="6" borderId="30" xfId="0" applyFont="1" applyFill="1" applyBorder="1" applyAlignment="1" applyProtection="1">
      <alignment horizontal="center" vertical="center" wrapText="1"/>
      <protection/>
    </xf>
    <xf numFmtId="0" fontId="15" fillId="6" borderId="31" xfId="0" applyFont="1" applyFill="1" applyBorder="1" applyAlignment="1" applyProtection="1">
      <alignment horizontal="center" vertical="center" wrapText="1"/>
      <protection/>
    </xf>
    <xf numFmtId="0" fontId="15" fillId="6" borderId="32" xfId="0" applyFont="1" applyFill="1" applyBorder="1" applyAlignment="1" applyProtection="1">
      <alignment horizontal="center" vertical="center" wrapText="1"/>
      <protection/>
    </xf>
    <xf numFmtId="0" fontId="7" fillId="0" borderId="25" xfId="0" applyFont="1" applyBorder="1" applyAlignment="1" applyProtection="1">
      <alignment vertical="top" wrapText="1"/>
      <protection locked="0"/>
    </xf>
    <xf numFmtId="0" fontId="7" fillId="0" borderId="20" xfId="0" applyFont="1" applyBorder="1" applyAlignment="1" applyProtection="1">
      <alignment vertical="top" wrapText="1"/>
      <protection locked="0"/>
    </xf>
    <xf numFmtId="0" fontId="7" fillId="0" borderId="26" xfId="0" applyFont="1" applyBorder="1" applyAlignment="1" applyProtection="1">
      <alignment vertical="top" wrapText="1"/>
      <protection locked="0"/>
    </xf>
    <xf numFmtId="0" fontId="7" fillId="0" borderId="27"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7" fillId="0" borderId="9" xfId="0" applyFont="1" applyBorder="1" applyAlignment="1" applyProtection="1">
      <alignment vertical="top" wrapText="1"/>
      <protection locked="0"/>
    </xf>
    <xf numFmtId="0" fontId="7" fillId="0" borderId="2" xfId="0" applyFont="1" applyBorder="1" applyAlignment="1" applyProtection="1">
      <alignment vertical="top" wrapText="1"/>
      <protection locked="0"/>
    </xf>
    <xf numFmtId="0" fontId="7" fillId="0" borderId="4" xfId="0" applyFont="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FFFF"/>
      </font>
      <fill>
        <patternFill>
          <bgColor rgb="FF008000"/>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8.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Score!$C$21:$W$21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0.22222222222222213</c:v>
                </c:pt>
                <c:pt idx="19">
                  <c:v>0.5555555555555551</c:v>
                </c:pt>
                <c:pt idx="20">
                  <c:v>0.2222222222222228</c:v>
                </c:pt>
              </c:numCache>
            </c:numRef>
          </c:val>
        </c:ser>
        <c:gapWidth val="0"/>
        <c:axId val="3384226"/>
        <c:axId val="30458035"/>
      </c:barChart>
      <c:catAx>
        <c:axId val="3384226"/>
        <c:scaling>
          <c:orientation val="minMax"/>
        </c:scaling>
        <c:axPos val="b"/>
        <c:delete val="0"/>
        <c:numFmt formatCode="General" sourceLinked="1"/>
        <c:majorTickMark val="out"/>
        <c:minorTickMark val="none"/>
        <c:tickLblPos val="none"/>
        <c:crossAx val="30458035"/>
        <c:crosses val="autoZero"/>
        <c:auto val="1"/>
        <c:lblOffset val="100"/>
        <c:noMultiLvlLbl val="0"/>
      </c:catAx>
      <c:valAx>
        <c:axId val="30458035"/>
        <c:scaling>
          <c:orientation val="minMax"/>
          <c:max val="0.56"/>
          <c:min val="0"/>
        </c:scaling>
        <c:axPos val="l"/>
        <c:majorGridlines/>
        <c:delete val="0"/>
        <c:numFmt formatCode="General" sourceLinked="1"/>
        <c:majorTickMark val="out"/>
        <c:minorTickMark val="none"/>
        <c:tickLblPos val="nextTo"/>
        <c:crossAx val="338422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Sustainability Goals Rollup</a:t>
            </a:r>
          </a:p>
        </c:rich>
      </c:tx>
      <c:layout/>
      <c:spPr>
        <a:noFill/>
        <a:ln>
          <a:noFill/>
        </a:ln>
      </c:spPr>
    </c:title>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Results'!$A$201:$U$201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3.742968018400259E-05</c:v>
                </c:pt>
                <c:pt idx="17">
                  <c:v>0.058651090462848436</c:v>
                </c:pt>
                <c:pt idx="18">
                  <c:v>0.54737651498473</c:v>
                </c:pt>
                <c:pt idx="19">
                  <c:v>0.37914397992125837</c:v>
                </c:pt>
                <c:pt idx="20">
                  <c:v>0.01479098495097926</c:v>
                </c:pt>
              </c:numCache>
            </c:numRef>
          </c:val>
        </c:ser>
        <c:gapWidth val="0"/>
        <c:axId val="15473692"/>
        <c:axId val="5045501"/>
      </c:barChart>
      <c:catAx>
        <c:axId val="15473692"/>
        <c:scaling>
          <c:orientation val="minMax"/>
        </c:scaling>
        <c:axPos val="b"/>
        <c:delete val="0"/>
        <c:numFmt formatCode="General" sourceLinked="1"/>
        <c:majorTickMark val="out"/>
        <c:minorTickMark val="none"/>
        <c:tickLblPos val="none"/>
        <c:crossAx val="5045501"/>
        <c:crosses val="autoZero"/>
        <c:auto val="1"/>
        <c:lblOffset val="100"/>
        <c:noMultiLvlLbl val="0"/>
      </c:catAx>
      <c:valAx>
        <c:axId val="5045501"/>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547369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Safety &amp; Reliability Goals Rollup</a:t>
            </a:r>
          </a:p>
        </c:rich>
      </c:tx>
      <c:layout/>
      <c:spPr>
        <a:noFill/>
        <a:ln>
          <a:noFill/>
        </a:ln>
      </c:spPr>
    </c:title>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Results'!$A$202:$U$202</c:f>
              <c:numCache>
                <c:ptCount val="21"/>
                <c:pt idx="0">
                  <c:v>0</c:v>
                </c:pt>
                <c:pt idx="1">
                  <c:v>0</c:v>
                </c:pt>
                <c:pt idx="2">
                  <c:v>0</c:v>
                </c:pt>
                <c:pt idx="3">
                  <c:v>0</c:v>
                </c:pt>
                <c:pt idx="4">
                  <c:v>0</c:v>
                </c:pt>
                <c:pt idx="5">
                  <c:v>0</c:v>
                </c:pt>
                <c:pt idx="6">
                  <c:v>0</c:v>
                </c:pt>
                <c:pt idx="7">
                  <c:v>0</c:v>
                </c:pt>
                <c:pt idx="8">
                  <c:v>0</c:v>
                </c:pt>
                <c:pt idx="9">
                  <c:v>8.803264382709012E-46</c:v>
                </c:pt>
                <c:pt idx="10">
                  <c:v>9.236749540007808E-09</c:v>
                </c:pt>
                <c:pt idx="11">
                  <c:v>0.00011601058604094512</c:v>
                </c:pt>
                <c:pt idx="12">
                  <c:v>0.019857551518512262</c:v>
                </c:pt>
                <c:pt idx="13">
                  <c:v>0.2722378648963008</c:v>
                </c:pt>
                <c:pt idx="14">
                  <c:v>0.5344815613170726</c:v>
                </c:pt>
                <c:pt idx="15">
                  <c:v>0.16765395355224294</c:v>
                </c:pt>
                <c:pt idx="16">
                  <c:v>0.0056453969263731895</c:v>
                </c:pt>
                <c:pt idx="17">
                  <c:v>7.651966707273447E-06</c:v>
                </c:pt>
                <c:pt idx="18">
                  <c:v>0</c:v>
                </c:pt>
                <c:pt idx="19">
                  <c:v>0</c:v>
                </c:pt>
                <c:pt idx="20">
                  <c:v>0</c:v>
                </c:pt>
              </c:numCache>
            </c:numRef>
          </c:val>
        </c:ser>
        <c:gapWidth val="0"/>
        <c:axId val="45409510"/>
        <c:axId val="6032407"/>
      </c:barChart>
      <c:catAx>
        <c:axId val="45409510"/>
        <c:scaling>
          <c:orientation val="minMax"/>
        </c:scaling>
        <c:axPos val="b"/>
        <c:delete val="0"/>
        <c:numFmt formatCode="General" sourceLinked="1"/>
        <c:majorTickMark val="out"/>
        <c:minorTickMark val="none"/>
        <c:tickLblPos val="none"/>
        <c:crossAx val="6032407"/>
        <c:crosses val="autoZero"/>
        <c:auto val="1"/>
        <c:lblOffset val="100"/>
        <c:noMultiLvlLbl val="0"/>
      </c:catAx>
      <c:valAx>
        <c:axId val="6032407"/>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540951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Economic Goals Rollup</a:t>
            </a:r>
          </a:p>
        </c:rich>
      </c:tx>
      <c:layout/>
      <c:spPr>
        <a:noFill/>
        <a:ln>
          <a:noFill/>
        </a:ln>
      </c:spPr>
    </c:title>
    <c:plotArea>
      <c:layout/>
      <c:barChart>
        <c:barDir val="col"/>
        <c:grouping val="clustered"/>
        <c:varyColors val="0"/>
        <c:ser>
          <c:idx val="0"/>
          <c:order val="0"/>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Results'!$A$203:$U$203</c:f>
              <c:numCache>
                <c:ptCount val="21"/>
                <c:pt idx="0">
                  <c:v>0</c:v>
                </c:pt>
                <c:pt idx="1">
                  <c:v>0</c:v>
                </c:pt>
                <c:pt idx="2">
                  <c:v>0</c:v>
                </c:pt>
                <c:pt idx="3">
                  <c:v>0</c:v>
                </c:pt>
                <c:pt idx="4">
                  <c:v>0</c:v>
                </c:pt>
                <c:pt idx="5">
                  <c:v>0</c:v>
                </c:pt>
                <c:pt idx="6">
                  <c:v>9.700236453478854E-06</c:v>
                </c:pt>
                <c:pt idx="7">
                  <c:v>0.0022327081971212173</c:v>
                </c:pt>
                <c:pt idx="8">
                  <c:v>0.04233570032337566</c:v>
                </c:pt>
                <c:pt idx="9">
                  <c:v>0.2210855930841209</c:v>
                </c:pt>
                <c:pt idx="10">
                  <c:v>0.41291673147265945</c:v>
                </c:pt>
                <c:pt idx="11">
                  <c:v>0.270292363983732</c:v>
                </c:pt>
                <c:pt idx="12">
                  <c:v>0.04949558765862765</c:v>
                </c:pt>
                <c:pt idx="13">
                  <c:v>0.0016282435099019999</c:v>
                </c:pt>
                <c:pt idx="14">
                  <c:v>3.3715340076348936E-06</c:v>
                </c:pt>
                <c:pt idx="15">
                  <c:v>0</c:v>
                </c:pt>
                <c:pt idx="16">
                  <c:v>0</c:v>
                </c:pt>
                <c:pt idx="17">
                  <c:v>0</c:v>
                </c:pt>
                <c:pt idx="18">
                  <c:v>0</c:v>
                </c:pt>
                <c:pt idx="19">
                  <c:v>0</c:v>
                </c:pt>
                <c:pt idx="20">
                  <c:v>0</c:v>
                </c:pt>
              </c:numCache>
            </c:numRef>
          </c:val>
        </c:ser>
        <c:gapWidth val="0"/>
        <c:axId val="54291664"/>
        <c:axId val="18862929"/>
      </c:barChart>
      <c:catAx>
        <c:axId val="54291664"/>
        <c:scaling>
          <c:orientation val="minMax"/>
        </c:scaling>
        <c:axPos val="b"/>
        <c:delete val="0"/>
        <c:numFmt formatCode="General" sourceLinked="1"/>
        <c:majorTickMark val="out"/>
        <c:minorTickMark val="none"/>
        <c:tickLblPos val="none"/>
        <c:crossAx val="18862929"/>
        <c:crosses val="autoZero"/>
        <c:auto val="1"/>
        <c:lblOffset val="100"/>
        <c:noMultiLvlLbl val="0"/>
      </c:catAx>
      <c:valAx>
        <c:axId val="18862929"/>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429166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Results'!$A$300:$U$300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0.22222222222222213</c:v>
                </c:pt>
                <c:pt idx="19">
                  <c:v>0.5555555555555551</c:v>
                </c:pt>
                <c:pt idx="20">
                  <c:v>0.2222222222222228</c:v>
                </c:pt>
              </c:numCache>
            </c:numRef>
          </c:val>
        </c:ser>
        <c:gapWidth val="0"/>
        <c:axId val="35548634"/>
        <c:axId val="51502251"/>
      </c:barChart>
      <c:catAx>
        <c:axId val="35548634"/>
        <c:scaling>
          <c:orientation val="minMax"/>
        </c:scaling>
        <c:axPos val="b"/>
        <c:delete val="0"/>
        <c:numFmt formatCode="General" sourceLinked="1"/>
        <c:majorTickMark val="out"/>
        <c:minorTickMark val="none"/>
        <c:tickLblPos val="none"/>
        <c:crossAx val="51502251"/>
        <c:crosses val="autoZero"/>
        <c:auto val="1"/>
        <c:lblOffset val="100"/>
        <c:noMultiLvlLbl val="0"/>
      </c:catAx>
      <c:valAx>
        <c:axId val="51502251"/>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554863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Results'!$A$301:$U$301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0.22222222222222213</c:v>
                </c:pt>
                <c:pt idx="19">
                  <c:v>0.5555555555555551</c:v>
                </c:pt>
                <c:pt idx="20">
                  <c:v>0.2222222222222228</c:v>
                </c:pt>
              </c:numCache>
            </c:numRef>
          </c:val>
        </c:ser>
        <c:gapWidth val="0"/>
        <c:axId val="60867076"/>
        <c:axId val="10932773"/>
      </c:barChart>
      <c:catAx>
        <c:axId val="60867076"/>
        <c:scaling>
          <c:orientation val="minMax"/>
        </c:scaling>
        <c:axPos val="b"/>
        <c:delete val="0"/>
        <c:numFmt formatCode="General" sourceLinked="1"/>
        <c:majorTickMark val="out"/>
        <c:minorTickMark val="none"/>
        <c:tickLblPos val="none"/>
        <c:crossAx val="10932773"/>
        <c:crosses val="autoZero"/>
        <c:auto val="1"/>
        <c:lblOffset val="100"/>
        <c:noMultiLvlLbl val="0"/>
      </c:catAx>
      <c:valAx>
        <c:axId val="10932773"/>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6086707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3</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Results'!$A$302:$U$302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0.3333333333333333</c:v>
                </c:pt>
                <c:pt idx="19">
                  <c:v>0.3333333333333333</c:v>
                </c:pt>
                <c:pt idx="20">
                  <c:v>0.3333333333333333</c:v>
                </c:pt>
              </c:numCache>
            </c:numRef>
          </c:val>
        </c:ser>
        <c:gapWidth val="0"/>
        <c:axId val="31286094"/>
        <c:axId val="13139391"/>
      </c:barChart>
      <c:catAx>
        <c:axId val="31286094"/>
        <c:scaling>
          <c:orientation val="minMax"/>
        </c:scaling>
        <c:axPos val="b"/>
        <c:delete val="0"/>
        <c:numFmt formatCode="General" sourceLinked="1"/>
        <c:majorTickMark val="out"/>
        <c:minorTickMark val="none"/>
        <c:tickLblPos val="none"/>
        <c:crossAx val="13139391"/>
        <c:crosses val="autoZero"/>
        <c:auto val="1"/>
        <c:lblOffset val="100"/>
        <c:noMultiLvlLbl val="0"/>
      </c:catAx>
      <c:valAx>
        <c:axId val="13139391"/>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128609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Results'!$A$303:$U$303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0.22222222222222213</c:v>
                </c:pt>
                <c:pt idx="19">
                  <c:v>0.5555555555555551</c:v>
                </c:pt>
                <c:pt idx="20">
                  <c:v>0.2222222222222228</c:v>
                </c:pt>
              </c:numCache>
            </c:numRef>
          </c:val>
        </c:ser>
        <c:gapWidth val="0"/>
        <c:axId val="51145656"/>
        <c:axId val="57657721"/>
      </c:barChart>
      <c:catAx>
        <c:axId val="51145656"/>
        <c:scaling>
          <c:orientation val="minMax"/>
        </c:scaling>
        <c:axPos val="b"/>
        <c:delete val="0"/>
        <c:numFmt formatCode="General" sourceLinked="1"/>
        <c:majorTickMark val="out"/>
        <c:minorTickMark val="none"/>
        <c:tickLblPos val="none"/>
        <c:crossAx val="57657721"/>
        <c:crosses val="autoZero"/>
        <c:auto val="1"/>
        <c:lblOffset val="100"/>
        <c:noMultiLvlLbl val="0"/>
      </c:catAx>
      <c:valAx>
        <c:axId val="57657721"/>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114565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5</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Results'!$A$304:$U$304</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0.037037037037037</c:v>
                </c:pt>
                <c:pt idx="16">
                  <c:v>0.11111111111111091</c:v>
                </c:pt>
                <c:pt idx="17">
                  <c:v>0.1851851851851848</c:v>
                </c:pt>
                <c:pt idx="18">
                  <c:v>0.25925925925925875</c:v>
                </c:pt>
                <c:pt idx="19">
                  <c:v>0.296296296296295</c:v>
                </c:pt>
                <c:pt idx="20">
                  <c:v>0.11111111111111356</c:v>
                </c:pt>
              </c:numCache>
            </c:numRef>
          </c:val>
        </c:ser>
        <c:gapWidth val="0"/>
        <c:axId val="49157442"/>
        <c:axId val="39763795"/>
      </c:barChart>
      <c:catAx>
        <c:axId val="49157442"/>
        <c:scaling>
          <c:orientation val="minMax"/>
        </c:scaling>
        <c:axPos val="b"/>
        <c:delete val="0"/>
        <c:numFmt formatCode="General" sourceLinked="1"/>
        <c:majorTickMark val="out"/>
        <c:minorTickMark val="none"/>
        <c:tickLblPos val="none"/>
        <c:crossAx val="39763795"/>
        <c:crosses val="autoZero"/>
        <c:auto val="1"/>
        <c:lblOffset val="100"/>
        <c:noMultiLvlLbl val="0"/>
      </c:catAx>
      <c:valAx>
        <c:axId val="39763795"/>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915744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6</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Results'!$A$305:$U$305</c:f>
              <c:numCache>
                <c:ptCount val="21"/>
                <c:pt idx="0">
                  <c:v>0</c:v>
                </c:pt>
                <c:pt idx="1">
                  <c:v>0</c:v>
                </c:pt>
                <c:pt idx="2">
                  <c:v>0</c:v>
                </c:pt>
                <c:pt idx="3">
                  <c:v>0</c:v>
                </c:pt>
                <c:pt idx="4">
                  <c:v>0</c:v>
                </c:pt>
                <c:pt idx="5">
                  <c:v>0</c:v>
                </c:pt>
                <c:pt idx="6">
                  <c:v>0</c:v>
                </c:pt>
                <c:pt idx="7">
                  <c:v>0</c:v>
                </c:pt>
                <c:pt idx="8">
                  <c:v>0</c:v>
                </c:pt>
                <c:pt idx="9">
                  <c:v>0</c:v>
                </c:pt>
                <c:pt idx="10">
                  <c:v>0</c:v>
                </c:pt>
                <c:pt idx="11">
                  <c:v>8.559688641721048E-33</c:v>
                </c:pt>
                <c:pt idx="12">
                  <c:v>0.11111111111111108</c:v>
                </c:pt>
                <c:pt idx="13">
                  <c:v>0.2962962962962963</c:v>
                </c:pt>
                <c:pt idx="14">
                  <c:v>0.2592592592592593</c:v>
                </c:pt>
                <c:pt idx="15">
                  <c:v>0.1851851851851856</c:v>
                </c:pt>
                <c:pt idx="16">
                  <c:v>0.11111111111111086</c:v>
                </c:pt>
                <c:pt idx="17">
                  <c:v>0.037037037037036875</c:v>
                </c:pt>
                <c:pt idx="18">
                  <c:v>0</c:v>
                </c:pt>
                <c:pt idx="19">
                  <c:v>0</c:v>
                </c:pt>
                <c:pt idx="20">
                  <c:v>0</c:v>
                </c:pt>
              </c:numCache>
            </c:numRef>
          </c:val>
        </c:ser>
        <c:gapWidth val="0"/>
        <c:axId val="22329836"/>
        <c:axId val="66750797"/>
      </c:barChart>
      <c:catAx>
        <c:axId val="22329836"/>
        <c:scaling>
          <c:orientation val="minMax"/>
        </c:scaling>
        <c:axPos val="b"/>
        <c:delete val="0"/>
        <c:numFmt formatCode="General" sourceLinked="1"/>
        <c:majorTickMark val="out"/>
        <c:minorTickMark val="none"/>
        <c:tickLblPos val="none"/>
        <c:crossAx val="66750797"/>
        <c:crosses val="autoZero"/>
        <c:auto val="1"/>
        <c:lblOffset val="100"/>
        <c:noMultiLvlLbl val="0"/>
      </c:catAx>
      <c:valAx>
        <c:axId val="66750797"/>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232983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7</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Results'!$A$306:$U$306</c:f>
              <c:numCache>
                <c:ptCount val="21"/>
                <c:pt idx="0">
                  <c:v>0</c:v>
                </c:pt>
                <c:pt idx="1">
                  <c:v>0</c:v>
                </c:pt>
                <c:pt idx="2">
                  <c:v>0</c:v>
                </c:pt>
                <c:pt idx="3">
                  <c:v>0</c:v>
                </c:pt>
                <c:pt idx="4">
                  <c:v>0</c:v>
                </c:pt>
                <c:pt idx="5">
                  <c:v>0</c:v>
                </c:pt>
                <c:pt idx="6">
                  <c:v>0</c:v>
                </c:pt>
                <c:pt idx="7">
                  <c:v>0</c:v>
                </c:pt>
                <c:pt idx="8">
                  <c:v>0</c:v>
                </c:pt>
                <c:pt idx="9">
                  <c:v>0.3333333333333333</c:v>
                </c:pt>
                <c:pt idx="10">
                  <c:v>0.3333333333333333</c:v>
                </c:pt>
                <c:pt idx="11">
                  <c:v>0.3333333333333333</c:v>
                </c:pt>
                <c:pt idx="12">
                  <c:v>0</c:v>
                </c:pt>
                <c:pt idx="13">
                  <c:v>0</c:v>
                </c:pt>
                <c:pt idx="14">
                  <c:v>0</c:v>
                </c:pt>
                <c:pt idx="15">
                  <c:v>0</c:v>
                </c:pt>
                <c:pt idx="16">
                  <c:v>0</c:v>
                </c:pt>
                <c:pt idx="17">
                  <c:v>0</c:v>
                </c:pt>
                <c:pt idx="18">
                  <c:v>0</c:v>
                </c:pt>
                <c:pt idx="19">
                  <c:v>0</c:v>
                </c:pt>
                <c:pt idx="20">
                  <c:v>0</c:v>
                </c:pt>
              </c:numCache>
            </c:numRef>
          </c:val>
        </c:ser>
        <c:gapWidth val="0"/>
        <c:axId val="63886262"/>
        <c:axId val="38105447"/>
      </c:barChart>
      <c:catAx>
        <c:axId val="63886262"/>
        <c:scaling>
          <c:orientation val="minMax"/>
        </c:scaling>
        <c:axPos val="b"/>
        <c:delete val="0"/>
        <c:numFmt formatCode="General" sourceLinked="1"/>
        <c:majorTickMark val="out"/>
        <c:minorTickMark val="none"/>
        <c:tickLblPos val="none"/>
        <c:crossAx val="38105447"/>
        <c:crosses val="autoZero"/>
        <c:auto val="1"/>
        <c:lblOffset val="100"/>
        <c:noMultiLvlLbl val="0"/>
      </c:catAx>
      <c:valAx>
        <c:axId val="38105447"/>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6388626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OutputCalcs!$K$10:$AE$10</c:f>
              <c:numCache>
                <c:ptCount val="21"/>
              </c:numCache>
            </c:numRef>
          </c:val>
        </c:ser>
        <c:gapWidth val="0"/>
        <c:axId val="5686860"/>
        <c:axId val="51181741"/>
      </c:barChart>
      <c:catAx>
        <c:axId val="5686860"/>
        <c:scaling>
          <c:orientation val="minMax"/>
        </c:scaling>
        <c:axPos val="b"/>
        <c:delete val="0"/>
        <c:numFmt formatCode="General" sourceLinked="1"/>
        <c:majorTickMark val="out"/>
        <c:minorTickMark val="none"/>
        <c:tickLblPos val="nextTo"/>
        <c:crossAx val="51181741"/>
        <c:crosses val="autoZero"/>
        <c:auto val="1"/>
        <c:lblOffset val="100"/>
        <c:noMultiLvlLbl val="0"/>
      </c:catAx>
      <c:valAx>
        <c:axId val="51181741"/>
        <c:scaling>
          <c:orientation val="minMax"/>
        </c:scaling>
        <c:axPos val="l"/>
        <c:majorGridlines/>
        <c:delete val="0"/>
        <c:numFmt formatCode="General" sourceLinked="1"/>
        <c:majorTickMark val="out"/>
        <c:minorTickMark val="none"/>
        <c:tickLblPos val="nextTo"/>
        <c:crossAx val="56868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8</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Results'!$A$307:$U$307</c:f>
              <c:numCache>
                <c:ptCount val="21"/>
                <c:pt idx="0">
                  <c:v>0</c:v>
                </c:pt>
                <c:pt idx="1">
                  <c:v>0</c:v>
                </c:pt>
                <c:pt idx="2">
                  <c:v>0</c:v>
                </c:pt>
                <c:pt idx="3">
                  <c:v>0</c:v>
                </c:pt>
                <c:pt idx="4">
                  <c:v>0</c:v>
                </c:pt>
                <c:pt idx="5">
                  <c:v>0</c:v>
                </c:pt>
                <c:pt idx="6">
                  <c:v>0</c:v>
                </c:pt>
                <c:pt idx="7">
                  <c:v>0</c:v>
                </c:pt>
                <c:pt idx="8">
                  <c:v>0</c:v>
                </c:pt>
                <c:pt idx="9">
                  <c:v>0</c:v>
                </c:pt>
                <c:pt idx="10">
                  <c:v>0</c:v>
                </c:pt>
                <c:pt idx="11">
                  <c:v>1.7119377283442085E-32</c:v>
                </c:pt>
                <c:pt idx="12">
                  <c:v>0.222222222222222</c:v>
                </c:pt>
                <c:pt idx="13">
                  <c:v>0.5555555555555554</c:v>
                </c:pt>
                <c:pt idx="14">
                  <c:v>0.22222222222222265</c:v>
                </c:pt>
                <c:pt idx="15">
                  <c:v>0</c:v>
                </c:pt>
                <c:pt idx="16">
                  <c:v>0</c:v>
                </c:pt>
                <c:pt idx="17">
                  <c:v>0</c:v>
                </c:pt>
                <c:pt idx="18">
                  <c:v>0</c:v>
                </c:pt>
                <c:pt idx="19">
                  <c:v>0</c:v>
                </c:pt>
                <c:pt idx="20">
                  <c:v>0</c:v>
                </c:pt>
              </c:numCache>
            </c:numRef>
          </c:val>
        </c:ser>
        <c:gapWidth val="0"/>
        <c:axId val="7404704"/>
        <c:axId val="66642337"/>
      </c:barChart>
      <c:catAx>
        <c:axId val="7404704"/>
        <c:scaling>
          <c:orientation val="minMax"/>
        </c:scaling>
        <c:axPos val="b"/>
        <c:delete val="0"/>
        <c:numFmt formatCode="General" sourceLinked="1"/>
        <c:majorTickMark val="out"/>
        <c:minorTickMark val="none"/>
        <c:tickLblPos val="none"/>
        <c:crossAx val="66642337"/>
        <c:crosses val="autoZero"/>
        <c:auto val="1"/>
        <c:lblOffset val="100"/>
        <c:noMultiLvlLbl val="0"/>
      </c:catAx>
      <c:valAx>
        <c:axId val="66642337"/>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740470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10</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Results'!$A$309:$U$309</c:f>
              <c:numCache>
                <c:ptCount val="21"/>
                <c:pt idx="0">
                  <c:v>0</c:v>
                </c:pt>
                <c:pt idx="1">
                  <c:v>0</c:v>
                </c:pt>
                <c:pt idx="2">
                  <c:v>0</c:v>
                </c:pt>
                <c:pt idx="3">
                  <c:v>0</c:v>
                </c:pt>
                <c:pt idx="4">
                  <c:v>0</c:v>
                </c:pt>
                <c:pt idx="5">
                  <c:v>0</c:v>
                </c:pt>
                <c:pt idx="6">
                  <c:v>0.024691358024691374</c:v>
                </c:pt>
                <c:pt idx="7">
                  <c:v>0.07407407407407407</c:v>
                </c:pt>
                <c:pt idx="8">
                  <c:v>0.12345679012345682</c:v>
                </c:pt>
                <c:pt idx="9">
                  <c:v>0.17283950617283972</c:v>
                </c:pt>
                <c:pt idx="10">
                  <c:v>0.2098765432098763</c:v>
                </c:pt>
                <c:pt idx="11">
                  <c:v>0.17283950617283939</c:v>
                </c:pt>
                <c:pt idx="12">
                  <c:v>0.12345679012345678</c:v>
                </c:pt>
                <c:pt idx="13">
                  <c:v>0.07407407407407429</c:v>
                </c:pt>
                <c:pt idx="14">
                  <c:v>0.024691358024691246</c:v>
                </c:pt>
                <c:pt idx="15">
                  <c:v>0</c:v>
                </c:pt>
                <c:pt idx="16">
                  <c:v>0</c:v>
                </c:pt>
                <c:pt idx="17">
                  <c:v>0</c:v>
                </c:pt>
                <c:pt idx="18">
                  <c:v>0</c:v>
                </c:pt>
                <c:pt idx="19">
                  <c:v>0</c:v>
                </c:pt>
                <c:pt idx="20">
                  <c:v>0</c:v>
                </c:pt>
              </c:numCache>
            </c:numRef>
          </c:val>
        </c:ser>
        <c:gapWidth val="0"/>
        <c:axId val="62910122"/>
        <c:axId val="29320187"/>
      </c:barChart>
      <c:catAx>
        <c:axId val="62910122"/>
        <c:scaling>
          <c:orientation val="minMax"/>
        </c:scaling>
        <c:axPos val="b"/>
        <c:delete val="0"/>
        <c:numFmt formatCode="General" sourceLinked="1"/>
        <c:majorTickMark val="out"/>
        <c:minorTickMark val="none"/>
        <c:tickLblPos val="none"/>
        <c:crossAx val="29320187"/>
        <c:crosses val="autoZero"/>
        <c:auto val="1"/>
        <c:lblOffset val="100"/>
        <c:noMultiLvlLbl val="0"/>
      </c:catAx>
      <c:valAx>
        <c:axId val="29320187"/>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6291012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11</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Results'!$A$310:$U$310</c:f>
              <c:numCache>
                <c:ptCount val="21"/>
                <c:pt idx="0">
                  <c:v>0</c:v>
                </c:pt>
                <c:pt idx="1">
                  <c:v>0</c:v>
                </c:pt>
                <c:pt idx="2">
                  <c:v>0</c:v>
                </c:pt>
                <c:pt idx="3">
                  <c:v>0</c:v>
                </c:pt>
                <c:pt idx="4">
                  <c:v>0</c:v>
                </c:pt>
                <c:pt idx="5">
                  <c:v>0</c:v>
                </c:pt>
                <c:pt idx="6">
                  <c:v>0</c:v>
                </c:pt>
                <c:pt idx="7">
                  <c:v>0</c:v>
                </c:pt>
                <c:pt idx="8">
                  <c:v>0</c:v>
                </c:pt>
                <c:pt idx="9">
                  <c:v>0</c:v>
                </c:pt>
                <c:pt idx="10">
                  <c:v>0</c:v>
                </c:pt>
                <c:pt idx="11">
                  <c:v>8.559688641721048E-33</c:v>
                </c:pt>
                <c:pt idx="12">
                  <c:v>0.11111111111111108</c:v>
                </c:pt>
                <c:pt idx="13">
                  <c:v>0.2962962962962963</c:v>
                </c:pt>
                <c:pt idx="14">
                  <c:v>0.2592592592592593</c:v>
                </c:pt>
                <c:pt idx="15">
                  <c:v>0.1851851851851856</c:v>
                </c:pt>
                <c:pt idx="16">
                  <c:v>0.11111111111111086</c:v>
                </c:pt>
                <c:pt idx="17">
                  <c:v>0.037037037037036875</c:v>
                </c:pt>
                <c:pt idx="18">
                  <c:v>0</c:v>
                </c:pt>
                <c:pt idx="19">
                  <c:v>0</c:v>
                </c:pt>
                <c:pt idx="20">
                  <c:v>0</c:v>
                </c:pt>
              </c:numCache>
            </c:numRef>
          </c:val>
        </c:ser>
        <c:gapWidth val="0"/>
        <c:axId val="62555092"/>
        <c:axId val="26124917"/>
      </c:barChart>
      <c:catAx>
        <c:axId val="62555092"/>
        <c:scaling>
          <c:orientation val="minMax"/>
        </c:scaling>
        <c:axPos val="b"/>
        <c:delete val="0"/>
        <c:numFmt formatCode="General" sourceLinked="1"/>
        <c:majorTickMark val="out"/>
        <c:minorTickMark val="none"/>
        <c:tickLblPos val="none"/>
        <c:crossAx val="26124917"/>
        <c:crosses val="autoZero"/>
        <c:auto val="1"/>
        <c:lblOffset val="100"/>
        <c:noMultiLvlLbl val="0"/>
      </c:catAx>
      <c:valAx>
        <c:axId val="26124917"/>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6255509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12</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Results'!$A$311:$U$311</c:f>
              <c:numCache>
                <c:ptCount val="21"/>
                <c:pt idx="0">
                  <c:v>0</c:v>
                </c:pt>
                <c:pt idx="1">
                  <c:v>0</c:v>
                </c:pt>
                <c:pt idx="2">
                  <c:v>0</c:v>
                </c:pt>
                <c:pt idx="3">
                  <c:v>0</c:v>
                </c:pt>
                <c:pt idx="4">
                  <c:v>0</c:v>
                </c:pt>
                <c:pt idx="5">
                  <c:v>0</c:v>
                </c:pt>
                <c:pt idx="6">
                  <c:v>0.01481481481481482</c:v>
                </c:pt>
                <c:pt idx="7">
                  <c:v>0.04444444444444444</c:v>
                </c:pt>
                <c:pt idx="8">
                  <c:v>0.07407407407407408</c:v>
                </c:pt>
                <c:pt idx="9">
                  <c:v>0.1037037037037038</c:v>
                </c:pt>
                <c:pt idx="10">
                  <c:v>0.13333333333333314</c:v>
                </c:pt>
                <c:pt idx="11">
                  <c:v>0.16296296296296295</c:v>
                </c:pt>
                <c:pt idx="12">
                  <c:v>0.19259259259259237</c:v>
                </c:pt>
                <c:pt idx="13">
                  <c:v>0.2</c:v>
                </c:pt>
                <c:pt idx="14">
                  <c:v>0.0740740740740745</c:v>
                </c:pt>
                <c:pt idx="15">
                  <c:v>0</c:v>
                </c:pt>
                <c:pt idx="16">
                  <c:v>0</c:v>
                </c:pt>
                <c:pt idx="17">
                  <c:v>0</c:v>
                </c:pt>
                <c:pt idx="18">
                  <c:v>0</c:v>
                </c:pt>
                <c:pt idx="19">
                  <c:v>0</c:v>
                </c:pt>
                <c:pt idx="20">
                  <c:v>0</c:v>
                </c:pt>
              </c:numCache>
            </c:numRef>
          </c:val>
        </c:ser>
        <c:gapWidth val="0"/>
        <c:axId val="33797662"/>
        <c:axId val="35743503"/>
      </c:barChart>
      <c:catAx>
        <c:axId val="33797662"/>
        <c:scaling>
          <c:orientation val="minMax"/>
        </c:scaling>
        <c:axPos val="b"/>
        <c:delete val="0"/>
        <c:numFmt formatCode="General" sourceLinked="1"/>
        <c:majorTickMark val="out"/>
        <c:minorTickMark val="none"/>
        <c:tickLblPos val="none"/>
        <c:crossAx val="35743503"/>
        <c:crosses val="autoZero"/>
        <c:auto val="1"/>
        <c:lblOffset val="100"/>
        <c:noMultiLvlLbl val="0"/>
      </c:catAx>
      <c:valAx>
        <c:axId val="35743503"/>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379766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13</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Results'!$A$312:$U$312</c:f>
              <c:numCache>
                <c:ptCount val="21"/>
                <c:pt idx="0">
                  <c:v>0</c:v>
                </c:pt>
                <c:pt idx="1">
                  <c:v>0</c:v>
                </c:pt>
                <c:pt idx="2">
                  <c:v>0</c:v>
                </c:pt>
                <c:pt idx="3">
                  <c:v>0</c:v>
                </c:pt>
                <c:pt idx="4">
                  <c:v>0</c:v>
                </c:pt>
                <c:pt idx="5">
                  <c:v>0</c:v>
                </c:pt>
                <c:pt idx="6">
                  <c:v>0</c:v>
                </c:pt>
                <c:pt idx="7">
                  <c:v>0</c:v>
                </c:pt>
                <c:pt idx="8">
                  <c:v>0</c:v>
                </c:pt>
                <c:pt idx="9">
                  <c:v>0</c:v>
                </c:pt>
                <c:pt idx="10">
                  <c:v>0</c:v>
                </c:pt>
                <c:pt idx="11">
                  <c:v>2.853229547240354E-33</c:v>
                </c:pt>
                <c:pt idx="12">
                  <c:v>0.03703703703703708</c:v>
                </c:pt>
                <c:pt idx="13">
                  <c:v>0.11111111111111122</c:v>
                </c:pt>
                <c:pt idx="14">
                  <c:v>0.18518518518518554</c:v>
                </c:pt>
                <c:pt idx="15">
                  <c:v>0.2592592592592598</c:v>
                </c:pt>
                <c:pt idx="16">
                  <c:v>0.2962962962962958</c:v>
                </c:pt>
                <c:pt idx="17">
                  <c:v>0.11111111111111063</c:v>
                </c:pt>
                <c:pt idx="18">
                  <c:v>0</c:v>
                </c:pt>
                <c:pt idx="19">
                  <c:v>0</c:v>
                </c:pt>
                <c:pt idx="20">
                  <c:v>0</c:v>
                </c:pt>
              </c:numCache>
            </c:numRef>
          </c:val>
        </c:ser>
        <c:gapWidth val="0"/>
        <c:axId val="53256072"/>
        <c:axId val="9542601"/>
      </c:barChart>
      <c:catAx>
        <c:axId val="53256072"/>
        <c:scaling>
          <c:orientation val="minMax"/>
        </c:scaling>
        <c:axPos val="b"/>
        <c:delete val="0"/>
        <c:numFmt formatCode="General" sourceLinked="1"/>
        <c:majorTickMark val="out"/>
        <c:minorTickMark val="none"/>
        <c:tickLblPos val="none"/>
        <c:crossAx val="9542601"/>
        <c:crosses val="autoZero"/>
        <c:auto val="1"/>
        <c:lblOffset val="100"/>
        <c:noMultiLvlLbl val="0"/>
      </c:catAx>
      <c:valAx>
        <c:axId val="9542601"/>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325607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14</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Results'!$A$313:$U$313</c:f>
              <c:numCache>
                <c:ptCount val="21"/>
                <c:pt idx="0">
                  <c:v>0</c:v>
                </c:pt>
                <c:pt idx="1">
                  <c:v>0</c:v>
                </c:pt>
                <c:pt idx="2">
                  <c:v>0</c:v>
                </c:pt>
                <c:pt idx="3">
                  <c:v>0</c:v>
                </c:pt>
                <c:pt idx="4">
                  <c:v>0</c:v>
                </c:pt>
                <c:pt idx="5">
                  <c:v>0</c:v>
                </c:pt>
                <c:pt idx="6">
                  <c:v>0</c:v>
                </c:pt>
                <c:pt idx="7">
                  <c:v>0</c:v>
                </c:pt>
                <c:pt idx="8">
                  <c:v>0</c:v>
                </c:pt>
                <c:pt idx="9">
                  <c:v>0</c:v>
                </c:pt>
                <c:pt idx="10">
                  <c:v>0</c:v>
                </c:pt>
                <c:pt idx="11">
                  <c:v>0</c:v>
                </c:pt>
                <c:pt idx="12">
                  <c:v>0.3333333333333333</c:v>
                </c:pt>
                <c:pt idx="13">
                  <c:v>0.3333333333333333</c:v>
                </c:pt>
                <c:pt idx="14">
                  <c:v>0.3333333333333333</c:v>
                </c:pt>
                <c:pt idx="15">
                  <c:v>0</c:v>
                </c:pt>
                <c:pt idx="16">
                  <c:v>0</c:v>
                </c:pt>
                <c:pt idx="17">
                  <c:v>0</c:v>
                </c:pt>
                <c:pt idx="18">
                  <c:v>0</c:v>
                </c:pt>
                <c:pt idx="19">
                  <c:v>0</c:v>
                </c:pt>
                <c:pt idx="20">
                  <c:v>0</c:v>
                </c:pt>
              </c:numCache>
            </c:numRef>
          </c:val>
        </c:ser>
        <c:gapWidth val="0"/>
        <c:axId val="18774546"/>
        <c:axId val="34753187"/>
      </c:barChart>
      <c:catAx>
        <c:axId val="18774546"/>
        <c:scaling>
          <c:orientation val="minMax"/>
        </c:scaling>
        <c:axPos val="b"/>
        <c:delete val="0"/>
        <c:numFmt formatCode="General" sourceLinked="1"/>
        <c:majorTickMark val="out"/>
        <c:minorTickMark val="none"/>
        <c:tickLblPos val="none"/>
        <c:crossAx val="34753187"/>
        <c:crosses val="autoZero"/>
        <c:auto val="1"/>
        <c:lblOffset val="100"/>
        <c:noMultiLvlLbl val="0"/>
      </c:catAx>
      <c:valAx>
        <c:axId val="34753187"/>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877454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15</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Results'!$A$314:$U$314</c:f>
              <c:numCache>
                <c:ptCount val="21"/>
                <c:pt idx="0">
                  <c:v>0</c:v>
                </c:pt>
                <c:pt idx="1">
                  <c:v>0</c:v>
                </c:pt>
                <c:pt idx="2">
                  <c:v>0</c:v>
                </c:pt>
                <c:pt idx="3">
                  <c:v>0</c:v>
                </c:pt>
                <c:pt idx="4">
                  <c:v>0</c:v>
                </c:pt>
                <c:pt idx="5">
                  <c:v>0</c:v>
                </c:pt>
                <c:pt idx="6">
                  <c:v>0</c:v>
                </c:pt>
                <c:pt idx="7">
                  <c:v>0</c:v>
                </c:pt>
                <c:pt idx="8">
                  <c:v>0</c:v>
                </c:pt>
                <c:pt idx="9">
                  <c:v>0</c:v>
                </c:pt>
                <c:pt idx="10">
                  <c:v>0</c:v>
                </c:pt>
                <c:pt idx="11">
                  <c:v>2.853229547240354E-33</c:v>
                </c:pt>
                <c:pt idx="12">
                  <c:v>0.03703703703703708</c:v>
                </c:pt>
                <c:pt idx="13">
                  <c:v>0.11111111111111122</c:v>
                </c:pt>
                <c:pt idx="14">
                  <c:v>0.18518518518518554</c:v>
                </c:pt>
                <c:pt idx="15">
                  <c:v>0.2592592592592598</c:v>
                </c:pt>
                <c:pt idx="16">
                  <c:v>0.2962962962962958</c:v>
                </c:pt>
                <c:pt idx="17">
                  <c:v>0.11111111111111063</c:v>
                </c:pt>
                <c:pt idx="18">
                  <c:v>0</c:v>
                </c:pt>
                <c:pt idx="19">
                  <c:v>0</c:v>
                </c:pt>
                <c:pt idx="20">
                  <c:v>0</c:v>
                </c:pt>
              </c:numCache>
            </c:numRef>
          </c:val>
        </c:ser>
        <c:gapWidth val="0"/>
        <c:axId val="44343228"/>
        <c:axId val="63544733"/>
      </c:barChart>
      <c:catAx>
        <c:axId val="44343228"/>
        <c:scaling>
          <c:orientation val="minMax"/>
        </c:scaling>
        <c:axPos val="b"/>
        <c:delete val="0"/>
        <c:numFmt formatCode="General" sourceLinked="1"/>
        <c:majorTickMark val="out"/>
        <c:minorTickMark val="none"/>
        <c:tickLblPos val="none"/>
        <c:crossAx val="63544733"/>
        <c:crosses val="autoZero"/>
        <c:auto val="1"/>
        <c:lblOffset val="100"/>
        <c:noMultiLvlLbl val="0"/>
      </c:catAx>
      <c:valAx>
        <c:axId val="63544733"/>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434322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16</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Results'!$A$315:$U$315</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0.3333333333333333</c:v>
                </c:pt>
                <c:pt idx="16">
                  <c:v>0.3333333333333333</c:v>
                </c:pt>
                <c:pt idx="17">
                  <c:v>0.3333333333333333</c:v>
                </c:pt>
                <c:pt idx="18">
                  <c:v>0</c:v>
                </c:pt>
                <c:pt idx="19">
                  <c:v>0</c:v>
                </c:pt>
                <c:pt idx="20">
                  <c:v>0</c:v>
                </c:pt>
              </c:numCache>
            </c:numRef>
          </c:val>
        </c:ser>
        <c:gapWidth val="0"/>
        <c:axId val="35031686"/>
        <c:axId val="46849719"/>
      </c:barChart>
      <c:catAx>
        <c:axId val="35031686"/>
        <c:scaling>
          <c:orientation val="minMax"/>
        </c:scaling>
        <c:axPos val="b"/>
        <c:delete val="0"/>
        <c:numFmt formatCode="General" sourceLinked="1"/>
        <c:majorTickMark val="out"/>
        <c:minorTickMark val="none"/>
        <c:tickLblPos val="none"/>
        <c:crossAx val="46849719"/>
        <c:crosses val="autoZero"/>
        <c:auto val="1"/>
        <c:lblOffset val="100"/>
        <c:noMultiLvlLbl val="0"/>
      </c:catAx>
      <c:valAx>
        <c:axId val="46849719"/>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503168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17</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Results'!$A$316:$U$316</c:f>
              <c:numCache>
                <c:ptCount val="21"/>
                <c:pt idx="0">
                  <c:v>0</c:v>
                </c:pt>
                <c:pt idx="1">
                  <c:v>0</c:v>
                </c:pt>
                <c:pt idx="2">
                  <c:v>0</c:v>
                </c:pt>
                <c:pt idx="3">
                  <c:v>0</c:v>
                </c:pt>
                <c:pt idx="4">
                  <c:v>0</c:v>
                </c:pt>
                <c:pt idx="5">
                  <c:v>0</c:v>
                </c:pt>
                <c:pt idx="6">
                  <c:v>0</c:v>
                </c:pt>
                <c:pt idx="7">
                  <c:v>0</c:v>
                </c:pt>
                <c:pt idx="8">
                  <c:v>0</c:v>
                </c:pt>
                <c:pt idx="9">
                  <c:v>0</c:v>
                </c:pt>
                <c:pt idx="10">
                  <c:v>0</c:v>
                </c:pt>
                <c:pt idx="11">
                  <c:v>8.559688641721048E-33</c:v>
                </c:pt>
                <c:pt idx="12">
                  <c:v>0.11111111111111108</c:v>
                </c:pt>
                <c:pt idx="13">
                  <c:v>0.2962962962962963</c:v>
                </c:pt>
                <c:pt idx="14">
                  <c:v>0.2592592592592593</c:v>
                </c:pt>
                <c:pt idx="15">
                  <c:v>0.1851851851851856</c:v>
                </c:pt>
                <c:pt idx="16">
                  <c:v>0.11111111111111086</c:v>
                </c:pt>
                <c:pt idx="17">
                  <c:v>0.037037037037036875</c:v>
                </c:pt>
                <c:pt idx="18">
                  <c:v>0</c:v>
                </c:pt>
                <c:pt idx="19">
                  <c:v>0</c:v>
                </c:pt>
                <c:pt idx="20">
                  <c:v>0</c:v>
                </c:pt>
              </c:numCache>
            </c:numRef>
          </c:val>
        </c:ser>
        <c:gapWidth val="0"/>
        <c:axId val="18994288"/>
        <c:axId val="36730865"/>
      </c:barChart>
      <c:catAx>
        <c:axId val="18994288"/>
        <c:scaling>
          <c:orientation val="minMax"/>
        </c:scaling>
        <c:axPos val="b"/>
        <c:delete val="0"/>
        <c:numFmt formatCode="General" sourceLinked="1"/>
        <c:majorTickMark val="out"/>
        <c:minorTickMark val="none"/>
        <c:tickLblPos val="none"/>
        <c:crossAx val="36730865"/>
        <c:crosses val="autoZero"/>
        <c:auto val="1"/>
        <c:lblOffset val="100"/>
        <c:noMultiLvlLbl val="0"/>
      </c:catAx>
      <c:valAx>
        <c:axId val="36730865"/>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899428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18</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Results'!$A$317:$U$317</c:f>
              <c:numCache>
                <c:ptCount val="21"/>
                <c:pt idx="0">
                  <c:v>0</c:v>
                </c:pt>
                <c:pt idx="1">
                  <c:v>0</c:v>
                </c:pt>
                <c:pt idx="2">
                  <c:v>0</c:v>
                </c:pt>
                <c:pt idx="3">
                  <c:v>0</c:v>
                </c:pt>
                <c:pt idx="4">
                  <c:v>0</c:v>
                </c:pt>
                <c:pt idx="5">
                  <c:v>0</c:v>
                </c:pt>
                <c:pt idx="6">
                  <c:v>0</c:v>
                </c:pt>
                <c:pt idx="7">
                  <c:v>0</c:v>
                </c:pt>
                <c:pt idx="8">
                  <c:v>0</c:v>
                </c:pt>
                <c:pt idx="9">
                  <c:v>0</c:v>
                </c:pt>
                <c:pt idx="10">
                  <c:v>0</c:v>
                </c:pt>
                <c:pt idx="11">
                  <c:v>2.853229547240354E-33</c:v>
                </c:pt>
                <c:pt idx="12">
                  <c:v>0.03703703703703708</c:v>
                </c:pt>
                <c:pt idx="13">
                  <c:v>0.11111111111111122</c:v>
                </c:pt>
                <c:pt idx="14">
                  <c:v>0.18518518518518554</c:v>
                </c:pt>
                <c:pt idx="15">
                  <c:v>0.2592592592592598</c:v>
                </c:pt>
                <c:pt idx="16">
                  <c:v>0.2962962962962958</c:v>
                </c:pt>
                <c:pt idx="17">
                  <c:v>0.11111111111111063</c:v>
                </c:pt>
                <c:pt idx="18">
                  <c:v>0</c:v>
                </c:pt>
                <c:pt idx="19">
                  <c:v>0</c:v>
                </c:pt>
                <c:pt idx="20">
                  <c:v>0</c:v>
                </c:pt>
              </c:numCache>
            </c:numRef>
          </c:val>
        </c:ser>
        <c:gapWidth val="0"/>
        <c:axId val="62142330"/>
        <c:axId val="22410059"/>
      </c:barChart>
      <c:catAx>
        <c:axId val="62142330"/>
        <c:scaling>
          <c:orientation val="minMax"/>
        </c:scaling>
        <c:axPos val="b"/>
        <c:delete val="0"/>
        <c:numFmt formatCode="General" sourceLinked="1"/>
        <c:majorTickMark val="out"/>
        <c:minorTickMark val="none"/>
        <c:tickLblPos val="none"/>
        <c:crossAx val="22410059"/>
        <c:crosses val="autoZero"/>
        <c:auto val="1"/>
        <c:lblOffset val="100"/>
        <c:noMultiLvlLbl val="0"/>
      </c:catAx>
      <c:valAx>
        <c:axId val="22410059"/>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6214233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Sustainability Goal 1</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Results'!$A$251:$U$251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0.22222222222222213</c:v>
                </c:pt>
                <c:pt idx="19">
                  <c:v>0.5555555555555551</c:v>
                </c:pt>
                <c:pt idx="20">
                  <c:v>0.2222222222222228</c:v>
                </c:pt>
              </c:numCache>
            </c:numRef>
          </c:val>
        </c:ser>
        <c:gapWidth val="0"/>
        <c:axId val="57982486"/>
        <c:axId val="52080327"/>
      </c:barChart>
      <c:catAx>
        <c:axId val="57982486"/>
        <c:scaling>
          <c:orientation val="minMax"/>
        </c:scaling>
        <c:axPos val="b"/>
        <c:delete val="0"/>
        <c:numFmt formatCode="General" sourceLinked="1"/>
        <c:majorTickMark val="out"/>
        <c:minorTickMark val="none"/>
        <c:tickLblPos val="none"/>
        <c:crossAx val="52080327"/>
        <c:crosses val="autoZero"/>
        <c:auto val="1"/>
        <c:lblOffset val="100"/>
        <c:noMultiLvlLbl val="0"/>
      </c:catAx>
      <c:valAx>
        <c:axId val="52080327"/>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798248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19</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Results'!$A$318:$U$318</c:f>
              <c:numCache>
                <c:ptCount val="21"/>
                <c:pt idx="0">
                  <c:v>0</c:v>
                </c:pt>
                <c:pt idx="1">
                  <c:v>0</c:v>
                </c:pt>
                <c:pt idx="2">
                  <c:v>0</c:v>
                </c:pt>
                <c:pt idx="3">
                  <c:v>0</c:v>
                </c:pt>
                <c:pt idx="4">
                  <c:v>0</c:v>
                </c:pt>
                <c:pt idx="5">
                  <c:v>0</c:v>
                </c:pt>
                <c:pt idx="6">
                  <c:v>0</c:v>
                </c:pt>
                <c:pt idx="7">
                  <c:v>0</c:v>
                </c:pt>
                <c:pt idx="8">
                  <c:v>0</c:v>
                </c:pt>
                <c:pt idx="9">
                  <c:v>0</c:v>
                </c:pt>
                <c:pt idx="10">
                  <c:v>0</c:v>
                </c:pt>
                <c:pt idx="11">
                  <c:v>2.853229547240354E-33</c:v>
                </c:pt>
                <c:pt idx="12">
                  <c:v>0.03703703703703708</c:v>
                </c:pt>
                <c:pt idx="13">
                  <c:v>0.11111111111111122</c:v>
                </c:pt>
                <c:pt idx="14">
                  <c:v>0.18518518518518554</c:v>
                </c:pt>
                <c:pt idx="15">
                  <c:v>0.2592592592592598</c:v>
                </c:pt>
                <c:pt idx="16">
                  <c:v>0.2962962962962958</c:v>
                </c:pt>
                <c:pt idx="17">
                  <c:v>0.11111111111111063</c:v>
                </c:pt>
                <c:pt idx="18">
                  <c:v>0</c:v>
                </c:pt>
                <c:pt idx="19">
                  <c:v>0</c:v>
                </c:pt>
                <c:pt idx="20">
                  <c:v>0</c:v>
                </c:pt>
              </c:numCache>
            </c:numRef>
          </c:val>
        </c:ser>
        <c:gapWidth val="0"/>
        <c:axId val="363940"/>
        <c:axId val="3275461"/>
      </c:barChart>
      <c:catAx>
        <c:axId val="363940"/>
        <c:scaling>
          <c:orientation val="minMax"/>
        </c:scaling>
        <c:axPos val="b"/>
        <c:delete val="0"/>
        <c:numFmt formatCode="General" sourceLinked="1"/>
        <c:majorTickMark val="out"/>
        <c:minorTickMark val="none"/>
        <c:tickLblPos val="none"/>
        <c:crossAx val="3275461"/>
        <c:crosses val="autoZero"/>
        <c:auto val="1"/>
        <c:lblOffset val="100"/>
        <c:noMultiLvlLbl val="0"/>
      </c:catAx>
      <c:valAx>
        <c:axId val="3275461"/>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6394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20</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Results'!$A$319:$U$319</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0.037037037037037</c:v>
                </c:pt>
                <c:pt idx="16">
                  <c:v>0.11111111111111091</c:v>
                </c:pt>
                <c:pt idx="17">
                  <c:v>0.1851851851851848</c:v>
                </c:pt>
                <c:pt idx="18">
                  <c:v>0.25925925925925875</c:v>
                </c:pt>
                <c:pt idx="19">
                  <c:v>0.296296296296295</c:v>
                </c:pt>
                <c:pt idx="20">
                  <c:v>0.11111111111111356</c:v>
                </c:pt>
              </c:numCache>
            </c:numRef>
          </c:val>
        </c:ser>
        <c:gapWidth val="0"/>
        <c:axId val="29479150"/>
        <c:axId val="63985759"/>
      </c:barChart>
      <c:catAx>
        <c:axId val="29479150"/>
        <c:scaling>
          <c:orientation val="minMax"/>
        </c:scaling>
        <c:axPos val="b"/>
        <c:delete val="0"/>
        <c:numFmt formatCode="General" sourceLinked="1"/>
        <c:majorTickMark val="out"/>
        <c:minorTickMark val="none"/>
        <c:tickLblPos val="none"/>
        <c:crossAx val="63985759"/>
        <c:crosses val="autoZero"/>
        <c:auto val="1"/>
        <c:lblOffset val="100"/>
        <c:noMultiLvlLbl val="0"/>
      </c:catAx>
      <c:valAx>
        <c:axId val="63985759"/>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947915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21</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Results'!$A$320:$U$320</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0.3333333333333333</c:v>
                </c:pt>
                <c:pt idx="16">
                  <c:v>0.3333333333333333</c:v>
                </c:pt>
                <c:pt idx="17">
                  <c:v>0.3333333333333333</c:v>
                </c:pt>
                <c:pt idx="18">
                  <c:v>0</c:v>
                </c:pt>
                <c:pt idx="19">
                  <c:v>0</c:v>
                </c:pt>
                <c:pt idx="20">
                  <c:v>0</c:v>
                </c:pt>
              </c:numCache>
            </c:numRef>
          </c:val>
        </c:ser>
        <c:gapWidth val="0"/>
        <c:axId val="39000920"/>
        <c:axId val="15463961"/>
      </c:barChart>
      <c:catAx>
        <c:axId val="39000920"/>
        <c:scaling>
          <c:orientation val="minMax"/>
        </c:scaling>
        <c:axPos val="b"/>
        <c:delete val="0"/>
        <c:numFmt formatCode="General" sourceLinked="1"/>
        <c:majorTickMark val="out"/>
        <c:minorTickMark val="none"/>
        <c:tickLblPos val="none"/>
        <c:crossAx val="15463961"/>
        <c:crosses val="autoZero"/>
        <c:auto val="1"/>
        <c:lblOffset val="100"/>
        <c:noMultiLvlLbl val="0"/>
      </c:catAx>
      <c:valAx>
        <c:axId val="15463961"/>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900092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22</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Results'!$A$321:$U$321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0.037037037037037</c:v>
                </c:pt>
                <c:pt idx="16">
                  <c:v>0.11111111111111091</c:v>
                </c:pt>
                <c:pt idx="17">
                  <c:v>0.1851851851851848</c:v>
                </c:pt>
                <c:pt idx="18">
                  <c:v>0.25925925925925875</c:v>
                </c:pt>
                <c:pt idx="19">
                  <c:v>0.296296296296295</c:v>
                </c:pt>
                <c:pt idx="20">
                  <c:v>0.11111111111111356</c:v>
                </c:pt>
              </c:numCache>
            </c:numRef>
          </c:val>
        </c:ser>
        <c:gapWidth val="0"/>
        <c:axId val="4957922"/>
        <c:axId val="44621299"/>
      </c:barChart>
      <c:catAx>
        <c:axId val="4957922"/>
        <c:scaling>
          <c:orientation val="minMax"/>
        </c:scaling>
        <c:axPos val="b"/>
        <c:delete val="0"/>
        <c:numFmt formatCode="General" sourceLinked="1"/>
        <c:majorTickMark val="out"/>
        <c:minorTickMark val="none"/>
        <c:tickLblPos val="none"/>
        <c:crossAx val="44621299"/>
        <c:crosses val="autoZero"/>
        <c:auto val="1"/>
        <c:lblOffset val="100"/>
        <c:noMultiLvlLbl val="0"/>
      </c:catAx>
      <c:valAx>
        <c:axId val="44621299"/>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95792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23</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Results'!$A$322:$U$322</c:f>
              <c:numCache>
                <c:ptCount val="21"/>
                <c:pt idx="0">
                  <c:v>0</c:v>
                </c:pt>
                <c:pt idx="1">
                  <c:v>0</c:v>
                </c:pt>
                <c:pt idx="2">
                  <c:v>0</c:v>
                </c:pt>
                <c:pt idx="3">
                  <c:v>0</c:v>
                </c:pt>
                <c:pt idx="4">
                  <c:v>0</c:v>
                </c:pt>
                <c:pt idx="5">
                  <c:v>0</c:v>
                </c:pt>
                <c:pt idx="6">
                  <c:v>0</c:v>
                </c:pt>
                <c:pt idx="7">
                  <c:v>0</c:v>
                </c:pt>
                <c:pt idx="8">
                  <c:v>8.559688641721048E-33</c:v>
                </c:pt>
                <c:pt idx="9">
                  <c:v>0.11111111111111135</c:v>
                </c:pt>
                <c:pt idx="10">
                  <c:v>0.29629629629629606</c:v>
                </c:pt>
                <c:pt idx="11">
                  <c:v>0.25925925925925924</c:v>
                </c:pt>
                <c:pt idx="12">
                  <c:v>0.18518518518518526</c:v>
                </c:pt>
                <c:pt idx="13">
                  <c:v>0.11111111111111097</c:v>
                </c:pt>
                <c:pt idx="14">
                  <c:v>0.0370370370370371</c:v>
                </c:pt>
                <c:pt idx="15">
                  <c:v>0</c:v>
                </c:pt>
                <c:pt idx="16">
                  <c:v>0</c:v>
                </c:pt>
                <c:pt idx="17">
                  <c:v>0</c:v>
                </c:pt>
                <c:pt idx="18">
                  <c:v>0</c:v>
                </c:pt>
                <c:pt idx="19">
                  <c:v>0</c:v>
                </c:pt>
                <c:pt idx="20">
                  <c:v>0</c:v>
                </c:pt>
              </c:numCache>
            </c:numRef>
          </c:val>
        </c:ser>
        <c:gapWidth val="0"/>
        <c:axId val="66047372"/>
        <c:axId val="57555437"/>
      </c:barChart>
      <c:catAx>
        <c:axId val="66047372"/>
        <c:scaling>
          <c:orientation val="minMax"/>
        </c:scaling>
        <c:axPos val="b"/>
        <c:delete val="0"/>
        <c:numFmt formatCode="General" sourceLinked="1"/>
        <c:majorTickMark val="out"/>
        <c:minorTickMark val="none"/>
        <c:tickLblPos val="none"/>
        <c:crossAx val="57555437"/>
        <c:crosses val="autoZero"/>
        <c:auto val="1"/>
        <c:lblOffset val="100"/>
        <c:noMultiLvlLbl val="0"/>
      </c:catAx>
      <c:valAx>
        <c:axId val="57555437"/>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6604737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25</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Results'!$A$324:$U$324</c:f>
              <c:numCache>
                <c:ptCount val="21"/>
                <c:pt idx="0">
                  <c:v>0</c:v>
                </c:pt>
                <c:pt idx="1">
                  <c:v>0</c:v>
                </c:pt>
                <c:pt idx="2">
                  <c:v>0</c:v>
                </c:pt>
                <c:pt idx="3">
                  <c:v>0</c:v>
                </c:pt>
                <c:pt idx="4">
                  <c:v>0</c:v>
                </c:pt>
                <c:pt idx="5">
                  <c:v>0</c:v>
                </c:pt>
                <c:pt idx="6">
                  <c:v>0.16666666666666669</c:v>
                </c:pt>
                <c:pt idx="7">
                  <c:v>0.16666666666666669</c:v>
                </c:pt>
                <c:pt idx="8">
                  <c:v>0.16666666666666669</c:v>
                </c:pt>
                <c:pt idx="9">
                  <c:v>0.16666666666666669</c:v>
                </c:pt>
                <c:pt idx="10">
                  <c:v>0.16666666666666669</c:v>
                </c:pt>
                <c:pt idx="11">
                  <c:v>0.16666666666666669</c:v>
                </c:pt>
                <c:pt idx="12">
                  <c:v>0</c:v>
                </c:pt>
                <c:pt idx="13">
                  <c:v>0</c:v>
                </c:pt>
                <c:pt idx="14">
                  <c:v>0</c:v>
                </c:pt>
                <c:pt idx="15">
                  <c:v>0</c:v>
                </c:pt>
                <c:pt idx="16">
                  <c:v>0</c:v>
                </c:pt>
                <c:pt idx="17">
                  <c:v>0</c:v>
                </c:pt>
                <c:pt idx="18">
                  <c:v>0</c:v>
                </c:pt>
                <c:pt idx="19">
                  <c:v>0</c:v>
                </c:pt>
                <c:pt idx="20">
                  <c:v>0</c:v>
                </c:pt>
              </c:numCache>
            </c:numRef>
          </c:val>
        </c:ser>
        <c:gapWidth val="0"/>
        <c:axId val="48236886"/>
        <c:axId val="31478791"/>
      </c:barChart>
      <c:catAx>
        <c:axId val="48236886"/>
        <c:scaling>
          <c:orientation val="minMax"/>
        </c:scaling>
        <c:axPos val="b"/>
        <c:delete val="0"/>
        <c:numFmt formatCode="General" sourceLinked="1"/>
        <c:majorTickMark val="out"/>
        <c:minorTickMark val="none"/>
        <c:tickLblPos val="none"/>
        <c:crossAx val="31478791"/>
        <c:crosses val="autoZero"/>
        <c:auto val="1"/>
        <c:lblOffset val="100"/>
        <c:noMultiLvlLbl val="0"/>
      </c:catAx>
      <c:valAx>
        <c:axId val="31478791"/>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4823688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Development Costs</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Results'!$A$204:$U$204</c:f>
              <c:numCache>
                <c:ptCount val="21"/>
                <c:pt idx="0">
                  <c:v>0</c:v>
                </c:pt>
                <c:pt idx="1">
                  <c:v>0</c:v>
                </c:pt>
                <c:pt idx="2">
                  <c:v>0</c:v>
                </c:pt>
                <c:pt idx="3">
                  <c:v>0</c:v>
                </c:pt>
                <c:pt idx="4">
                  <c:v>0</c:v>
                </c:pt>
                <c:pt idx="5">
                  <c:v>0</c:v>
                </c:pt>
                <c:pt idx="6">
                  <c:v>0.16666666666666669</c:v>
                </c:pt>
                <c:pt idx="7">
                  <c:v>0.16666666666666669</c:v>
                </c:pt>
                <c:pt idx="8">
                  <c:v>0.16666666666666669</c:v>
                </c:pt>
                <c:pt idx="9">
                  <c:v>0.16666666666666669</c:v>
                </c:pt>
                <c:pt idx="10">
                  <c:v>0.16666666666666669</c:v>
                </c:pt>
                <c:pt idx="11">
                  <c:v>0.16666666666666669</c:v>
                </c:pt>
                <c:pt idx="12">
                  <c:v>0</c:v>
                </c:pt>
                <c:pt idx="13">
                  <c:v>0</c:v>
                </c:pt>
                <c:pt idx="14">
                  <c:v>0</c:v>
                </c:pt>
                <c:pt idx="15">
                  <c:v>0</c:v>
                </c:pt>
                <c:pt idx="16">
                  <c:v>0</c:v>
                </c:pt>
                <c:pt idx="17">
                  <c:v>0</c:v>
                </c:pt>
                <c:pt idx="18">
                  <c:v>0</c:v>
                </c:pt>
                <c:pt idx="19">
                  <c:v>0</c:v>
                </c:pt>
                <c:pt idx="20">
                  <c:v>0</c:v>
                </c:pt>
              </c:numCache>
            </c:numRef>
          </c:val>
        </c:ser>
        <c:gapWidth val="0"/>
        <c:axId val="14873664"/>
        <c:axId val="66754113"/>
      </c:barChart>
      <c:catAx>
        <c:axId val="14873664"/>
        <c:scaling>
          <c:orientation val="minMax"/>
        </c:scaling>
        <c:axPos val="b"/>
        <c:delete val="0"/>
        <c:numFmt formatCode="General" sourceLinked="1"/>
        <c:majorTickMark val="out"/>
        <c:minorTickMark val="none"/>
        <c:tickLblPos val="none"/>
        <c:crossAx val="66754113"/>
        <c:crosses val="autoZero"/>
        <c:auto val="1"/>
        <c:lblOffset val="100"/>
        <c:noMultiLvlLbl val="0"/>
      </c:catAx>
      <c:valAx>
        <c:axId val="66754113"/>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487366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Economic Goal 2</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Results'!$A$258:$U$258</c:f>
              <c:numCache>
                <c:ptCount val="21"/>
                <c:pt idx="0">
                  <c:v>0</c:v>
                </c:pt>
                <c:pt idx="1">
                  <c:v>0</c:v>
                </c:pt>
                <c:pt idx="2">
                  <c:v>0</c:v>
                </c:pt>
                <c:pt idx="3">
                  <c:v>0</c:v>
                </c:pt>
                <c:pt idx="4">
                  <c:v>0</c:v>
                </c:pt>
                <c:pt idx="5">
                  <c:v>0</c:v>
                </c:pt>
                <c:pt idx="6">
                  <c:v>0</c:v>
                </c:pt>
                <c:pt idx="7">
                  <c:v>0.005633788625552091</c:v>
                </c:pt>
                <c:pt idx="8">
                  <c:v>0.08228188007761787</c:v>
                </c:pt>
                <c:pt idx="9">
                  <c:v>0.2109117963414417</c:v>
                </c:pt>
                <c:pt idx="10">
                  <c:v>0.36462201977657105</c:v>
                </c:pt>
                <c:pt idx="11">
                  <c:v>0.2895563905470354</c:v>
                </c:pt>
                <c:pt idx="12">
                  <c:v>0.04699412463178183</c:v>
                </c:pt>
                <c:pt idx="13">
                  <c:v>0</c:v>
                </c:pt>
                <c:pt idx="14">
                  <c:v>0</c:v>
                </c:pt>
                <c:pt idx="15">
                  <c:v>0</c:v>
                </c:pt>
                <c:pt idx="16">
                  <c:v>0</c:v>
                </c:pt>
                <c:pt idx="17">
                  <c:v>0</c:v>
                </c:pt>
                <c:pt idx="18">
                  <c:v>0</c:v>
                </c:pt>
                <c:pt idx="19">
                  <c:v>0</c:v>
                </c:pt>
                <c:pt idx="20">
                  <c:v>0</c:v>
                </c:pt>
              </c:numCache>
            </c:numRef>
          </c:val>
        </c:ser>
        <c:gapWidth val="0"/>
        <c:axId val="63916106"/>
        <c:axId val="38374043"/>
      </c:barChart>
      <c:catAx>
        <c:axId val="63916106"/>
        <c:scaling>
          <c:orientation val="minMax"/>
        </c:scaling>
        <c:axPos val="b"/>
        <c:delete val="0"/>
        <c:numFmt formatCode="General" sourceLinked="1"/>
        <c:majorTickMark val="out"/>
        <c:minorTickMark val="none"/>
        <c:tickLblPos val="none"/>
        <c:crossAx val="38374043"/>
        <c:crosses val="autoZero"/>
        <c:auto val="1"/>
        <c:lblOffset val="100"/>
        <c:noMultiLvlLbl val="0"/>
      </c:catAx>
      <c:valAx>
        <c:axId val="38374043"/>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6391610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Development Costs</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Results'!$A$259:$U$259</c:f>
              <c:numCache>
                <c:ptCount val="21"/>
                <c:pt idx="0">
                  <c:v>0</c:v>
                </c:pt>
                <c:pt idx="1">
                  <c:v>0</c:v>
                </c:pt>
                <c:pt idx="2">
                  <c:v>0</c:v>
                </c:pt>
                <c:pt idx="3">
                  <c:v>0</c:v>
                </c:pt>
                <c:pt idx="4">
                  <c:v>0</c:v>
                </c:pt>
                <c:pt idx="5">
                  <c:v>0</c:v>
                </c:pt>
                <c:pt idx="6">
                  <c:v>0.16666666666666669</c:v>
                </c:pt>
                <c:pt idx="7">
                  <c:v>0.16666666666666669</c:v>
                </c:pt>
                <c:pt idx="8">
                  <c:v>0.16666666666666669</c:v>
                </c:pt>
                <c:pt idx="9">
                  <c:v>0.16666666666666669</c:v>
                </c:pt>
                <c:pt idx="10">
                  <c:v>0.16666666666666669</c:v>
                </c:pt>
                <c:pt idx="11">
                  <c:v>0.16666666666666669</c:v>
                </c:pt>
                <c:pt idx="12">
                  <c:v>0</c:v>
                </c:pt>
                <c:pt idx="13">
                  <c:v>0</c:v>
                </c:pt>
                <c:pt idx="14">
                  <c:v>0</c:v>
                </c:pt>
                <c:pt idx="15">
                  <c:v>0</c:v>
                </c:pt>
                <c:pt idx="16">
                  <c:v>0</c:v>
                </c:pt>
                <c:pt idx="17">
                  <c:v>0</c:v>
                </c:pt>
                <c:pt idx="18">
                  <c:v>0</c:v>
                </c:pt>
                <c:pt idx="19">
                  <c:v>0</c:v>
                </c:pt>
                <c:pt idx="20">
                  <c:v>0</c:v>
                </c:pt>
              </c:numCache>
            </c:numRef>
          </c:val>
        </c:ser>
        <c:gapWidth val="0"/>
        <c:axId val="9822068"/>
        <c:axId val="21289749"/>
      </c:barChart>
      <c:catAx>
        <c:axId val="9822068"/>
        <c:scaling>
          <c:orientation val="minMax"/>
        </c:scaling>
        <c:axPos val="b"/>
        <c:delete val="0"/>
        <c:numFmt formatCode="General" sourceLinked="1"/>
        <c:majorTickMark val="out"/>
        <c:minorTickMark val="none"/>
        <c:tickLblPos val="none"/>
        <c:crossAx val="21289749"/>
        <c:crosses val="autoZero"/>
        <c:auto val="1"/>
        <c:lblOffset val="100"/>
        <c:noMultiLvlLbl val="0"/>
      </c:catAx>
      <c:valAx>
        <c:axId val="21289749"/>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982206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9</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Results'!$A$308:$U$308</c:f>
              <c:numCache>
                <c:ptCount val="21"/>
                <c:pt idx="0">
                  <c:v>0</c:v>
                </c:pt>
                <c:pt idx="1">
                  <c:v>0</c:v>
                </c:pt>
                <c:pt idx="2">
                  <c:v>0</c:v>
                </c:pt>
                <c:pt idx="3">
                  <c:v>0</c:v>
                </c:pt>
                <c:pt idx="4">
                  <c:v>0</c:v>
                </c:pt>
                <c:pt idx="5">
                  <c:v>0</c:v>
                </c:pt>
                <c:pt idx="6">
                  <c:v>0</c:v>
                </c:pt>
                <c:pt idx="7">
                  <c:v>0</c:v>
                </c:pt>
                <c:pt idx="8">
                  <c:v>0</c:v>
                </c:pt>
                <c:pt idx="9">
                  <c:v>0</c:v>
                </c:pt>
                <c:pt idx="10">
                  <c:v>0</c:v>
                </c:pt>
                <c:pt idx="11">
                  <c:v>0</c:v>
                </c:pt>
                <c:pt idx="12">
                  <c:v>0.3333333333333333</c:v>
                </c:pt>
                <c:pt idx="13">
                  <c:v>0.3333333333333333</c:v>
                </c:pt>
                <c:pt idx="14">
                  <c:v>0.3333333333333333</c:v>
                </c:pt>
                <c:pt idx="15">
                  <c:v>0</c:v>
                </c:pt>
                <c:pt idx="16">
                  <c:v>0</c:v>
                </c:pt>
                <c:pt idx="17">
                  <c:v>0</c:v>
                </c:pt>
                <c:pt idx="18">
                  <c:v>0</c:v>
                </c:pt>
                <c:pt idx="19">
                  <c:v>0</c:v>
                </c:pt>
                <c:pt idx="20">
                  <c:v>0</c:v>
                </c:pt>
              </c:numCache>
            </c:numRef>
          </c:val>
        </c:ser>
        <c:gapWidth val="0"/>
        <c:axId val="57390014"/>
        <c:axId val="46748079"/>
      </c:barChart>
      <c:catAx>
        <c:axId val="57390014"/>
        <c:scaling>
          <c:orientation val="minMax"/>
        </c:scaling>
        <c:axPos val="b"/>
        <c:delete val="0"/>
        <c:numFmt formatCode="General" sourceLinked="1"/>
        <c:majorTickMark val="out"/>
        <c:minorTickMark val="none"/>
        <c:tickLblPos val="none"/>
        <c:crossAx val="46748079"/>
        <c:crosses val="autoZero"/>
        <c:auto val="1"/>
        <c:lblOffset val="100"/>
        <c:noMultiLvlLbl val="0"/>
      </c:catAx>
      <c:valAx>
        <c:axId val="46748079"/>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739001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Sustainability Goal 2</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'Concept Results'!$A$252:$U$252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0.000336867121656024</c:v>
                </c:pt>
                <c:pt idx="16">
                  <c:v>0.04073805935183767</c:v>
                </c:pt>
                <c:pt idx="17">
                  <c:v>0.3421804772307742</c:v>
                </c:pt>
                <c:pt idx="18">
                  <c:v>0.4954580659000718</c:v>
                </c:pt>
                <c:pt idx="19">
                  <c:v>0.1179058634919026</c:v>
                </c:pt>
                <c:pt idx="20">
                  <c:v>0.0033806669037579184</c:v>
                </c:pt>
              </c:numCache>
            </c:numRef>
          </c:val>
        </c:ser>
        <c:gapWidth val="0"/>
        <c:axId val="66069760"/>
        <c:axId val="57756929"/>
      </c:barChart>
      <c:catAx>
        <c:axId val="66069760"/>
        <c:scaling>
          <c:orientation val="minMax"/>
        </c:scaling>
        <c:axPos val="b"/>
        <c:delete val="0"/>
        <c:numFmt formatCode="General" sourceLinked="1"/>
        <c:majorTickMark val="out"/>
        <c:minorTickMark val="none"/>
        <c:tickLblPos val="none"/>
        <c:crossAx val="57756929"/>
        <c:crosses val="autoZero"/>
        <c:auto val="1"/>
        <c:lblOffset val="100"/>
        <c:noMultiLvlLbl val="0"/>
      </c:catAx>
      <c:valAx>
        <c:axId val="57756929"/>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6606976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24</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Results'!$A$323:$U$323</c:f>
              <c:numCache>
                <c:ptCount val="21"/>
                <c:pt idx="0">
                  <c:v>0</c:v>
                </c:pt>
                <c:pt idx="1">
                  <c:v>0</c:v>
                </c:pt>
                <c:pt idx="2">
                  <c:v>0</c:v>
                </c:pt>
                <c:pt idx="3">
                  <c:v>0</c:v>
                </c:pt>
                <c:pt idx="4">
                  <c:v>0</c:v>
                </c:pt>
                <c:pt idx="5">
                  <c:v>0</c:v>
                </c:pt>
                <c:pt idx="6">
                  <c:v>0</c:v>
                </c:pt>
                <c:pt idx="7">
                  <c:v>0</c:v>
                </c:pt>
                <c:pt idx="8">
                  <c:v>0</c:v>
                </c:pt>
                <c:pt idx="9">
                  <c:v>0.3333333333333333</c:v>
                </c:pt>
                <c:pt idx="10">
                  <c:v>0.3333333333333333</c:v>
                </c:pt>
                <c:pt idx="11">
                  <c:v>0.3333333333333333</c:v>
                </c:pt>
                <c:pt idx="12">
                  <c:v>0</c:v>
                </c:pt>
                <c:pt idx="13">
                  <c:v>0</c:v>
                </c:pt>
                <c:pt idx="14">
                  <c:v>0</c:v>
                </c:pt>
                <c:pt idx="15">
                  <c:v>0</c:v>
                </c:pt>
                <c:pt idx="16">
                  <c:v>0</c:v>
                </c:pt>
                <c:pt idx="17">
                  <c:v>0</c:v>
                </c:pt>
                <c:pt idx="18">
                  <c:v>0</c:v>
                </c:pt>
                <c:pt idx="19">
                  <c:v>0</c:v>
                </c:pt>
                <c:pt idx="20">
                  <c:v>0</c:v>
                </c:pt>
              </c:numCache>
            </c:numRef>
          </c:val>
        </c:ser>
        <c:gapWidth val="0"/>
        <c:axId val="18079528"/>
        <c:axId val="28498025"/>
      </c:barChart>
      <c:catAx>
        <c:axId val="18079528"/>
        <c:scaling>
          <c:orientation val="minMax"/>
        </c:scaling>
        <c:axPos val="b"/>
        <c:delete val="0"/>
        <c:numFmt formatCode="General" sourceLinked="1"/>
        <c:majorTickMark val="out"/>
        <c:minorTickMark val="none"/>
        <c:tickLblPos val="none"/>
        <c:crossAx val="28498025"/>
        <c:crosses val="autoZero"/>
        <c:auto val="1"/>
        <c:lblOffset val="100"/>
        <c:noMultiLvlLbl val="0"/>
      </c:catAx>
      <c:valAx>
        <c:axId val="28498025"/>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807952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Metric 26</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Results'!$A$325:$U$325</c:f>
              <c:numCache>
                <c:ptCount val="21"/>
                <c:pt idx="0">
                  <c:v>0</c:v>
                </c:pt>
                <c:pt idx="1">
                  <c:v>0</c:v>
                </c:pt>
                <c:pt idx="2">
                  <c:v>0</c:v>
                </c:pt>
                <c:pt idx="3">
                  <c:v>0</c:v>
                </c:pt>
                <c:pt idx="4">
                  <c:v>0</c:v>
                </c:pt>
                <c:pt idx="5">
                  <c:v>0</c:v>
                </c:pt>
                <c:pt idx="6">
                  <c:v>0.3333333333333333</c:v>
                </c:pt>
                <c:pt idx="7">
                  <c:v>0.3333333333333333</c:v>
                </c:pt>
                <c:pt idx="8">
                  <c:v>0.3333333333333333</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55155634"/>
        <c:axId val="26638659"/>
      </c:barChart>
      <c:catAx>
        <c:axId val="55155634"/>
        <c:scaling>
          <c:orientation val="minMax"/>
        </c:scaling>
        <c:axPos val="b"/>
        <c:delete val="0"/>
        <c:numFmt formatCode="General" sourceLinked="1"/>
        <c:majorTickMark val="out"/>
        <c:minorTickMark val="none"/>
        <c:tickLblPos val="none"/>
        <c:crossAx val="26638659"/>
        <c:crosses val="autoZero"/>
        <c:auto val="1"/>
        <c:lblOffset val="100"/>
        <c:noMultiLvlLbl val="0"/>
      </c:catAx>
      <c:valAx>
        <c:axId val="26638659"/>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515563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R&amp;D Costs</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Results'!$A$260:$U$260</c:f>
              <c:numCache>
                <c:ptCount val="21"/>
                <c:pt idx="0">
                  <c:v>0</c:v>
                </c:pt>
                <c:pt idx="1">
                  <c:v>0</c:v>
                </c:pt>
                <c:pt idx="2">
                  <c:v>0</c:v>
                </c:pt>
                <c:pt idx="3">
                  <c:v>0</c:v>
                </c:pt>
                <c:pt idx="4">
                  <c:v>0</c:v>
                </c:pt>
                <c:pt idx="5">
                  <c:v>0</c:v>
                </c:pt>
                <c:pt idx="6">
                  <c:v>0.3333333333333333</c:v>
                </c:pt>
                <c:pt idx="7">
                  <c:v>0.3333333333333333</c:v>
                </c:pt>
                <c:pt idx="8">
                  <c:v>0.3333333333333333</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38421340"/>
        <c:axId val="10247741"/>
      </c:barChart>
      <c:catAx>
        <c:axId val="38421340"/>
        <c:scaling>
          <c:orientation val="minMax"/>
        </c:scaling>
        <c:axPos val="b"/>
        <c:delete val="0"/>
        <c:numFmt formatCode="General" sourceLinked="1"/>
        <c:majorTickMark val="out"/>
        <c:minorTickMark val="none"/>
        <c:tickLblPos val="none"/>
        <c:crossAx val="10247741"/>
        <c:crosses val="autoZero"/>
        <c:auto val="1"/>
        <c:lblOffset val="100"/>
        <c:noMultiLvlLbl val="0"/>
      </c:catAx>
      <c:valAx>
        <c:axId val="10247741"/>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38421340"/>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R&amp;D Costs</a:t>
            </a:r>
          </a:p>
        </c:rich>
      </c:tx>
      <c:layout/>
      <c:spPr>
        <a:noFill/>
        <a:ln>
          <a:noFill/>
        </a:ln>
      </c:spPr>
    </c:title>
    <c:plotArea>
      <c:layout/>
      <c:barChart>
        <c:barDir val="col"/>
        <c:grouping val="clustered"/>
        <c:varyColors val="0"/>
        <c:ser>
          <c:idx val="0"/>
          <c:order val="0"/>
          <c:spPr>
            <a:solidFill>
              <a:srgbClr val="00808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Results'!$A$260:$U$260</c:f>
              <c:numCache>
                <c:ptCount val="21"/>
                <c:pt idx="0">
                  <c:v>0</c:v>
                </c:pt>
                <c:pt idx="1">
                  <c:v>0</c:v>
                </c:pt>
                <c:pt idx="2">
                  <c:v>0</c:v>
                </c:pt>
                <c:pt idx="3">
                  <c:v>0</c:v>
                </c:pt>
                <c:pt idx="4">
                  <c:v>0</c:v>
                </c:pt>
                <c:pt idx="5">
                  <c:v>0</c:v>
                </c:pt>
                <c:pt idx="6">
                  <c:v>0.3333333333333333</c:v>
                </c:pt>
                <c:pt idx="7">
                  <c:v>0.3333333333333333</c:v>
                </c:pt>
                <c:pt idx="8">
                  <c:v>0.3333333333333333</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0"/>
        <c:axId val="25120806"/>
        <c:axId val="24760663"/>
      </c:barChart>
      <c:catAx>
        <c:axId val="25120806"/>
        <c:scaling>
          <c:orientation val="minMax"/>
        </c:scaling>
        <c:axPos val="b"/>
        <c:delete val="0"/>
        <c:numFmt formatCode="General" sourceLinked="1"/>
        <c:majorTickMark val="out"/>
        <c:minorTickMark val="none"/>
        <c:tickLblPos val="none"/>
        <c:crossAx val="24760663"/>
        <c:crosses val="autoZero"/>
        <c:auto val="1"/>
        <c:lblOffset val="100"/>
        <c:noMultiLvlLbl val="0"/>
      </c:catAx>
      <c:valAx>
        <c:axId val="24760663"/>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512080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Nonproliferation Goal Rollup</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Results'!$A$253:$U$253</c:f>
              <c:numCache>
                <c:ptCount val="21"/>
                <c:pt idx="0">
                  <c:v>0</c:v>
                </c:pt>
                <c:pt idx="1">
                  <c:v>0</c:v>
                </c:pt>
                <c:pt idx="2">
                  <c:v>0</c:v>
                </c:pt>
                <c:pt idx="3">
                  <c:v>0</c:v>
                </c:pt>
                <c:pt idx="4">
                  <c:v>0</c:v>
                </c:pt>
                <c:pt idx="5">
                  <c:v>0</c:v>
                </c:pt>
                <c:pt idx="6">
                  <c:v>0</c:v>
                </c:pt>
                <c:pt idx="7">
                  <c:v>0</c:v>
                </c:pt>
                <c:pt idx="8">
                  <c:v>0</c:v>
                </c:pt>
                <c:pt idx="9">
                  <c:v>0</c:v>
                </c:pt>
                <c:pt idx="10">
                  <c:v>0.006172839506172945</c:v>
                </c:pt>
                <c:pt idx="11">
                  <c:v>0.2135802469135803</c:v>
                </c:pt>
                <c:pt idx="12">
                  <c:v>0.6080246913580242</c:v>
                </c:pt>
                <c:pt idx="13">
                  <c:v>0.1685185185185186</c:v>
                </c:pt>
                <c:pt idx="14">
                  <c:v>0.003703703703703713</c:v>
                </c:pt>
                <c:pt idx="15">
                  <c:v>0</c:v>
                </c:pt>
                <c:pt idx="16">
                  <c:v>0</c:v>
                </c:pt>
                <c:pt idx="17">
                  <c:v>0</c:v>
                </c:pt>
                <c:pt idx="18">
                  <c:v>0</c:v>
                </c:pt>
                <c:pt idx="19">
                  <c:v>0</c:v>
                </c:pt>
                <c:pt idx="20">
                  <c:v>0</c:v>
                </c:pt>
              </c:numCache>
            </c:numRef>
          </c:val>
        </c:ser>
        <c:gapWidth val="0"/>
        <c:axId val="21519376"/>
        <c:axId val="59456657"/>
      </c:barChart>
      <c:catAx>
        <c:axId val="21519376"/>
        <c:scaling>
          <c:orientation val="minMax"/>
        </c:scaling>
        <c:axPos val="b"/>
        <c:delete val="0"/>
        <c:numFmt formatCode="General" sourceLinked="1"/>
        <c:majorTickMark val="out"/>
        <c:minorTickMark val="none"/>
        <c:tickLblPos val="none"/>
        <c:crossAx val="59456657"/>
        <c:crosses val="autoZero"/>
        <c:auto val="1"/>
        <c:lblOffset val="100"/>
        <c:noMultiLvlLbl val="0"/>
      </c:catAx>
      <c:valAx>
        <c:axId val="59456657"/>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151937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Nonproliferation Goal 1</a:t>
            </a:r>
          </a:p>
        </c:rich>
      </c:tx>
      <c:layout/>
      <c:spPr>
        <a:noFill/>
        <a:ln>
          <a:noFill/>
        </a:ln>
      </c:spPr>
    </c:title>
    <c:plotArea>
      <c:layout/>
      <c:barChart>
        <c:barDir val="col"/>
        <c:grouping val="clustered"/>
        <c:varyColors val="0"/>
        <c:ser>
          <c:idx val="0"/>
          <c:order val="0"/>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Results'!$A$253:$U$253</c:f>
              <c:numCache>
                <c:ptCount val="21"/>
                <c:pt idx="0">
                  <c:v>0</c:v>
                </c:pt>
                <c:pt idx="1">
                  <c:v>0</c:v>
                </c:pt>
                <c:pt idx="2">
                  <c:v>0</c:v>
                </c:pt>
                <c:pt idx="3">
                  <c:v>0</c:v>
                </c:pt>
                <c:pt idx="4">
                  <c:v>0</c:v>
                </c:pt>
                <c:pt idx="5">
                  <c:v>0</c:v>
                </c:pt>
                <c:pt idx="6">
                  <c:v>0</c:v>
                </c:pt>
                <c:pt idx="7">
                  <c:v>0</c:v>
                </c:pt>
                <c:pt idx="8">
                  <c:v>0</c:v>
                </c:pt>
                <c:pt idx="9">
                  <c:v>0</c:v>
                </c:pt>
                <c:pt idx="10">
                  <c:v>0.006172839506172945</c:v>
                </c:pt>
                <c:pt idx="11">
                  <c:v>0.2135802469135803</c:v>
                </c:pt>
                <c:pt idx="12">
                  <c:v>0.6080246913580242</c:v>
                </c:pt>
                <c:pt idx="13">
                  <c:v>0.1685185185185186</c:v>
                </c:pt>
                <c:pt idx="14">
                  <c:v>0.003703703703703713</c:v>
                </c:pt>
                <c:pt idx="15">
                  <c:v>0</c:v>
                </c:pt>
                <c:pt idx="16">
                  <c:v>0</c:v>
                </c:pt>
                <c:pt idx="17">
                  <c:v>0</c:v>
                </c:pt>
                <c:pt idx="18">
                  <c:v>0</c:v>
                </c:pt>
                <c:pt idx="19">
                  <c:v>0</c:v>
                </c:pt>
                <c:pt idx="20">
                  <c:v>0</c:v>
                </c:pt>
              </c:numCache>
            </c:numRef>
          </c:val>
        </c:ser>
        <c:gapWidth val="0"/>
        <c:axId val="50050314"/>
        <c:axId val="47799643"/>
      </c:barChart>
      <c:catAx>
        <c:axId val="50050314"/>
        <c:scaling>
          <c:orientation val="minMax"/>
        </c:scaling>
        <c:axPos val="b"/>
        <c:delete val="0"/>
        <c:numFmt formatCode="General" sourceLinked="1"/>
        <c:majorTickMark val="out"/>
        <c:minorTickMark val="none"/>
        <c:tickLblPos val="none"/>
        <c:crossAx val="47799643"/>
        <c:crosses val="autoZero"/>
        <c:auto val="1"/>
        <c:lblOffset val="100"/>
        <c:noMultiLvlLbl val="0"/>
      </c:catAx>
      <c:valAx>
        <c:axId val="47799643"/>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005031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Safety &amp; Reliability Goal 1</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Results'!$A$254:$U$254</c:f>
              <c:numCache>
                <c:ptCount val="21"/>
                <c:pt idx="0">
                  <c:v>0</c:v>
                </c:pt>
                <c:pt idx="1">
                  <c:v>0</c:v>
                </c:pt>
                <c:pt idx="2">
                  <c:v>0</c:v>
                </c:pt>
                <c:pt idx="3">
                  <c:v>0</c:v>
                </c:pt>
                <c:pt idx="4">
                  <c:v>0</c:v>
                </c:pt>
                <c:pt idx="5">
                  <c:v>0</c:v>
                </c:pt>
                <c:pt idx="6">
                  <c:v>9.483649172720976E-06</c:v>
                </c:pt>
                <c:pt idx="7">
                  <c:v>0.0014401598672289116</c:v>
                </c:pt>
                <c:pt idx="8">
                  <c:v>0.02258327829429796</c:v>
                </c:pt>
                <c:pt idx="9">
                  <c:v>0.10426764212772476</c:v>
                </c:pt>
                <c:pt idx="10">
                  <c:v>0.22641670477061462</c:v>
                </c:pt>
                <c:pt idx="11">
                  <c:v>0.2892140425748102</c:v>
                </c:pt>
                <c:pt idx="12">
                  <c:v>0.22694033768565075</c:v>
                </c:pt>
                <c:pt idx="13">
                  <c:v>0.10674016494775533</c:v>
                </c:pt>
                <c:pt idx="14">
                  <c:v>0.021463530288404545</c:v>
                </c:pt>
                <c:pt idx="15">
                  <c:v>0.0009246557943402882</c:v>
                </c:pt>
                <c:pt idx="16">
                  <c:v>0</c:v>
                </c:pt>
                <c:pt idx="17">
                  <c:v>0</c:v>
                </c:pt>
                <c:pt idx="18">
                  <c:v>0</c:v>
                </c:pt>
                <c:pt idx="19">
                  <c:v>0</c:v>
                </c:pt>
                <c:pt idx="20">
                  <c:v>0</c:v>
                </c:pt>
              </c:numCache>
            </c:numRef>
          </c:val>
        </c:ser>
        <c:gapWidth val="0"/>
        <c:axId val="27543604"/>
        <c:axId val="46565845"/>
      </c:barChart>
      <c:catAx>
        <c:axId val="27543604"/>
        <c:scaling>
          <c:orientation val="minMax"/>
        </c:scaling>
        <c:axPos val="b"/>
        <c:delete val="0"/>
        <c:numFmt formatCode="General" sourceLinked="1"/>
        <c:majorTickMark val="out"/>
        <c:minorTickMark val="none"/>
        <c:tickLblPos val="none"/>
        <c:crossAx val="46565845"/>
        <c:crosses val="autoZero"/>
        <c:auto val="1"/>
        <c:lblOffset val="100"/>
        <c:noMultiLvlLbl val="0"/>
      </c:catAx>
      <c:valAx>
        <c:axId val="46565845"/>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2754360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Safety &amp; Reliability Goal 2</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Results'!$A$255:$U$255</c:f>
              <c:numCache>
                <c:ptCount val="21"/>
                <c:pt idx="0">
                  <c:v>0</c:v>
                </c:pt>
                <c:pt idx="1">
                  <c:v>0</c:v>
                </c:pt>
                <c:pt idx="2">
                  <c:v>0</c:v>
                </c:pt>
                <c:pt idx="3">
                  <c:v>0</c:v>
                </c:pt>
                <c:pt idx="4">
                  <c:v>0</c:v>
                </c:pt>
                <c:pt idx="5">
                  <c:v>0</c:v>
                </c:pt>
                <c:pt idx="6">
                  <c:v>0</c:v>
                </c:pt>
                <c:pt idx="7">
                  <c:v>0</c:v>
                </c:pt>
                <c:pt idx="8">
                  <c:v>0</c:v>
                </c:pt>
                <c:pt idx="9">
                  <c:v>0</c:v>
                </c:pt>
                <c:pt idx="10">
                  <c:v>1.1071993631551671E-128</c:v>
                </c:pt>
                <c:pt idx="11">
                  <c:v>1.315503639750358E-36</c:v>
                </c:pt>
                <c:pt idx="12">
                  <c:v>0.0013596052995534826</c:v>
                </c:pt>
                <c:pt idx="13">
                  <c:v>0.06370566064718405</c:v>
                </c:pt>
                <c:pt idx="14">
                  <c:v>0.377938378860495</c:v>
                </c:pt>
                <c:pt idx="15">
                  <c:v>0.45070868638287154</c:v>
                </c:pt>
                <c:pt idx="16">
                  <c:v>0.10314682156626945</c:v>
                </c:pt>
                <c:pt idx="17">
                  <c:v>0.003140847243626271</c:v>
                </c:pt>
                <c:pt idx="18">
                  <c:v>0</c:v>
                </c:pt>
                <c:pt idx="19">
                  <c:v>0</c:v>
                </c:pt>
                <c:pt idx="20">
                  <c:v>0</c:v>
                </c:pt>
              </c:numCache>
            </c:numRef>
          </c:val>
        </c:ser>
        <c:gapWidth val="0"/>
        <c:axId val="16439422"/>
        <c:axId val="13737071"/>
      </c:barChart>
      <c:catAx>
        <c:axId val="16439422"/>
        <c:scaling>
          <c:orientation val="minMax"/>
        </c:scaling>
        <c:axPos val="b"/>
        <c:delete val="0"/>
        <c:numFmt formatCode="General" sourceLinked="1"/>
        <c:majorTickMark val="out"/>
        <c:minorTickMark val="none"/>
        <c:tickLblPos val="none"/>
        <c:crossAx val="13737071"/>
        <c:crosses val="autoZero"/>
        <c:auto val="1"/>
        <c:lblOffset val="100"/>
        <c:noMultiLvlLbl val="0"/>
      </c:catAx>
      <c:valAx>
        <c:axId val="13737071"/>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6439422"/>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Safety &amp; Reliability Goal 3</a:t>
            </a:r>
          </a:p>
        </c:rich>
      </c:tx>
      <c:layout/>
      <c:spPr>
        <a:noFill/>
        <a:ln>
          <a:noFill/>
        </a:ln>
      </c:spPr>
    </c:title>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Results'!$A$256:$U$256</c:f>
              <c:numCache>
                <c:ptCount val="21"/>
                <c:pt idx="0">
                  <c:v>0</c:v>
                </c:pt>
                <c:pt idx="1">
                  <c:v>0</c:v>
                </c:pt>
                <c:pt idx="2">
                  <c:v>0</c:v>
                </c:pt>
                <c:pt idx="3">
                  <c:v>0</c:v>
                </c:pt>
                <c:pt idx="4">
                  <c:v>0</c:v>
                </c:pt>
                <c:pt idx="5">
                  <c:v>0</c:v>
                </c:pt>
                <c:pt idx="6">
                  <c:v>0</c:v>
                </c:pt>
                <c:pt idx="7">
                  <c:v>0</c:v>
                </c:pt>
                <c:pt idx="8">
                  <c:v>0</c:v>
                </c:pt>
                <c:pt idx="9">
                  <c:v>0</c:v>
                </c:pt>
                <c:pt idx="10">
                  <c:v>0</c:v>
                </c:pt>
                <c:pt idx="11">
                  <c:v>0</c:v>
                </c:pt>
                <c:pt idx="12">
                  <c:v>5.435965453513868E-37</c:v>
                </c:pt>
                <c:pt idx="13">
                  <c:v>0.0004233771952107594</c:v>
                </c:pt>
                <c:pt idx="14">
                  <c:v>0.020567664143338646</c:v>
                </c:pt>
                <c:pt idx="15">
                  <c:v>0.22991075208724965</c:v>
                </c:pt>
                <c:pt idx="16">
                  <c:v>0.49082964995173456</c:v>
                </c:pt>
                <c:pt idx="17">
                  <c:v>0.24422090128537305</c:v>
                </c:pt>
                <c:pt idx="18">
                  <c:v>0.014047655337092981</c:v>
                </c:pt>
                <c:pt idx="19">
                  <c:v>0</c:v>
                </c:pt>
                <c:pt idx="20">
                  <c:v>0</c:v>
                </c:pt>
              </c:numCache>
            </c:numRef>
          </c:val>
        </c:ser>
        <c:gapWidth val="0"/>
        <c:axId val="56524776"/>
        <c:axId val="38960937"/>
      </c:barChart>
      <c:catAx>
        <c:axId val="56524776"/>
        <c:scaling>
          <c:orientation val="minMax"/>
        </c:scaling>
        <c:axPos val="b"/>
        <c:delete val="0"/>
        <c:numFmt formatCode="General" sourceLinked="1"/>
        <c:majorTickMark val="out"/>
        <c:minorTickMark val="none"/>
        <c:tickLblPos val="none"/>
        <c:crossAx val="38960937"/>
        <c:crosses val="autoZero"/>
        <c:auto val="1"/>
        <c:lblOffset val="100"/>
        <c:noMultiLvlLbl val="0"/>
      </c:catAx>
      <c:valAx>
        <c:axId val="38960937"/>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5652477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Economic Goal 1</a:t>
            </a:r>
          </a:p>
        </c:rich>
      </c:tx>
      <c:layout/>
      <c:spPr>
        <a:noFill/>
        <a:ln>
          <a:noFill/>
        </a:ln>
      </c:spPr>
    </c:title>
    <c:plotArea>
      <c:layout/>
      <c:barChart>
        <c:barDir val="col"/>
        <c:grouping val="clustered"/>
        <c:varyColors val="0"/>
        <c:ser>
          <c:idx val="0"/>
          <c:order val="0"/>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'Concept Results'!$A$257:$U$257</c:f>
              <c:numCache>
                <c:ptCount val="21"/>
                <c:pt idx="0">
                  <c:v>0</c:v>
                </c:pt>
                <c:pt idx="1">
                  <c:v>0</c:v>
                </c:pt>
                <c:pt idx="2">
                  <c:v>0</c:v>
                </c:pt>
                <c:pt idx="3">
                  <c:v>0</c:v>
                </c:pt>
                <c:pt idx="4">
                  <c:v>0</c:v>
                </c:pt>
                <c:pt idx="5">
                  <c:v>0</c:v>
                </c:pt>
                <c:pt idx="6">
                  <c:v>0.0034435926152725574</c:v>
                </c:pt>
                <c:pt idx="7">
                  <c:v>0.02795165831244372</c:v>
                </c:pt>
                <c:pt idx="8">
                  <c:v>0.09552516733771739</c:v>
                </c:pt>
                <c:pt idx="9">
                  <c:v>0.19483010365082004</c:v>
                </c:pt>
                <c:pt idx="10">
                  <c:v>0.2702647070102665</c:v>
                </c:pt>
                <c:pt idx="11">
                  <c:v>0.24287793659062312</c:v>
                </c:pt>
                <c:pt idx="12">
                  <c:v>0.12667496663489705</c:v>
                </c:pt>
                <c:pt idx="13">
                  <c:v>0.034381089036792746</c:v>
                </c:pt>
                <c:pt idx="14">
                  <c:v>0.003907291341869248</c:v>
                </c:pt>
                <c:pt idx="15">
                  <c:v>0.00014348746929758734</c:v>
                </c:pt>
                <c:pt idx="16">
                  <c:v>0</c:v>
                </c:pt>
                <c:pt idx="17">
                  <c:v>0</c:v>
                </c:pt>
                <c:pt idx="18">
                  <c:v>0</c:v>
                </c:pt>
                <c:pt idx="19">
                  <c:v>0</c:v>
                </c:pt>
                <c:pt idx="20">
                  <c:v>0</c:v>
                </c:pt>
              </c:numCache>
            </c:numRef>
          </c:val>
        </c:ser>
        <c:gapWidth val="0"/>
        <c:axId val="15104114"/>
        <c:axId val="1719299"/>
      </c:barChart>
      <c:catAx>
        <c:axId val="15104114"/>
        <c:scaling>
          <c:orientation val="minMax"/>
        </c:scaling>
        <c:axPos val="b"/>
        <c:delete val="0"/>
        <c:numFmt formatCode="General" sourceLinked="1"/>
        <c:majorTickMark val="out"/>
        <c:minorTickMark val="none"/>
        <c:tickLblPos val="none"/>
        <c:crossAx val="1719299"/>
        <c:crosses val="autoZero"/>
        <c:auto val="1"/>
        <c:lblOffset val="100"/>
        <c:noMultiLvlLbl val="0"/>
      </c:catAx>
      <c:valAx>
        <c:axId val="1719299"/>
        <c:scaling>
          <c:orientation val="minMax"/>
          <c:max val="0.6"/>
          <c:min val="0"/>
        </c:scaling>
        <c:axPos val="l"/>
        <c:majorGridlines/>
        <c:delete val="0"/>
        <c:numFmt formatCode="General" sourceLinked="1"/>
        <c:majorTickMark val="out"/>
        <c:minorTickMark val="none"/>
        <c:tickLblPos val="nextTo"/>
        <c:txPr>
          <a:bodyPr/>
          <a:lstStyle/>
          <a:p>
            <a:pPr>
              <a:defRPr lang="en-US" cap="none" sz="550" b="0" i="0" u="none" baseline="0">
                <a:latin typeface="Arial"/>
                <a:ea typeface="Arial"/>
                <a:cs typeface="Arial"/>
              </a:defRPr>
            </a:pPr>
          </a:p>
        </c:txPr>
        <c:crossAx val="1510411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37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 Id="rId8" Type="http://schemas.openxmlformats.org/officeDocument/2006/relationships/chart" Target="/xl/charts/chart10.xml" /><Relationship Id="rId9" Type="http://schemas.openxmlformats.org/officeDocument/2006/relationships/chart" Target="/xl/charts/chart11.xml" /><Relationship Id="rId10" Type="http://schemas.openxmlformats.org/officeDocument/2006/relationships/chart" Target="/xl/charts/chart12.xml" /><Relationship Id="rId11" Type="http://schemas.openxmlformats.org/officeDocument/2006/relationships/chart" Target="/xl/charts/chart13.xml" /><Relationship Id="rId12" Type="http://schemas.openxmlformats.org/officeDocument/2006/relationships/chart" Target="/xl/charts/chart14.xml" /><Relationship Id="rId13" Type="http://schemas.openxmlformats.org/officeDocument/2006/relationships/chart" Target="/xl/charts/chart15.xml" /><Relationship Id="rId14" Type="http://schemas.openxmlformats.org/officeDocument/2006/relationships/chart" Target="/xl/charts/chart16.xml" /><Relationship Id="rId15" Type="http://schemas.openxmlformats.org/officeDocument/2006/relationships/chart" Target="/xl/charts/chart17.xml" /><Relationship Id="rId16" Type="http://schemas.openxmlformats.org/officeDocument/2006/relationships/chart" Target="/xl/charts/chart18.xml" /><Relationship Id="rId17" Type="http://schemas.openxmlformats.org/officeDocument/2006/relationships/chart" Target="/xl/charts/chart19.xml" /><Relationship Id="rId18" Type="http://schemas.openxmlformats.org/officeDocument/2006/relationships/chart" Target="/xl/charts/chart20.xml" /><Relationship Id="rId19" Type="http://schemas.openxmlformats.org/officeDocument/2006/relationships/chart" Target="/xl/charts/chart21.xml" /><Relationship Id="rId20" Type="http://schemas.openxmlformats.org/officeDocument/2006/relationships/chart" Target="/xl/charts/chart22.xml" /><Relationship Id="rId21" Type="http://schemas.openxmlformats.org/officeDocument/2006/relationships/chart" Target="/xl/charts/chart23.xml" /><Relationship Id="rId22" Type="http://schemas.openxmlformats.org/officeDocument/2006/relationships/chart" Target="/xl/charts/chart24.xml" /><Relationship Id="rId23" Type="http://schemas.openxmlformats.org/officeDocument/2006/relationships/chart" Target="/xl/charts/chart25.xml" /><Relationship Id="rId24" Type="http://schemas.openxmlformats.org/officeDocument/2006/relationships/chart" Target="/xl/charts/chart26.xml" /><Relationship Id="rId25" Type="http://schemas.openxmlformats.org/officeDocument/2006/relationships/chart" Target="/xl/charts/chart27.xml" /><Relationship Id="rId26" Type="http://schemas.openxmlformats.org/officeDocument/2006/relationships/chart" Target="/xl/charts/chart28.xml" /><Relationship Id="rId27" Type="http://schemas.openxmlformats.org/officeDocument/2006/relationships/chart" Target="/xl/charts/chart29.xml" /><Relationship Id="rId28" Type="http://schemas.openxmlformats.org/officeDocument/2006/relationships/chart" Target="/xl/charts/chart30.xml" /><Relationship Id="rId29" Type="http://schemas.openxmlformats.org/officeDocument/2006/relationships/chart" Target="/xl/charts/chart31.xml" /><Relationship Id="rId30" Type="http://schemas.openxmlformats.org/officeDocument/2006/relationships/chart" Target="/xl/charts/chart32.xml" /><Relationship Id="rId31" Type="http://schemas.openxmlformats.org/officeDocument/2006/relationships/chart" Target="/xl/charts/chart33.xml" /><Relationship Id="rId32" Type="http://schemas.openxmlformats.org/officeDocument/2006/relationships/chart" Target="/xl/charts/chart34.xml" /><Relationship Id="rId33" Type="http://schemas.openxmlformats.org/officeDocument/2006/relationships/chart" Target="/xl/charts/chart35.xml" /><Relationship Id="rId34" Type="http://schemas.openxmlformats.org/officeDocument/2006/relationships/chart" Target="/xl/charts/chart36.xml" /><Relationship Id="rId35" Type="http://schemas.openxmlformats.org/officeDocument/2006/relationships/chart" Target="/xl/charts/chart37.xml" /><Relationship Id="rId36" Type="http://schemas.openxmlformats.org/officeDocument/2006/relationships/chart" Target="/xl/charts/chart38.xml" /><Relationship Id="rId37" Type="http://schemas.openxmlformats.org/officeDocument/2006/relationships/chart" Target="/xl/charts/chart39.xml" /><Relationship Id="rId38" Type="http://schemas.openxmlformats.org/officeDocument/2006/relationships/chart" Target="/xl/charts/chart40.xml" /><Relationship Id="rId39" Type="http://schemas.openxmlformats.org/officeDocument/2006/relationships/chart" Target="/xl/charts/chart41.xml" /><Relationship Id="rId40" Type="http://schemas.openxmlformats.org/officeDocument/2006/relationships/chart" Target="/xl/charts/chart42.xml" /><Relationship Id="rId41" Type="http://schemas.openxmlformats.org/officeDocument/2006/relationships/chart" Target="/xl/charts/chart43.xml" /><Relationship Id="rId42" Type="http://schemas.openxmlformats.org/officeDocument/2006/relationships/chart" Target="/xl/charts/chart4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2000250" cy="409575"/>
    <xdr:sp>
      <xdr:nvSpPr>
        <xdr:cNvPr id="1" name="TextBox 1"/>
        <xdr:cNvSpPr txBox="1">
          <a:spLocks noChangeArrowheads="1"/>
        </xdr:cNvSpPr>
      </xdr:nvSpPr>
      <xdr:spPr>
        <a:xfrm>
          <a:off x="0" y="0"/>
          <a:ext cx="2000250" cy="409575"/>
        </a:xfrm>
        <a:prstGeom prst="rect">
          <a:avLst/>
        </a:prstGeom>
        <a:solidFill>
          <a:srgbClr val="000080"/>
        </a:solidFill>
        <a:ln w="9525" cmpd="sng">
          <a:noFill/>
        </a:ln>
      </xdr:spPr>
      <xdr:txBody>
        <a:bodyPr vertOverflow="clip" wrap="square" anchor="ctr"/>
        <a:p>
          <a:pPr algn="ctr">
            <a:defRPr/>
          </a:pPr>
          <a:r>
            <a:rPr lang="en-US" cap="none" sz="1400" b="1" i="0" u="none" baseline="0">
              <a:solidFill>
                <a:srgbClr val="FFFFFF"/>
              </a:solidFill>
              <a:latin typeface="Arial"/>
              <a:ea typeface="Arial"/>
              <a:cs typeface="Arial"/>
            </a:rPr>
            <a:t>Instructions</a:t>
          </a:r>
        </a:p>
      </xdr:txBody>
    </xdr:sp>
    <xdr:clientData/>
  </xdr:oneCellAnchor>
  <xdr:twoCellAnchor>
    <xdr:from>
      <xdr:col>0</xdr:col>
      <xdr:colOff>142875</xdr:colOff>
      <xdr:row>3</xdr:row>
      <xdr:rowOff>76200</xdr:rowOff>
    </xdr:from>
    <xdr:to>
      <xdr:col>9</xdr:col>
      <xdr:colOff>333375</xdr:colOff>
      <xdr:row>45</xdr:row>
      <xdr:rowOff>9525</xdr:rowOff>
    </xdr:to>
    <xdr:sp>
      <xdr:nvSpPr>
        <xdr:cNvPr id="2" name="TextBox 2"/>
        <xdr:cNvSpPr txBox="1">
          <a:spLocks noChangeArrowheads="1"/>
        </xdr:cNvSpPr>
      </xdr:nvSpPr>
      <xdr:spPr>
        <a:xfrm>
          <a:off x="142875" y="561975"/>
          <a:ext cx="7048500" cy="6734175"/>
        </a:xfrm>
        <a:prstGeom prst="rect">
          <a:avLst/>
        </a:prstGeom>
        <a:solidFill>
          <a:srgbClr val="FFFFFF"/>
        </a:solidFill>
        <a:ln w="9525" cmpd="sng">
          <a:noFill/>
        </a:ln>
      </xdr:spPr>
      <xdr:txBody>
        <a:bodyPr vertOverflow="clip" wrap="square"/>
        <a:p>
          <a:pPr algn="l">
            <a:defRPr/>
          </a:pPr>
          <a:r>
            <a:rPr lang="en-US" cap="none" sz="900" b="1" i="0" u="none" baseline="0">
              <a:latin typeface="Courier"/>
              <a:ea typeface="Courier"/>
              <a:cs typeface="Courier"/>
            </a:rPr>
            <a:t>1</a:t>
          </a:r>
          <a:r>
            <a:rPr lang="en-US" cap="none" sz="900" b="0" i="0" u="none" baseline="0">
              <a:latin typeface="Courier"/>
              <a:ea typeface="Courier"/>
              <a:cs typeface="Courier"/>
            </a:rPr>
            <a:t>  Go to the "Main" sheet and enter the name of the system being scored
</a:t>
          </a:r>
          <a:r>
            <a:rPr lang="en-US" cap="none" sz="900" b="1" i="0" u="none" baseline="0">
              <a:latin typeface="Courier"/>
              <a:ea typeface="Courier"/>
              <a:cs typeface="Courier"/>
            </a:rPr>
            <a:t>2</a:t>
          </a:r>
          <a:r>
            <a:rPr lang="en-US" cap="none" sz="900" b="0" i="0" u="none" baseline="0">
              <a:latin typeface="Courier"/>
              <a:ea typeface="Courier"/>
              <a:cs typeface="Courier"/>
            </a:rPr>
            <a:t>  Select "Save As..." from the File menu and save the worksheet with an 
   appropriate name that relates it to the system being scored.
</a:t>
          </a:r>
          <a:r>
            <a:rPr lang="en-US" cap="none" sz="900" b="1" i="0" u="none" baseline="0">
              <a:latin typeface="Courier"/>
              <a:ea typeface="Courier"/>
              <a:cs typeface="Courier"/>
            </a:rPr>
            <a:t>3</a:t>
          </a:r>
          <a:r>
            <a:rPr lang="en-US" cap="none" sz="900" b="0" i="0" u="none" baseline="0">
              <a:latin typeface="Courier"/>
              <a:ea typeface="Courier"/>
              <a:cs typeface="Courier"/>
            </a:rPr>
            <a:t>  Select the "Score" button for the goals you would like to score. This takes 
   you to the "Score" sheet.
</a:t>
          </a:r>
          <a:r>
            <a:rPr lang="en-US" cap="none" sz="900" b="1" i="0" u="none" baseline="0">
              <a:latin typeface="Courier"/>
              <a:ea typeface="Courier"/>
              <a:cs typeface="Courier"/>
            </a:rPr>
            <a:t>4</a:t>
          </a:r>
          <a:r>
            <a:rPr lang="en-US" cap="none" sz="900" b="0" i="0" u="none" baseline="0">
              <a:latin typeface="Courier"/>
              <a:ea typeface="Courier"/>
              <a:cs typeface="Courier"/>
            </a:rPr>
            <a:t>  Determine how the system performs for the selected metric. Select the 
   desired distribution shape:  Flat, Triangular, or Bipolar. Then adjust the 
   distribution as desired using the check boxes or radio buttons.
</a:t>
          </a:r>
          <a:r>
            <a:rPr lang="en-US" cap="none" sz="900" b="1" i="0" u="none" baseline="0">
              <a:latin typeface="Courier"/>
              <a:ea typeface="Courier"/>
              <a:cs typeface="Courier"/>
            </a:rPr>
            <a:t>5</a:t>
          </a:r>
          <a:r>
            <a:rPr lang="en-US" cap="none" sz="900" b="0" i="0" u="none" baseline="0">
              <a:latin typeface="Courier"/>
              <a:ea typeface="Courier"/>
              <a:cs typeface="Courier"/>
            </a:rPr>
            <a:t>  Click on the "Save" button to save the selected distribution. Then use the 
   navigation buttons just above the "Save" button to step to the next 
   metric to be scored.
</a:t>
          </a:r>
          <a:r>
            <a:rPr lang="en-US" cap="none" sz="900" b="1" i="0" u="none" baseline="0">
              <a:latin typeface="Courier"/>
              <a:ea typeface="Courier"/>
              <a:cs typeface="Courier"/>
            </a:rPr>
            <a:t>6</a:t>
          </a:r>
          <a:r>
            <a:rPr lang="en-US" cap="none" sz="900" b="0" i="0" u="none" baseline="0">
              <a:latin typeface="Courier"/>
              <a:ea typeface="Courier"/>
              <a:cs typeface="Courier"/>
            </a:rPr>
            <a:t>  Use the "Back to Main" button to go back to the "Main" sheet to check your 
   progress.
</a:t>
          </a:r>
          <a:r>
            <a:rPr lang="en-US" cap="none" sz="900" b="1" i="0" u="none" baseline="0">
              <a:latin typeface="Courier"/>
              <a:ea typeface="Courier"/>
              <a:cs typeface="Courier"/>
            </a:rPr>
            <a:t>7</a:t>
          </a:r>
          <a:r>
            <a:rPr lang="en-US" cap="none" sz="900" b="0" i="0" u="none" baseline="0">
              <a:latin typeface="Courier"/>
              <a:ea typeface="Courier"/>
              <a:cs typeface="Courier"/>
            </a:rPr>
            <a:t>  When you have completed the scoring of all the criteria for the concept, go 
   back to the "Main" sheet and click on the "Calc Results" button. The 
   worksheet will then calculate and display the results on the 
   "Concept Results" sheet.
</a:t>
          </a:r>
          <a:r>
            <a:rPr lang="en-US" cap="none" sz="900" b="1" i="0" u="none" baseline="0">
              <a:latin typeface="Courier"/>
              <a:ea typeface="Courier"/>
              <a:cs typeface="Courier"/>
            </a:rPr>
            <a:t>8</a:t>
          </a:r>
          <a:r>
            <a:rPr lang="en-US" cap="none" sz="900" b="0" i="0" u="none" baseline="0">
              <a:latin typeface="Courier"/>
              <a:ea typeface="Courier"/>
              <a:cs typeface="Courier"/>
            </a:rPr>
            <a:t>  You may go back and change scores and recalculate results by clicking on 
   the "Calc Results" button again. When done, save the worksheet (File menu, "Save")
</a:t>
          </a:r>
          <a:r>
            <a:rPr lang="en-US" cap="none" sz="900" b="1" i="0" u="none" baseline="0">
              <a:latin typeface="Courier"/>
              <a:ea typeface="Courier"/>
              <a:cs typeface="Courier"/>
            </a:rPr>
            <a:t>9</a:t>
          </a:r>
          <a:r>
            <a:rPr lang="en-US" cap="none" sz="900" b="0" i="0" u="none" baseline="0">
              <a:latin typeface="Courier"/>
              <a:ea typeface="Courier"/>
              <a:cs typeface="Courier"/>
            </a:rPr>
            <a:t>  You may import scores from version 2.x or 3.x of this workbook using the
   "Import Scores" button on the "Main" sheet. This works best if the sheets
   you are importing from are all closed.
</a:t>
          </a:r>
          <a:r>
            <a:rPr lang="en-US" cap="none" sz="900" b="1" i="0" u="none" baseline="0">
              <a:latin typeface="Courier"/>
              <a:ea typeface="Courier"/>
              <a:cs typeface="Courier"/>
            </a:rPr>
            <a:t>10</a:t>
          </a:r>
          <a:r>
            <a:rPr lang="en-US" cap="none" sz="900" b="0" i="0" u="none" baseline="0">
              <a:latin typeface="Courier"/>
              <a:ea typeface="Courier"/>
              <a:cs typeface="Courier"/>
            </a:rPr>
            <a:t> You may print a page for each of the the metric by clicking on the "Print Current"
   and "Print All" buttons on the "Score" worksheet.
</a:t>
          </a:r>
          <a:r>
            <a:rPr lang="en-US" cap="none" sz="900" b="1" i="0" u="none" baseline="0">
              <a:latin typeface="Courier"/>
              <a:ea typeface="Courier"/>
              <a:cs typeface="Courier"/>
            </a:rPr>
            <a:t>Problems?</a:t>
          </a:r>
          <a:r>
            <a:rPr lang="en-US" cap="none" sz="900" b="0" i="0" u="none" baseline="0">
              <a:latin typeface="Courier"/>
              <a:ea typeface="Courier"/>
              <a:cs typeface="Courier"/>
            </a:rPr>
            <a:t>
If you are using Excel 2000 and you get an error when trying to use buttons, etc., you may have your macro security level set too high.  Change the security level (Tools -&gt; Macros -&gt; Security) to medium or low and reload the file with macros enabled.
If you enter the system name, then the buttons don't do anything, you may still be in the text box.  To get out of a text box, hit TAB or RETURN (remember, this is Excel).  This also applies to the justification and comment boxes.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cdr:x>
      <cdr:y>0.184</cdr:y>
    </cdr:from>
    <cdr:to>
      <cdr:x>0.524</cdr:x>
      <cdr:y>0.945</cdr:y>
    </cdr:to>
    <cdr:sp>
      <cdr:nvSpPr>
        <cdr:cNvPr id="1" name="Line 1"/>
        <cdr:cNvSpPr>
          <a:spLocks/>
        </cdr:cNvSpPr>
      </cdr:nvSpPr>
      <cdr:spPr>
        <a:xfrm>
          <a:off x="1781175" y="352425"/>
          <a:ext cx="0" cy="1466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0.17375</cdr:y>
    </cdr:from>
    <cdr:to>
      <cdr:x>0.522</cdr:x>
      <cdr:y>0.93875</cdr:y>
    </cdr:to>
    <cdr:sp>
      <cdr:nvSpPr>
        <cdr:cNvPr id="1" name="Line 1"/>
        <cdr:cNvSpPr>
          <a:spLocks/>
        </cdr:cNvSpPr>
      </cdr:nvSpPr>
      <cdr:spPr>
        <a:xfrm>
          <a:off x="1771650" y="333375"/>
          <a:ext cx="0" cy="1476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0.06025</cdr:x>
      <cdr:y>0.93725</cdr:y>
    </cdr:from>
    <cdr:to>
      <cdr:x>0.2155</cdr:x>
      <cdr:y>1</cdr:y>
    </cdr:to>
    <cdr:sp>
      <cdr:nvSpPr>
        <cdr:cNvPr id="2" name="TextBox 2"/>
        <cdr:cNvSpPr txBox="1">
          <a:spLocks noChangeArrowheads="1"/>
        </cdr:cNvSpPr>
      </cdr:nvSpPr>
      <cdr:spPr>
        <a:xfrm>
          <a:off x="200025" y="1800225"/>
          <a:ext cx="523875"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&gt;$42 /MWh</a:t>
          </a:r>
        </a:p>
      </cdr:txBody>
    </cdr:sp>
  </cdr:relSizeAnchor>
  <cdr:relSizeAnchor xmlns:cdr="http://schemas.openxmlformats.org/drawingml/2006/chartDrawing">
    <cdr:from>
      <cdr:x>0.81875</cdr:x>
      <cdr:y>0.9325</cdr:y>
    </cdr:from>
    <cdr:to>
      <cdr:x>0.99475</cdr:x>
      <cdr:y>1</cdr:y>
    </cdr:to>
    <cdr:sp>
      <cdr:nvSpPr>
        <cdr:cNvPr id="3" name="TextBox 6"/>
        <cdr:cNvSpPr txBox="1">
          <a:spLocks noChangeArrowheads="1"/>
        </cdr:cNvSpPr>
      </cdr:nvSpPr>
      <cdr:spPr>
        <a:xfrm>
          <a:off x="2781300" y="1790700"/>
          <a:ext cx="600075"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&lt;$22 /MWh</a:t>
          </a:r>
        </a:p>
      </cdr:txBody>
    </cdr:sp>
  </cdr:relSizeAnchor>
  <cdr:relSizeAnchor xmlns:cdr="http://schemas.openxmlformats.org/drawingml/2006/chartDrawing">
    <cdr:from>
      <cdr:x>0.463</cdr:x>
      <cdr:y>0.9325</cdr:y>
    </cdr:from>
    <cdr:to>
      <cdr:x>0.609</cdr:x>
      <cdr:y>1</cdr:y>
    </cdr:to>
    <cdr:sp>
      <cdr:nvSpPr>
        <cdr:cNvPr id="4" name="TextBox 7"/>
        <cdr:cNvSpPr txBox="1">
          <a:spLocks noChangeArrowheads="1"/>
        </cdr:cNvSpPr>
      </cdr:nvSpPr>
      <cdr:spPr>
        <a:xfrm>
          <a:off x="1571625" y="1790700"/>
          <a:ext cx="4953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$32 /MWh</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0.52375</cdr:x>
      <cdr:y>0.23725</cdr:y>
    </cdr:from>
    <cdr:to>
      <cdr:x>0.52375</cdr:x>
      <cdr:y>0.93625</cdr:y>
    </cdr:to>
    <cdr:sp>
      <cdr:nvSpPr>
        <cdr:cNvPr id="1" name="Line 3"/>
        <cdr:cNvSpPr>
          <a:spLocks/>
        </cdr:cNvSpPr>
      </cdr:nvSpPr>
      <cdr:spPr>
        <a:xfrm flipH="1" flipV="1">
          <a:off x="1790700" y="457200"/>
          <a:ext cx="0" cy="1352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0.52375</cdr:x>
      <cdr:y>0.2275</cdr:y>
    </cdr:from>
    <cdr:to>
      <cdr:x>0.52375</cdr:x>
      <cdr:y>0.919</cdr:y>
    </cdr:to>
    <cdr:sp>
      <cdr:nvSpPr>
        <cdr:cNvPr id="1" name="Line 2"/>
        <cdr:cNvSpPr>
          <a:spLocks/>
        </cdr:cNvSpPr>
      </cdr:nvSpPr>
      <cdr:spPr>
        <a:xfrm flipV="1">
          <a:off x="1790700" y="438150"/>
          <a:ext cx="0" cy="1343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0.186</cdr:y>
    </cdr:from>
    <cdr:to>
      <cdr:x>0.52375</cdr:x>
      <cdr:y>0.93175</cdr:y>
    </cdr:to>
    <cdr:sp>
      <cdr:nvSpPr>
        <cdr:cNvPr id="1" name="Line 2"/>
        <cdr:cNvSpPr>
          <a:spLocks/>
        </cdr:cNvSpPr>
      </cdr:nvSpPr>
      <cdr:spPr>
        <a:xfrm flipV="1">
          <a:off x="1781175" y="352425"/>
          <a:ext cx="9525" cy="1447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0.1965</cdr:y>
    </cdr:from>
    <cdr:to>
      <cdr:x>0.52025</cdr:x>
      <cdr:y>0.935</cdr:y>
    </cdr:to>
    <cdr:sp>
      <cdr:nvSpPr>
        <cdr:cNvPr id="1" name="Line 1"/>
        <cdr:cNvSpPr>
          <a:spLocks/>
        </cdr:cNvSpPr>
      </cdr:nvSpPr>
      <cdr:spPr>
        <a:xfrm>
          <a:off x="1771650" y="381000"/>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0.2025</cdr:y>
    </cdr:from>
    <cdr:to>
      <cdr:x>0.52125</cdr:x>
      <cdr:y>0.9445</cdr:y>
    </cdr:to>
    <cdr:sp>
      <cdr:nvSpPr>
        <cdr:cNvPr id="1" name="Line 1"/>
        <cdr:cNvSpPr>
          <a:spLocks/>
        </cdr:cNvSpPr>
      </cdr:nvSpPr>
      <cdr:spPr>
        <a:xfrm>
          <a:off x="1762125" y="39052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0.2025</cdr:y>
    </cdr:from>
    <cdr:to>
      <cdr:x>0.52125</cdr:x>
      <cdr:y>0.9445</cdr:y>
    </cdr:to>
    <cdr:sp>
      <cdr:nvSpPr>
        <cdr:cNvPr id="1" name="Line 1"/>
        <cdr:cNvSpPr>
          <a:spLocks/>
        </cdr:cNvSpPr>
      </cdr:nvSpPr>
      <cdr:spPr>
        <a:xfrm>
          <a:off x="1762125" y="39052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0.198</cdr:y>
    </cdr:from>
    <cdr:to>
      <cdr:x>0.522</cdr:x>
      <cdr:y>0.94125</cdr:y>
    </cdr:to>
    <cdr:sp>
      <cdr:nvSpPr>
        <cdr:cNvPr id="1" name="Line 1"/>
        <cdr:cNvSpPr>
          <a:spLocks/>
        </cdr:cNvSpPr>
      </cdr:nvSpPr>
      <cdr:spPr>
        <a:xfrm>
          <a:off x="1771650" y="381000"/>
          <a:ext cx="0" cy="1447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0.1335</cdr:y>
    </cdr:from>
    <cdr:to>
      <cdr:x>0.522</cdr:x>
      <cdr:y>0.93825</cdr:y>
    </cdr:to>
    <cdr:sp>
      <cdr:nvSpPr>
        <cdr:cNvPr id="1" name="Line 1"/>
        <cdr:cNvSpPr>
          <a:spLocks/>
        </cdr:cNvSpPr>
      </cdr:nvSpPr>
      <cdr:spPr>
        <a:xfrm>
          <a:off x="1771650" y="257175"/>
          <a:ext cx="0" cy="1562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1123950</xdr:colOff>
      <xdr:row>2</xdr:row>
      <xdr:rowOff>0</xdr:rowOff>
    </xdr:to>
    <xdr:sp>
      <xdr:nvSpPr>
        <xdr:cNvPr id="1" name="Rectangle 32"/>
        <xdr:cNvSpPr>
          <a:spLocks/>
        </xdr:cNvSpPr>
      </xdr:nvSpPr>
      <xdr:spPr>
        <a:xfrm>
          <a:off x="0" y="0"/>
          <a:ext cx="2647950" cy="714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47625</xdr:colOff>
      <xdr:row>4</xdr:row>
      <xdr:rowOff>9525</xdr:rowOff>
    </xdr:from>
    <xdr:ext cx="3895725" cy="190500"/>
    <xdr:sp>
      <xdr:nvSpPr>
        <xdr:cNvPr id="2" name="TextBox 1"/>
        <xdr:cNvSpPr txBox="1">
          <a:spLocks noChangeArrowheads="1"/>
        </xdr:cNvSpPr>
      </xdr:nvSpPr>
      <xdr:spPr>
        <a:xfrm>
          <a:off x="47625" y="1095375"/>
          <a:ext cx="3895725" cy="1905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Enter a short desciption below of the system being evaluated:</a:t>
          </a:r>
        </a:p>
      </xdr:txBody>
    </xdr:sp>
    <xdr:clientData/>
  </xdr:oneCellAnchor>
  <xdr:oneCellAnchor>
    <xdr:from>
      <xdr:col>0</xdr:col>
      <xdr:colOff>0</xdr:colOff>
      <xdr:row>0</xdr:row>
      <xdr:rowOff>0</xdr:rowOff>
    </xdr:from>
    <xdr:ext cx="3095625" cy="457200"/>
    <xdr:sp>
      <xdr:nvSpPr>
        <xdr:cNvPr id="3" name="TextBox 3"/>
        <xdr:cNvSpPr txBox="1">
          <a:spLocks noChangeArrowheads="1"/>
        </xdr:cNvSpPr>
      </xdr:nvSpPr>
      <xdr:spPr>
        <a:xfrm>
          <a:off x="0" y="0"/>
          <a:ext cx="3095625" cy="457200"/>
        </a:xfrm>
        <a:prstGeom prst="rect">
          <a:avLst/>
        </a:prstGeom>
        <a:solidFill>
          <a:srgbClr val="000080"/>
        </a:solidFill>
        <a:ln w="9525" cmpd="sng">
          <a:noFill/>
        </a:ln>
      </xdr:spPr>
      <xdr:txBody>
        <a:bodyPr vertOverflow="clip" wrap="square" anchor="ctr"/>
        <a:p>
          <a:pPr algn="ctr">
            <a:defRPr/>
          </a:pPr>
          <a:r>
            <a:rPr lang="en-US" cap="none" sz="1400" b="1" i="0" u="none" baseline="0">
              <a:solidFill>
                <a:srgbClr val="FFFFFF"/>
              </a:solidFill>
              <a:latin typeface="Arial"/>
              <a:ea typeface="Arial"/>
              <a:cs typeface="Arial"/>
            </a:rPr>
            <a:t>Gen IV System Evaluation Tool</a:t>
          </a:r>
        </a:p>
      </xdr:txBody>
    </xdr:sp>
    <xdr:clientData/>
  </xdr:oneCellAnchor>
  <xdr:oneCellAnchor>
    <xdr:from>
      <xdr:col>0</xdr:col>
      <xdr:colOff>142875</xdr:colOff>
      <xdr:row>11</xdr:row>
      <xdr:rowOff>66675</xdr:rowOff>
    </xdr:from>
    <xdr:ext cx="2038350" cy="323850"/>
    <xdr:sp>
      <xdr:nvSpPr>
        <xdr:cNvPr id="4" name="TextBox 6"/>
        <xdr:cNvSpPr txBox="1">
          <a:spLocks noChangeArrowheads="1"/>
        </xdr:cNvSpPr>
      </xdr:nvSpPr>
      <xdr:spPr>
        <a:xfrm>
          <a:off x="142875" y="2505075"/>
          <a:ext cx="2038350" cy="3238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Sustainability Goal 1:
 </a:t>
          </a:r>
          <a:r>
            <a:rPr lang="en-US" cap="none" sz="1000" b="1" i="0" u="none" baseline="0">
              <a:solidFill>
                <a:srgbClr val="0000FF"/>
              </a:solidFill>
              <a:latin typeface="Arial"/>
              <a:ea typeface="Arial"/>
              <a:cs typeface="Arial"/>
            </a:rPr>
            <a:t>Resource Utilization</a:t>
          </a:r>
        </a:p>
      </xdr:txBody>
    </xdr:sp>
    <xdr:clientData/>
  </xdr:oneCellAnchor>
  <xdr:oneCellAnchor>
    <xdr:from>
      <xdr:col>0</xdr:col>
      <xdr:colOff>142875</xdr:colOff>
      <xdr:row>14</xdr:row>
      <xdr:rowOff>47625</xdr:rowOff>
    </xdr:from>
    <xdr:ext cx="2428875" cy="333375"/>
    <xdr:sp>
      <xdr:nvSpPr>
        <xdr:cNvPr id="5" name="TextBox 7"/>
        <xdr:cNvSpPr txBox="1">
          <a:spLocks noChangeArrowheads="1"/>
        </xdr:cNvSpPr>
      </xdr:nvSpPr>
      <xdr:spPr>
        <a:xfrm>
          <a:off x="142875" y="2905125"/>
          <a:ext cx="2428875"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Sustainability Goal 2:
 </a:t>
          </a:r>
          <a:r>
            <a:rPr lang="en-US" cap="none" sz="1000" b="1" i="0" u="none" baseline="0">
              <a:solidFill>
                <a:srgbClr val="0000FF"/>
              </a:solidFill>
              <a:latin typeface="Arial"/>
              <a:ea typeface="Arial"/>
              <a:cs typeface="Arial"/>
            </a:rPr>
            <a:t>Waste Minimization &amp; Management</a:t>
          </a:r>
        </a:p>
      </xdr:txBody>
    </xdr:sp>
    <xdr:clientData/>
  </xdr:oneCellAnchor>
  <xdr:oneCellAnchor>
    <xdr:from>
      <xdr:col>0</xdr:col>
      <xdr:colOff>142875</xdr:colOff>
      <xdr:row>17</xdr:row>
      <xdr:rowOff>47625</xdr:rowOff>
    </xdr:from>
    <xdr:ext cx="2038350" cy="333375"/>
    <xdr:sp>
      <xdr:nvSpPr>
        <xdr:cNvPr id="6" name="TextBox 8"/>
        <xdr:cNvSpPr txBox="1">
          <a:spLocks noChangeArrowheads="1"/>
        </xdr:cNvSpPr>
      </xdr:nvSpPr>
      <xdr:spPr>
        <a:xfrm>
          <a:off x="142875" y="3324225"/>
          <a:ext cx="203835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Proliferation Resistance Goal 1:
</a:t>
          </a:r>
          <a:r>
            <a:rPr lang="en-US" cap="none" sz="1000" b="1" i="0" u="none" baseline="0">
              <a:solidFill>
                <a:srgbClr val="0000FF"/>
              </a:solidFill>
              <a:latin typeface="Arial"/>
              <a:ea typeface="Arial"/>
              <a:cs typeface="Arial"/>
            </a:rPr>
            <a:t>Proliferation Resist &amp; Physical</a:t>
          </a:r>
        </a:p>
      </xdr:txBody>
    </xdr:sp>
    <xdr:clientData/>
  </xdr:oneCellAnchor>
  <xdr:oneCellAnchor>
    <xdr:from>
      <xdr:col>0</xdr:col>
      <xdr:colOff>142875</xdr:colOff>
      <xdr:row>20</xdr:row>
      <xdr:rowOff>28575</xdr:rowOff>
    </xdr:from>
    <xdr:ext cx="2038350" cy="342900"/>
    <xdr:sp>
      <xdr:nvSpPr>
        <xdr:cNvPr id="7" name="TextBox 9"/>
        <xdr:cNvSpPr txBox="1">
          <a:spLocks noChangeArrowheads="1"/>
        </xdr:cNvSpPr>
      </xdr:nvSpPr>
      <xdr:spPr>
        <a:xfrm>
          <a:off x="142875" y="3724275"/>
          <a:ext cx="2038350" cy="3429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Safety &amp; Reliability Goal 1:
 </a:t>
          </a:r>
          <a:r>
            <a:rPr lang="en-US" cap="none" sz="1000" b="1" i="0" u="none" baseline="0">
              <a:solidFill>
                <a:srgbClr val="0000FF"/>
              </a:solidFill>
              <a:latin typeface="Arial"/>
              <a:ea typeface="Arial"/>
              <a:cs typeface="Arial"/>
            </a:rPr>
            <a:t>Reliability &amp; Worker Safety</a:t>
          </a:r>
        </a:p>
      </xdr:txBody>
    </xdr:sp>
    <xdr:clientData/>
  </xdr:oneCellAnchor>
  <xdr:oneCellAnchor>
    <xdr:from>
      <xdr:col>0</xdr:col>
      <xdr:colOff>142875</xdr:colOff>
      <xdr:row>23</xdr:row>
      <xdr:rowOff>38100</xdr:rowOff>
    </xdr:from>
    <xdr:ext cx="2343150" cy="514350"/>
    <xdr:sp>
      <xdr:nvSpPr>
        <xdr:cNvPr id="8" name="TextBox 10"/>
        <xdr:cNvSpPr txBox="1">
          <a:spLocks noChangeArrowheads="1"/>
        </xdr:cNvSpPr>
      </xdr:nvSpPr>
      <xdr:spPr>
        <a:xfrm>
          <a:off x="142875" y="4152900"/>
          <a:ext cx="2343150" cy="5143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Safety &amp; Reliability Goal 2:
 </a:t>
          </a:r>
          <a:r>
            <a:rPr lang="en-US" cap="none" sz="1000" b="1" i="0" u="none" baseline="0">
              <a:solidFill>
                <a:srgbClr val="0000FF"/>
              </a:solidFill>
              <a:latin typeface="Arial"/>
              <a:ea typeface="Arial"/>
              <a:cs typeface="Arial"/>
            </a:rPr>
            <a:t>Safety Features &amp; Uncertainty</a:t>
          </a:r>
        </a:p>
      </xdr:txBody>
    </xdr:sp>
    <xdr:clientData/>
  </xdr:oneCellAnchor>
  <xdr:oneCellAnchor>
    <xdr:from>
      <xdr:col>0</xdr:col>
      <xdr:colOff>142875</xdr:colOff>
      <xdr:row>26</xdr:row>
      <xdr:rowOff>47625</xdr:rowOff>
    </xdr:from>
    <xdr:ext cx="2038350" cy="333375"/>
    <xdr:sp>
      <xdr:nvSpPr>
        <xdr:cNvPr id="9" name="TextBox 11"/>
        <xdr:cNvSpPr txBox="1">
          <a:spLocks noChangeArrowheads="1"/>
        </xdr:cNvSpPr>
      </xdr:nvSpPr>
      <xdr:spPr>
        <a:xfrm>
          <a:off x="142875" y="4581525"/>
          <a:ext cx="203835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Safety &amp; Reliability Goal 3:
 </a:t>
          </a:r>
          <a:r>
            <a:rPr lang="en-US" cap="none" sz="1000" b="1" i="0" u="none" baseline="0">
              <a:solidFill>
                <a:srgbClr val="0000FF"/>
              </a:solidFill>
              <a:latin typeface="Arial"/>
              <a:ea typeface="Arial"/>
              <a:cs typeface="Arial"/>
            </a:rPr>
            <a:t>Source Term &amp; Robust Mitigation</a:t>
          </a:r>
        </a:p>
      </xdr:txBody>
    </xdr:sp>
    <xdr:clientData/>
  </xdr:oneCellAnchor>
  <xdr:oneCellAnchor>
    <xdr:from>
      <xdr:col>0</xdr:col>
      <xdr:colOff>142875</xdr:colOff>
      <xdr:row>29</xdr:row>
      <xdr:rowOff>47625</xdr:rowOff>
    </xdr:from>
    <xdr:ext cx="2133600" cy="333375"/>
    <xdr:sp>
      <xdr:nvSpPr>
        <xdr:cNvPr id="10" name="TextBox 12"/>
        <xdr:cNvSpPr txBox="1">
          <a:spLocks noChangeArrowheads="1"/>
        </xdr:cNvSpPr>
      </xdr:nvSpPr>
      <xdr:spPr>
        <a:xfrm>
          <a:off x="142875" y="5000625"/>
          <a:ext cx="213360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Economics Goal 1 &amp; 2:
</a:t>
          </a:r>
          <a:r>
            <a:rPr lang="en-US" cap="none" sz="1000" b="1" i="0" u="none" baseline="0">
              <a:solidFill>
                <a:srgbClr val="0000FF"/>
              </a:solidFill>
              <a:latin typeface="Arial"/>
              <a:ea typeface="Arial"/>
              <a:cs typeface="Arial"/>
            </a:rPr>
            <a:t>Life Cycle Costs &amp; Capital at Risk</a:t>
          </a:r>
        </a:p>
      </xdr:txBody>
    </xdr:sp>
    <xdr:clientData/>
  </xdr:oneCellAnchor>
  <xdr:twoCellAnchor>
    <xdr:from>
      <xdr:col>0</xdr:col>
      <xdr:colOff>76200</xdr:colOff>
      <xdr:row>7</xdr:row>
      <xdr:rowOff>57150</xdr:rowOff>
    </xdr:from>
    <xdr:to>
      <xdr:col>4</xdr:col>
      <xdr:colOff>352425</xdr:colOff>
      <xdr:row>7</xdr:row>
      <xdr:rowOff>57150</xdr:rowOff>
    </xdr:to>
    <xdr:sp>
      <xdr:nvSpPr>
        <xdr:cNvPr id="11" name="Line 14"/>
        <xdr:cNvSpPr>
          <a:spLocks/>
        </xdr:cNvSpPr>
      </xdr:nvSpPr>
      <xdr:spPr>
        <a:xfrm>
          <a:off x="76200" y="2152650"/>
          <a:ext cx="359092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142875</xdr:colOff>
      <xdr:row>14</xdr:row>
      <xdr:rowOff>0</xdr:rowOff>
    </xdr:from>
    <xdr:to>
      <xdr:col>6</xdr:col>
      <xdr:colOff>152400</xdr:colOff>
      <xdr:row>14</xdr:row>
      <xdr:rowOff>0</xdr:rowOff>
    </xdr:to>
    <xdr:sp>
      <xdr:nvSpPr>
        <xdr:cNvPr id="12" name="Line 23"/>
        <xdr:cNvSpPr>
          <a:spLocks/>
        </xdr:cNvSpPr>
      </xdr:nvSpPr>
      <xdr:spPr>
        <a:xfrm>
          <a:off x="142875" y="2857500"/>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17</xdr:row>
      <xdr:rowOff>0</xdr:rowOff>
    </xdr:from>
    <xdr:to>
      <xdr:col>6</xdr:col>
      <xdr:colOff>152400</xdr:colOff>
      <xdr:row>17</xdr:row>
      <xdr:rowOff>0</xdr:rowOff>
    </xdr:to>
    <xdr:sp>
      <xdr:nvSpPr>
        <xdr:cNvPr id="13" name="Line 24"/>
        <xdr:cNvSpPr>
          <a:spLocks/>
        </xdr:cNvSpPr>
      </xdr:nvSpPr>
      <xdr:spPr>
        <a:xfrm>
          <a:off x="133350" y="3276600"/>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19</xdr:row>
      <xdr:rowOff>123825</xdr:rowOff>
    </xdr:from>
    <xdr:to>
      <xdr:col>6</xdr:col>
      <xdr:colOff>152400</xdr:colOff>
      <xdr:row>19</xdr:row>
      <xdr:rowOff>123825</xdr:rowOff>
    </xdr:to>
    <xdr:sp>
      <xdr:nvSpPr>
        <xdr:cNvPr id="14" name="Line 25"/>
        <xdr:cNvSpPr>
          <a:spLocks/>
        </xdr:cNvSpPr>
      </xdr:nvSpPr>
      <xdr:spPr>
        <a:xfrm>
          <a:off x="133350" y="3695700"/>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23</xdr:row>
      <xdr:rowOff>0</xdr:rowOff>
    </xdr:from>
    <xdr:to>
      <xdr:col>6</xdr:col>
      <xdr:colOff>152400</xdr:colOff>
      <xdr:row>23</xdr:row>
      <xdr:rowOff>0</xdr:rowOff>
    </xdr:to>
    <xdr:sp>
      <xdr:nvSpPr>
        <xdr:cNvPr id="15" name="Line 26"/>
        <xdr:cNvSpPr>
          <a:spLocks/>
        </xdr:cNvSpPr>
      </xdr:nvSpPr>
      <xdr:spPr>
        <a:xfrm>
          <a:off x="133350" y="4114800"/>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26</xdr:row>
      <xdr:rowOff>9525</xdr:rowOff>
    </xdr:from>
    <xdr:to>
      <xdr:col>6</xdr:col>
      <xdr:colOff>152400</xdr:colOff>
      <xdr:row>26</xdr:row>
      <xdr:rowOff>9525</xdr:rowOff>
    </xdr:to>
    <xdr:sp>
      <xdr:nvSpPr>
        <xdr:cNvPr id="16" name="Line 27"/>
        <xdr:cNvSpPr>
          <a:spLocks/>
        </xdr:cNvSpPr>
      </xdr:nvSpPr>
      <xdr:spPr>
        <a:xfrm>
          <a:off x="133350" y="4543425"/>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29</xdr:row>
      <xdr:rowOff>0</xdr:rowOff>
    </xdr:from>
    <xdr:to>
      <xdr:col>6</xdr:col>
      <xdr:colOff>152400</xdr:colOff>
      <xdr:row>29</xdr:row>
      <xdr:rowOff>0</xdr:rowOff>
    </xdr:to>
    <xdr:sp>
      <xdr:nvSpPr>
        <xdr:cNvPr id="17" name="Line 28"/>
        <xdr:cNvSpPr>
          <a:spLocks/>
        </xdr:cNvSpPr>
      </xdr:nvSpPr>
      <xdr:spPr>
        <a:xfrm>
          <a:off x="133350" y="4953000"/>
          <a:ext cx="4857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32</xdr:row>
      <xdr:rowOff>9525</xdr:rowOff>
    </xdr:from>
    <xdr:to>
      <xdr:col>6</xdr:col>
      <xdr:colOff>142875</xdr:colOff>
      <xdr:row>32</xdr:row>
      <xdr:rowOff>9525</xdr:rowOff>
    </xdr:to>
    <xdr:sp>
      <xdr:nvSpPr>
        <xdr:cNvPr id="18" name="Line 29"/>
        <xdr:cNvSpPr>
          <a:spLocks/>
        </xdr:cNvSpPr>
      </xdr:nvSpPr>
      <xdr:spPr>
        <a:xfrm>
          <a:off x="133350" y="5381625"/>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11</xdr:row>
      <xdr:rowOff>9525</xdr:rowOff>
    </xdr:from>
    <xdr:to>
      <xdr:col>6</xdr:col>
      <xdr:colOff>142875</xdr:colOff>
      <xdr:row>11</xdr:row>
      <xdr:rowOff>9525</xdr:rowOff>
    </xdr:to>
    <xdr:sp>
      <xdr:nvSpPr>
        <xdr:cNvPr id="19" name="Line 31"/>
        <xdr:cNvSpPr>
          <a:spLocks/>
        </xdr:cNvSpPr>
      </xdr:nvSpPr>
      <xdr:spPr>
        <a:xfrm>
          <a:off x="133350" y="2447925"/>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542925</xdr:colOff>
      <xdr:row>0</xdr:row>
      <xdr:rowOff>161925</xdr:rowOff>
    </xdr:from>
    <xdr:ext cx="1638300" cy="371475"/>
    <xdr:sp>
      <xdr:nvSpPr>
        <xdr:cNvPr id="20" name="TextBox 33"/>
        <xdr:cNvSpPr txBox="1">
          <a:spLocks noChangeArrowheads="1"/>
        </xdr:cNvSpPr>
      </xdr:nvSpPr>
      <xdr:spPr>
        <a:xfrm>
          <a:off x="3857625" y="161925"/>
          <a:ext cx="1638300" cy="371475"/>
        </a:xfrm>
        <a:prstGeom prst="rect">
          <a:avLst/>
        </a:prstGeom>
        <a:no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Arial"/>
              <a:ea typeface="Arial"/>
              <a:cs typeface="Arial"/>
            </a:rPr>
            <a:t>Version 3.01</a:t>
          </a:r>
        </a:p>
      </xdr:txBody>
    </xdr:sp>
    <xdr:clientData/>
  </xdr:oneCellAnchor>
  <xdr:oneCellAnchor>
    <xdr:from>
      <xdr:col>5</xdr:col>
      <xdr:colOff>419100</xdr:colOff>
      <xdr:row>10</xdr:row>
      <xdr:rowOff>0</xdr:rowOff>
    </xdr:from>
    <xdr:ext cx="638175" cy="209550"/>
    <xdr:sp>
      <xdr:nvSpPr>
        <xdr:cNvPr id="21" name="TextBox 34"/>
        <xdr:cNvSpPr txBox="1">
          <a:spLocks noChangeArrowheads="1"/>
        </xdr:cNvSpPr>
      </xdr:nvSpPr>
      <xdr:spPr>
        <a:xfrm>
          <a:off x="4495800" y="2276475"/>
          <a:ext cx="63817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Metric</a:t>
          </a:r>
        </a:p>
      </xdr:txBody>
    </xdr:sp>
    <xdr:clientData/>
  </xdr:oneCellAnchor>
  <xdr:oneCellAnchor>
    <xdr:from>
      <xdr:col>5</xdr:col>
      <xdr:colOff>485775</xdr:colOff>
      <xdr:row>12</xdr:row>
      <xdr:rowOff>28575</xdr:rowOff>
    </xdr:from>
    <xdr:ext cx="295275" cy="190500"/>
    <xdr:sp>
      <xdr:nvSpPr>
        <xdr:cNvPr id="22" name="TextBox 35"/>
        <xdr:cNvSpPr txBox="1">
          <a:spLocks noChangeArrowheads="1"/>
        </xdr:cNvSpPr>
      </xdr:nvSpPr>
      <xdr:spPr>
        <a:xfrm>
          <a:off x="4562475" y="2590800"/>
          <a:ext cx="2952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1</a:t>
          </a:r>
        </a:p>
      </xdr:txBody>
    </xdr:sp>
    <xdr:clientData/>
  </xdr:oneCellAnchor>
  <xdr:oneCellAnchor>
    <xdr:from>
      <xdr:col>5</xdr:col>
      <xdr:colOff>485775</xdr:colOff>
      <xdr:row>15</xdr:row>
      <xdr:rowOff>9525</xdr:rowOff>
    </xdr:from>
    <xdr:ext cx="295275" cy="200025"/>
    <xdr:sp>
      <xdr:nvSpPr>
        <xdr:cNvPr id="23" name="TextBox 37"/>
        <xdr:cNvSpPr txBox="1">
          <a:spLocks noChangeArrowheads="1"/>
        </xdr:cNvSpPr>
      </xdr:nvSpPr>
      <xdr:spPr>
        <a:xfrm>
          <a:off x="4562475" y="2990850"/>
          <a:ext cx="2952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2-6</a:t>
          </a:r>
        </a:p>
      </xdr:txBody>
    </xdr:sp>
    <xdr:clientData/>
  </xdr:oneCellAnchor>
  <xdr:oneCellAnchor>
    <xdr:from>
      <xdr:col>5</xdr:col>
      <xdr:colOff>419100</xdr:colOff>
      <xdr:row>18</xdr:row>
      <xdr:rowOff>9525</xdr:rowOff>
    </xdr:from>
    <xdr:ext cx="409575" cy="200025"/>
    <xdr:sp>
      <xdr:nvSpPr>
        <xdr:cNvPr id="24" name="TextBox 38"/>
        <xdr:cNvSpPr txBox="1">
          <a:spLocks noChangeArrowheads="1"/>
        </xdr:cNvSpPr>
      </xdr:nvSpPr>
      <xdr:spPr>
        <a:xfrm>
          <a:off x="4495800" y="3409950"/>
          <a:ext cx="4095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7-9</a:t>
          </a:r>
        </a:p>
      </xdr:txBody>
    </xdr:sp>
    <xdr:clientData/>
  </xdr:oneCellAnchor>
  <xdr:oneCellAnchor>
    <xdr:from>
      <xdr:col>5</xdr:col>
      <xdr:colOff>409575</xdr:colOff>
      <xdr:row>21</xdr:row>
      <xdr:rowOff>9525</xdr:rowOff>
    </xdr:from>
    <xdr:ext cx="447675" cy="200025"/>
    <xdr:sp>
      <xdr:nvSpPr>
        <xdr:cNvPr id="25" name="TextBox 39"/>
        <xdr:cNvSpPr txBox="1">
          <a:spLocks noChangeArrowheads="1"/>
        </xdr:cNvSpPr>
      </xdr:nvSpPr>
      <xdr:spPr>
        <a:xfrm>
          <a:off x="4486275" y="3829050"/>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10-12</a:t>
          </a:r>
        </a:p>
      </xdr:txBody>
    </xdr:sp>
    <xdr:clientData/>
  </xdr:oneCellAnchor>
  <xdr:oneCellAnchor>
    <xdr:from>
      <xdr:col>5</xdr:col>
      <xdr:colOff>409575</xdr:colOff>
      <xdr:row>23</xdr:row>
      <xdr:rowOff>123825</xdr:rowOff>
    </xdr:from>
    <xdr:ext cx="447675" cy="200025"/>
    <xdr:sp>
      <xdr:nvSpPr>
        <xdr:cNvPr id="26" name="TextBox 40"/>
        <xdr:cNvSpPr txBox="1">
          <a:spLocks noChangeArrowheads="1"/>
        </xdr:cNvSpPr>
      </xdr:nvSpPr>
      <xdr:spPr>
        <a:xfrm>
          <a:off x="4486275" y="4238625"/>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13-17</a:t>
          </a:r>
        </a:p>
      </xdr:txBody>
    </xdr:sp>
    <xdr:clientData/>
  </xdr:oneCellAnchor>
  <xdr:oneCellAnchor>
    <xdr:from>
      <xdr:col>5</xdr:col>
      <xdr:colOff>409575</xdr:colOff>
      <xdr:row>27</xdr:row>
      <xdr:rowOff>9525</xdr:rowOff>
    </xdr:from>
    <xdr:ext cx="447675" cy="200025"/>
    <xdr:sp>
      <xdr:nvSpPr>
        <xdr:cNvPr id="27" name="TextBox 41"/>
        <xdr:cNvSpPr txBox="1">
          <a:spLocks noChangeArrowheads="1"/>
        </xdr:cNvSpPr>
      </xdr:nvSpPr>
      <xdr:spPr>
        <a:xfrm>
          <a:off x="4486275" y="4667250"/>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18-21</a:t>
          </a:r>
        </a:p>
      </xdr:txBody>
    </xdr:sp>
    <xdr:clientData/>
  </xdr:oneCellAnchor>
  <xdr:oneCellAnchor>
    <xdr:from>
      <xdr:col>5</xdr:col>
      <xdr:colOff>409575</xdr:colOff>
      <xdr:row>30</xdr:row>
      <xdr:rowOff>9525</xdr:rowOff>
    </xdr:from>
    <xdr:ext cx="447675" cy="200025"/>
    <xdr:sp>
      <xdr:nvSpPr>
        <xdr:cNvPr id="28" name="TextBox 42"/>
        <xdr:cNvSpPr txBox="1">
          <a:spLocks noChangeArrowheads="1"/>
        </xdr:cNvSpPr>
      </xdr:nvSpPr>
      <xdr:spPr>
        <a:xfrm>
          <a:off x="4486275" y="5086350"/>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22-24</a:t>
          </a:r>
        </a:p>
      </xdr:txBody>
    </xdr:sp>
    <xdr:clientData/>
  </xdr:oneCellAnchor>
  <xdr:twoCellAnchor>
    <xdr:from>
      <xdr:col>0</xdr:col>
      <xdr:colOff>133350</xdr:colOff>
      <xdr:row>35</xdr:row>
      <xdr:rowOff>0</xdr:rowOff>
    </xdr:from>
    <xdr:to>
      <xdr:col>6</xdr:col>
      <xdr:colOff>142875</xdr:colOff>
      <xdr:row>35</xdr:row>
      <xdr:rowOff>0</xdr:rowOff>
    </xdr:to>
    <xdr:sp>
      <xdr:nvSpPr>
        <xdr:cNvPr id="29" name="Line 44"/>
        <xdr:cNvSpPr>
          <a:spLocks/>
        </xdr:cNvSpPr>
      </xdr:nvSpPr>
      <xdr:spPr>
        <a:xfrm>
          <a:off x="133350" y="5781675"/>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409575</xdr:colOff>
      <xdr:row>33</xdr:row>
      <xdr:rowOff>0</xdr:rowOff>
    </xdr:from>
    <xdr:ext cx="447675" cy="200025"/>
    <xdr:sp>
      <xdr:nvSpPr>
        <xdr:cNvPr id="30" name="TextBox 47"/>
        <xdr:cNvSpPr txBox="1">
          <a:spLocks noChangeArrowheads="1"/>
        </xdr:cNvSpPr>
      </xdr:nvSpPr>
      <xdr:spPr>
        <a:xfrm>
          <a:off x="4486275" y="5495925"/>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25</a:t>
          </a:r>
        </a:p>
      </xdr:txBody>
    </xdr:sp>
    <xdr:clientData/>
  </xdr:oneCellAnchor>
  <xdr:oneCellAnchor>
    <xdr:from>
      <xdr:col>0</xdr:col>
      <xdr:colOff>142875</xdr:colOff>
      <xdr:row>32</xdr:row>
      <xdr:rowOff>57150</xdr:rowOff>
    </xdr:from>
    <xdr:ext cx="2038350" cy="333375"/>
    <xdr:sp>
      <xdr:nvSpPr>
        <xdr:cNvPr id="31" name="TextBox 49"/>
        <xdr:cNvSpPr txBox="1">
          <a:spLocks noChangeArrowheads="1"/>
        </xdr:cNvSpPr>
      </xdr:nvSpPr>
      <xdr:spPr>
        <a:xfrm>
          <a:off x="142875" y="5429250"/>
          <a:ext cx="203835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Development Costs:
 </a:t>
          </a:r>
          <a:r>
            <a:rPr lang="en-US" cap="none" sz="1000" b="1" i="0" u="none" baseline="0">
              <a:solidFill>
                <a:srgbClr val="0000FF"/>
              </a:solidFill>
              <a:latin typeface="Arial"/>
              <a:ea typeface="Arial"/>
              <a:cs typeface="Arial"/>
            </a:rPr>
            <a:t>Costs for Concept Development</a:t>
          </a:r>
        </a:p>
      </xdr:txBody>
    </xdr:sp>
    <xdr:clientData/>
  </xdr:oneCellAnchor>
  <xdr:twoCellAnchor>
    <xdr:from>
      <xdr:col>0</xdr:col>
      <xdr:colOff>66675</xdr:colOff>
      <xdr:row>1</xdr:row>
      <xdr:rowOff>161925</xdr:rowOff>
    </xdr:from>
    <xdr:to>
      <xdr:col>3</xdr:col>
      <xdr:colOff>590550</xdr:colOff>
      <xdr:row>3</xdr:row>
      <xdr:rowOff>47625</xdr:rowOff>
    </xdr:to>
    <xdr:sp>
      <xdr:nvSpPr>
        <xdr:cNvPr id="32" name="TextBox 54"/>
        <xdr:cNvSpPr txBox="1">
          <a:spLocks noChangeArrowheads="1"/>
        </xdr:cNvSpPr>
      </xdr:nvSpPr>
      <xdr:spPr>
        <a:xfrm>
          <a:off x="66675" y="590550"/>
          <a:ext cx="3190875" cy="2571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Name of system evaluated on this worksheet:</a:t>
          </a:r>
        </a:p>
      </xdr:txBody>
    </xdr:sp>
    <xdr:clientData/>
  </xdr:twoCellAnchor>
  <xdr:twoCellAnchor>
    <xdr:from>
      <xdr:col>0</xdr:col>
      <xdr:colOff>133350</xdr:colOff>
      <xdr:row>38</xdr:row>
      <xdr:rowOff>9525</xdr:rowOff>
    </xdr:from>
    <xdr:to>
      <xdr:col>6</xdr:col>
      <xdr:colOff>142875</xdr:colOff>
      <xdr:row>38</xdr:row>
      <xdr:rowOff>9525</xdr:rowOff>
    </xdr:to>
    <xdr:sp>
      <xdr:nvSpPr>
        <xdr:cNvPr id="33" name="Line 56"/>
        <xdr:cNvSpPr>
          <a:spLocks/>
        </xdr:cNvSpPr>
      </xdr:nvSpPr>
      <xdr:spPr>
        <a:xfrm>
          <a:off x="133350" y="6200775"/>
          <a:ext cx="4848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142875</xdr:colOff>
      <xdr:row>35</xdr:row>
      <xdr:rowOff>38100</xdr:rowOff>
    </xdr:from>
    <xdr:ext cx="2362200" cy="333375"/>
    <xdr:sp>
      <xdr:nvSpPr>
        <xdr:cNvPr id="34" name="TextBox 57"/>
        <xdr:cNvSpPr txBox="1">
          <a:spLocks noChangeArrowheads="1"/>
        </xdr:cNvSpPr>
      </xdr:nvSpPr>
      <xdr:spPr>
        <a:xfrm>
          <a:off x="142875" y="5819775"/>
          <a:ext cx="2362200" cy="3333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R&amp;D Costs:
 </a:t>
          </a:r>
          <a:r>
            <a:rPr lang="en-US" cap="none" sz="1000" b="1" i="0" u="none" baseline="0">
              <a:solidFill>
                <a:srgbClr val="0000FF"/>
              </a:solidFill>
              <a:latin typeface="Arial"/>
              <a:ea typeface="Arial"/>
              <a:cs typeface="Arial"/>
            </a:rPr>
            <a:t>Costs for Research &amp; Development</a:t>
          </a:r>
        </a:p>
      </xdr:txBody>
    </xdr:sp>
    <xdr:clientData/>
  </xdr:oneCellAnchor>
  <xdr:oneCellAnchor>
    <xdr:from>
      <xdr:col>5</xdr:col>
      <xdr:colOff>409575</xdr:colOff>
      <xdr:row>36</xdr:row>
      <xdr:rowOff>19050</xdr:rowOff>
    </xdr:from>
    <xdr:ext cx="447675" cy="200025"/>
    <xdr:sp>
      <xdr:nvSpPr>
        <xdr:cNvPr id="35" name="TextBox 58"/>
        <xdr:cNvSpPr txBox="1">
          <a:spLocks noChangeArrowheads="1"/>
        </xdr:cNvSpPr>
      </xdr:nvSpPr>
      <xdr:spPr>
        <a:xfrm>
          <a:off x="4486275" y="5924550"/>
          <a:ext cx="447675" cy="2000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26</a:t>
          </a:r>
        </a:p>
      </xdr:txBody>
    </xdr:sp>
    <xdr:clientData/>
  </xdr:one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0.1555</cdr:y>
    </cdr:from>
    <cdr:to>
      <cdr:x>0.522</cdr:x>
      <cdr:y>0.962</cdr:y>
    </cdr:to>
    <cdr:sp>
      <cdr:nvSpPr>
        <cdr:cNvPr id="1" name="Line 1"/>
        <cdr:cNvSpPr>
          <a:spLocks/>
        </cdr:cNvSpPr>
      </cdr:nvSpPr>
      <cdr:spPr>
        <a:xfrm>
          <a:off x="1762125" y="295275"/>
          <a:ext cx="9525"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0.193</cdr:y>
    </cdr:from>
    <cdr:to>
      <cdr:x>0.522</cdr:x>
      <cdr:y>0.93175</cdr:y>
    </cdr:to>
    <cdr:sp>
      <cdr:nvSpPr>
        <cdr:cNvPr id="1" name="Line 1"/>
        <cdr:cNvSpPr>
          <a:spLocks/>
        </cdr:cNvSpPr>
      </cdr:nvSpPr>
      <cdr:spPr>
        <a:xfrm>
          <a:off x="1781175" y="37147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0.1965</cdr:y>
    </cdr:from>
    <cdr:to>
      <cdr:x>0.522</cdr:x>
      <cdr:y>0.93825</cdr:y>
    </cdr:to>
    <cdr:sp>
      <cdr:nvSpPr>
        <cdr:cNvPr id="1" name="Line 1"/>
        <cdr:cNvSpPr>
          <a:spLocks/>
        </cdr:cNvSpPr>
      </cdr:nvSpPr>
      <cdr:spPr>
        <a:xfrm>
          <a:off x="1781175" y="381000"/>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0.2025</cdr:y>
    </cdr:from>
    <cdr:to>
      <cdr:x>0.52025</cdr:x>
      <cdr:y>0.9445</cdr:y>
    </cdr:to>
    <cdr:sp>
      <cdr:nvSpPr>
        <cdr:cNvPr id="1" name="Line 1"/>
        <cdr:cNvSpPr>
          <a:spLocks/>
        </cdr:cNvSpPr>
      </cdr:nvSpPr>
      <cdr:spPr>
        <a:xfrm flipH="1">
          <a:off x="1762125" y="39052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0.2025</cdr:y>
    </cdr:from>
    <cdr:to>
      <cdr:x>0.52125</cdr:x>
      <cdr:y>0.9445</cdr:y>
    </cdr:to>
    <cdr:sp>
      <cdr:nvSpPr>
        <cdr:cNvPr id="1" name="Line 1"/>
        <cdr:cNvSpPr>
          <a:spLocks/>
        </cdr:cNvSpPr>
      </cdr:nvSpPr>
      <cdr:spPr>
        <a:xfrm>
          <a:off x="1762125" y="39052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0.52025</cdr:x>
      <cdr:y>0.198</cdr:y>
    </cdr:from>
    <cdr:to>
      <cdr:x>0.52125</cdr:x>
      <cdr:y>0.94125</cdr:y>
    </cdr:to>
    <cdr:sp>
      <cdr:nvSpPr>
        <cdr:cNvPr id="1" name="Line 1"/>
        <cdr:cNvSpPr>
          <a:spLocks/>
        </cdr:cNvSpPr>
      </cdr:nvSpPr>
      <cdr:spPr>
        <a:xfrm>
          <a:off x="1762125" y="381000"/>
          <a:ext cx="0" cy="1447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cdr:x>
      <cdr:y>0.172</cdr:y>
    </cdr:from>
    <cdr:to>
      <cdr:x>0.52175</cdr:x>
      <cdr:y>0.9445</cdr:y>
    </cdr:to>
    <cdr:sp>
      <cdr:nvSpPr>
        <cdr:cNvPr id="1" name="Line 1"/>
        <cdr:cNvSpPr>
          <a:spLocks/>
        </cdr:cNvSpPr>
      </cdr:nvSpPr>
      <cdr:spPr>
        <a:xfrm>
          <a:off x="1790700" y="333375"/>
          <a:ext cx="0" cy="1504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0.13925</cdr:y>
    </cdr:from>
    <cdr:to>
      <cdr:x>0.52</cdr:x>
      <cdr:y>0.94775</cdr:y>
    </cdr:to>
    <cdr:sp>
      <cdr:nvSpPr>
        <cdr:cNvPr id="1" name="Line 1"/>
        <cdr:cNvSpPr>
          <a:spLocks/>
        </cdr:cNvSpPr>
      </cdr:nvSpPr>
      <cdr:spPr>
        <a:xfrm>
          <a:off x="1781175" y="266700"/>
          <a:ext cx="0"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0.51825</cdr:x>
      <cdr:y>0.1285</cdr:y>
    </cdr:from>
    <cdr:to>
      <cdr:x>0.52</cdr:x>
      <cdr:y>0.935</cdr:y>
    </cdr:to>
    <cdr:sp>
      <cdr:nvSpPr>
        <cdr:cNvPr id="1" name="Line 1"/>
        <cdr:cNvSpPr>
          <a:spLocks/>
        </cdr:cNvSpPr>
      </cdr:nvSpPr>
      <cdr:spPr>
        <a:xfrm>
          <a:off x="1781175" y="247650"/>
          <a:ext cx="9525"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0.1125</cdr:y>
    </cdr:from>
    <cdr:to>
      <cdr:x>0.52</cdr:x>
      <cdr:y>0.9445</cdr:y>
    </cdr:to>
    <cdr:sp>
      <cdr:nvSpPr>
        <cdr:cNvPr id="1" name="Line 1"/>
        <cdr:cNvSpPr>
          <a:spLocks/>
        </cdr:cNvSpPr>
      </cdr:nvSpPr>
      <cdr:spPr>
        <a:xfrm>
          <a:off x="1781175" y="209550"/>
          <a:ext cx="0" cy="1619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47625</xdr:colOff>
      <xdr:row>24</xdr:row>
      <xdr:rowOff>28575</xdr:rowOff>
    </xdr:from>
    <xdr:ext cx="695325" cy="200025"/>
    <xdr:sp>
      <xdr:nvSpPr>
        <xdr:cNvPr id="1" name="TextBox 136"/>
        <xdr:cNvSpPr txBox="1">
          <a:spLocks noChangeArrowheads="1"/>
        </xdr:cNvSpPr>
      </xdr:nvSpPr>
      <xdr:spPr>
        <a:xfrm>
          <a:off x="6886575" y="4972050"/>
          <a:ext cx="6953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Weighting</a:t>
          </a:r>
        </a:p>
      </xdr:txBody>
    </xdr:sp>
    <xdr:clientData fLocksWithSheet="0"/>
  </xdr:oneCellAnchor>
  <xdr:twoCellAnchor>
    <xdr:from>
      <xdr:col>23</xdr:col>
      <xdr:colOff>257175</xdr:colOff>
      <xdr:row>25</xdr:row>
      <xdr:rowOff>57150</xdr:rowOff>
    </xdr:from>
    <xdr:to>
      <xdr:col>23</xdr:col>
      <xdr:colOff>257175</xdr:colOff>
      <xdr:row>26</xdr:row>
      <xdr:rowOff>57150</xdr:rowOff>
    </xdr:to>
    <xdr:sp>
      <xdr:nvSpPr>
        <xdr:cNvPr id="2" name="Line 138"/>
        <xdr:cNvSpPr>
          <a:spLocks/>
        </xdr:cNvSpPr>
      </xdr:nvSpPr>
      <xdr:spPr>
        <a:xfrm>
          <a:off x="7096125" y="5162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23</xdr:col>
      <xdr:colOff>95250</xdr:colOff>
      <xdr:row>26</xdr:row>
      <xdr:rowOff>66675</xdr:rowOff>
    </xdr:from>
    <xdr:to>
      <xdr:col>23</xdr:col>
      <xdr:colOff>257175</xdr:colOff>
      <xdr:row>27</xdr:row>
      <xdr:rowOff>104775</xdr:rowOff>
    </xdr:to>
    <xdr:sp fLocksText="0" textlink="$A$53">
      <xdr:nvSpPr>
        <xdr:cNvPr id="3" name="TextBox 106"/>
        <xdr:cNvSpPr txBox="1">
          <a:spLocks noChangeArrowheads="1"/>
        </xdr:cNvSpPr>
      </xdr:nvSpPr>
      <xdr:spPr>
        <a:xfrm>
          <a:off x="6934200" y="5334000"/>
          <a:ext cx="161925" cy="200025"/>
        </a:xfrm>
        <a:prstGeom prst="rect">
          <a:avLst/>
        </a:prstGeom>
        <a:solidFill>
          <a:srgbClr val="FFFFFF"/>
        </a:solidFill>
        <a:ln w="9525" cmpd="sng">
          <a:solidFill>
            <a:srgbClr val="000000"/>
          </a:solidFill>
          <a:headEnd type="none"/>
          <a:tailEnd type="none"/>
        </a:ln>
      </xdr:spPr>
      <xdr:txBody>
        <a:bodyPr vertOverflow="clip" wrap="square" anchor="ctr"/>
        <a:p>
          <a:pPr algn="l">
            <a:defRPr/>
          </a:pPr>
          <a:fld id="{fc47702f-7ae4-4836-b06c-b3cb2d9dc85e}" type="TxLink">
            <a:rPr lang="en-US" cap="none" sz="900" b="0" i="0" u="none" baseline="0">
              <a:latin typeface="Arial"/>
              <a:ea typeface="Arial"/>
              <a:cs typeface="Arial"/>
            </a:rPr>
            <a:t>0.5</a:t>
          </a:fld>
        </a:p>
      </xdr:txBody>
    </xdr:sp>
    <xdr:clientData fLocksWithSheet="0"/>
  </xdr:twoCellAnchor>
  <xdr:oneCellAnchor>
    <xdr:from>
      <xdr:col>0</xdr:col>
      <xdr:colOff>714375</xdr:colOff>
      <xdr:row>21</xdr:row>
      <xdr:rowOff>95250</xdr:rowOff>
    </xdr:from>
    <xdr:ext cx="942975" cy="200025"/>
    <xdr:sp>
      <xdr:nvSpPr>
        <xdr:cNvPr id="4" name="TextBox 94"/>
        <xdr:cNvSpPr txBox="1">
          <a:spLocks noChangeArrowheads="1"/>
        </xdr:cNvSpPr>
      </xdr:nvSpPr>
      <xdr:spPr>
        <a:xfrm>
          <a:off x="714375" y="4552950"/>
          <a:ext cx="94297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Select Peak 1:</a:t>
          </a:r>
        </a:p>
      </xdr:txBody>
    </xdr:sp>
    <xdr:clientData fLocksWithSheet="0"/>
  </xdr:oneCellAnchor>
  <xdr:oneCellAnchor>
    <xdr:from>
      <xdr:col>0</xdr:col>
      <xdr:colOff>714375</xdr:colOff>
      <xdr:row>26</xdr:row>
      <xdr:rowOff>57150</xdr:rowOff>
    </xdr:from>
    <xdr:ext cx="942975" cy="200025"/>
    <xdr:sp>
      <xdr:nvSpPr>
        <xdr:cNvPr id="5" name="TextBox 95"/>
        <xdr:cNvSpPr txBox="1">
          <a:spLocks noChangeArrowheads="1"/>
        </xdr:cNvSpPr>
      </xdr:nvSpPr>
      <xdr:spPr>
        <a:xfrm>
          <a:off x="714375" y="5324475"/>
          <a:ext cx="94297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Select Peak 2:</a:t>
          </a:r>
        </a:p>
      </xdr:txBody>
    </xdr:sp>
    <xdr:clientData fLocksWithSheet="0"/>
  </xdr:oneCellAnchor>
  <xdr:twoCellAnchor>
    <xdr:from>
      <xdr:col>23</xdr:col>
      <xdr:colOff>257175</xdr:colOff>
      <xdr:row>23</xdr:row>
      <xdr:rowOff>28575</xdr:rowOff>
    </xdr:from>
    <xdr:to>
      <xdr:col>23</xdr:col>
      <xdr:colOff>257175</xdr:colOff>
      <xdr:row>24</xdr:row>
      <xdr:rowOff>28575</xdr:rowOff>
    </xdr:to>
    <xdr:sp>
      <xdr:nvSpPr>
        <xdr:cNvPr id="6" name="Line 137"/>
        <xdr:cNvSpPr>
          <a:spLocks/>
        </xdr:cNvSpPr>
      </xdr:nvSpPr>
      <xdr:spPr>
        <a:xfrm flipV="1">
          <a:off x="7096125" y="481012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23</xdr:col>
      <xdr:colOff>123825</xdr:colOff>
      <xdr:row>0</xdr:row>
      <xdr:rowOff>0</xdr:rowOff>
    </xdr:from>
    <xdr:to>
      <xdr:col>38</xdr:col>
      <xdr:colOff>247650</xdr:colOff>
      <xdr:row>8</xdr:row>
      <xdr:rowOff>0</xdr:rowOff>
    </xdr:to>
    <xdr:sp>
      <xdr:nvSpPr>
        <xdr:cNvPr id="7" name="Rectangle 218"/>
        <xdr:cNvSpPr>
          <a:spLocks/>
        </xdr:cNvSpPr>
      </xdr:nvSpPr>
      <xdr:spPr>
        <a:xfrm>
          <a:off x="6962775" y="0"/>
          <a:ext cx="10829925" cy="175260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26</xdr:col>
      <xdr:colOff>742950</xdr:colOff>
      <xdr:row>36</xdr:row>
      <xdr:rowOff>123825</xdr:rowOff>
    </xdr:from>
    <xdr:to>
      <xdr:col>31</xdr:col>
      <xdr:colOff>285750</xdr:colOff>
      <xdr:row>46</xdr:row>
      <xdr:rowOff>66675</xdr:rowOff>
    </xdr:to>
    <xdr:pic>
      <xdr:nvPicPr>
        <xdr:cNvPr id="8" name="Picture 61"/>
        <xdr:cNvPicPr preferRelativeResize="1">
          <a:picLocks noChangeAspect="1"/>
        </xdr:cNvPicPr>
      </xdr:nvPicPr>
      <xdr:blipFill>
        <a:blip r:embed="rId1"/>
        <a:stretch>
          <a:fillRect/>
        </a:stretch>
      </xdr:blipFill>
      <xdr:spPr>
        <a:xfrm>
          <a:off x="9144000" y="10182225"/>
          <a:ext cx="3352800" cy="1562100"/>
        </a:xfrm>
        <a:prstGeom prst="rect">
          <a:avLst/>
        </a:prstGeom>
        <a:noFill/>
        <a:ln w="9525" cmpd="sng">
          <a:noFill/>
        </a:ln>
      </xdr:spPr>
    </xdr:pic>
    <xdr:clientData/>
  </xdr:twoCellAnchor>
  <xdr:twoCellAnchor>
    <xdr:from>
      <xdr:col>23</xdr:col>
      <xdr:colOff>123825</xdr:colOff>
      <xdr:row>12</xdr:row>
      <xdr:rowOff>9525</xdr:rowOff>
    </xdr:from>
    <xdr:to>
      <xdr:col>38</xdr:col>
      <xdr:colOff>247650</xdr:colOff>
      <xdr:row>22</xdr:row>
      <xdr:rowOff>19050</xdr:rowOff>
    </xdr:to>
    <xdr:sp>
      <xdr:nvSpPr>
        <xdr:cNvPr id="9" name="Rectangle 130"/>
        <xdr:cNvSpPr>
          <a:spLocks/>
        </xdr:cNvSpPr>
      </xdr:nvSpPr>
      <xdr:spPr>
        <a:xfrm>
          <a:off x="6962775" y="2409825"/>
          <a:ext cx="10829925" cy="22288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xdr:row>
      <xdr:rowOff>123825</xdr:rowOff>
    </xdr:from>
    <xdr:to>
      <xdr:col>1</xdr:col>
      <xdr:colOff>733425</xdr:colOff>
      <xdr:row>29</xdr:row>
      <xdr:rowOff>0</xdr:rowOff>
    </xdr:to>
    <xdr:sp>
      <xdr:nvSpPr>
        <xdr:cNvPr id="10" name="Rectangle 129"/>
        <xdr:cNvSpPr>
          <a:spLocks/>
        </xdr:cNvSpPr>
      </xdr:nvSpPr>
      <xdr:spPr>
        <a:xfrm>
          <a:off x="0" y="3333750"/>
          <a:ext cx="1609725" cy="233362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xdr:col>
      <xdr:colOff>47625</xdr:colOff>
      <xdr:row>18</xdr:row>
      <xdr:rowOff>0</xdr:rowOff>
    </xdr:to>
    <xdr:sp>
      <xdr:nvSpPr>
        <xdr:cNvPr id="11" name="Rectangle 46"/>
        <xdr:cNvSpPr>
          <a:spLocks/>
        </xdr:cNvSpPr>
      </xdr:nvSpPr>
      <xdr:spPr>
        <a:xfrm>
          <a:off x="0" y="0"/>
          <a:ext cx="1685925" cy="33718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0</xdr:row>
      <xdr:rowOff>619125</xdr:rowOff>
    </xdr:from>
    <xdr:to>
      <xdr:col>23</xdr:col>
      <xdr:colOff>114300</xdr:colOff>
      <xdr:row>17</xdr:row>
      <xdr:rowOff>133350</xdr:rowOff>
    </xdr:to>
    <xdr:graphicFrame>
      <xdr:nvGraphicFramePr>
        <xdr:cNvPr id="12" name="Chart 16"/>
        <xdr:cNvGraphicFramePr/>
      </xdr:nvGraphicFramePr>
      <xdr:xfrm>
        <a:off x="1295400" y="619125"/>
        <a:ext cx="5657850" cy="2724150"/>
      </xdr:xfrm>
      <a:graphic>
        <a:graphicData uri="http://schemas.openxmlformats.org/drawingml/2006/chart">
          <c:chart xmlns:c="http://schemas.openxmlformats.org/drawingml/2006/chart" r:id="rId2"/>
        </a:graphicData>
      </a:graphic>
    </xdr:graphicFrame>
    <xdr:clientData/>
  </xdr:twoCellAnchor>
  <xdr:oneCellAnchor>
    <xdr:from>
      <xdr:col>1</xdr:col>
      <xdr:colOff>485775</xdr:colOff>
      <xdr:row>0</xdr:row>
      <xdr:rowOff>190500</xdr:rowOff>
    </xdr:from>
    <xdr:ext cx="5791200" cy="200025"/>
    <xdr:sp textlink="$X$69">
      <xdr:nvSpPr>
        <xdr:cNvPr id="13" name="TextBox 96"/>
        <xdr:cNvSpPr txBox="1">
          <a:spLocks noChangeArrowheads="1"/>
        </xdr:cNvSpPr>
      </xdr:nvSpPr>
      <xdr:spPr>
        <a:xfrm>
          <a:off x="1362075" y="190500"/>
          <a:ext cx="5791200" cy="200025"/>
        </a:xfrm>
        <a:prstGeom prst="rect">
          <a:avLst/>
        </a:prstGeom>
        <a:noFill/>
        <a:ln w="9525" cmpd="sng">
          <a:noFill/>
        </a:ln>
      </xdr:spPr>
      <xdr:txBody>
        <a:bodyPr vertOverflow="clip" wrap="square"/>
        <a:p>
          <a:pPr algn="l">
            <a:defRPr/>
          </a:pPr>
          <a:fld id="{c5a06aa5-56fc-43b5-a0c9-1237780535ca}" type="TxLink">
            <a:rPr lang="en-US" cap="none" sz="1100" b="1" i="0" u="none" baseline="0">
              <a:latin typeface="Arial"/>
              <a:ea typeface="Arial"/>
              <a:cs typeface="Arial"/>
            </a:rPr>
            <a:t>SU1-1: Fuel Utilization</a:t>
          </a:fld>
        </a:p>
      </xdr:txBody>
    </xdr:sp>
    <xdr:clientData/>
  </xdr:oneCellAnchor>
  <xdr:oneCellAnchor>
    <xdr:from>
      <xdr:col>1</xdr:col>
      <xdr:colOff>714375</xdr:colOff>
      <xdr:row>0</xdr:row>
      <xdr:rowOff>485775</xdr:rowOff>
    </xdr:from>
    <xdr:ext cx="5038725" cy="257175"/>
    <xdr:sp textlink="$Y$69">
      <xdr:nvSpPr>
        <xdr:cNvPr id="14" name="TextBox 97"/>
        <xdr:cNvSpPr txBox="1">
          <a:spLocks noChangeArrowheads="1"/>
        </xdr:cNvSpPr>
      </xdr:nvSpPr>
      <xdr:spPr>
        <a:xfrm>
          <a:off x="1590675" y="485775"/>
          <a:ext cx="5038725" cy="257175"/>
        </a:xfrm>
        <a:prstGeom prst="rect">
          <a:avLst/>
        </a:prstGeom>
        <a:solidFill>
          <a:srgbClr val="008000"/>
        </a:solidFill>
        <a:ln w="9525" cmpd="sng">
          <a:solidFill>
            <a:srgbClr val="000000"/>
          </a:solidFill>
          <a:headEnd type="none"/>
          <a:tailEnd type="none"/>
        </a:ln>
      </xdr:spPr>
      <xdr:txBody>
        <a:bodyPr vertOverflow="clip" wrap="square"/>
        <a:p>
          <a:pPr algn="l">
            <a:defRPr/>
          </a:pPr>
          <a:fld id="{dd87b301-8785-45dc-971a-16adb38c17d4}" type="TxLink">
            <a:rPr lang="en-US" cap="none" sz="1400" b="1" i="0" u="none" baseline="0">
              <a:solidFill>
                <a:srgbClr val="FFFFFF"/>
              </a:solidFill>
              <a:latin typeface="Arial"/>
              <a:ea typeface="Arial"/>
              <a:cs typeface="Arial"/>
            </a:rPr>
            <a:t>Metric 1: Fuel Utilization</a:t>
          </a:fld>
        </a:p>
      </xdr:txBody>
    </xdr:sp>
    <xdr:clientData/>
  </xdr:oneCellAnchor>
  <xdr:twoCellAnchor>
    <xdr:from>
      <xdr:col>0</xdr:col>
      <xdr:colOff>0</xdr:colOff>
      <xdr:row>34</xdr:row>
      <xdr:rowOff>9525</xdr:rowOff>
    </xdr:from>
    <xdr:to>
      <xdr:col>38</xdr:col>
      <xdr:colOff>400050</xdr:colOff>
      <xdr:row>84</xdr:row>
      <xdr:rowOff>57150</xdr:rowOff>
    </xdr:to>
    <xdr:sp>
      <xdr:nvSpPr>
        <xdr:cNvPr id="15" name="Rectangle 104"/>
        <xdr:cNvSpPr>
          <a:spLocks/>
        </xdr:cNvSpPr>
      </xdr:nvSpPr>
      <xdr:spPr>
        <a:xfrm>
          <a:off x="0" y="9744075"/>
          <a:ext cx="17945100" cy="820102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20</xdr:row>
      <xdr:rowOff>9525</xdr:rowOff>
    </xdr:from>
    <xdr:to>
      <xdr:col>38</xdr:col>
      <xdr:colOff>285750</xdr:colOff>
      <xdr:row>28</xdr:row>
      <xdr:rowOff>66675</xdr:rowOff>
    </xdr:to>
    <xdr:sp>
      <xdr:nvSpPr>
        <xdr:cNvPr id="16" name="Rectangle 103"/>
        <xdr:cNvSpPr>
          <a:spLocks/>
        </xdr:cNvSpPr>
      </xdr:nvSpPr>
      <xdr:spPr>
        <a:xfrm>
          <a:off x="133350" y="4305300"/>
          <a:ext cx="17697450" cy="135255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47625</xdr:colOff>
      <xdr:row>0</xdr:row>
      <xdr:rowOff>47625</xdr:rowOff>
    </xdr:from>
    <xdr:ext cx="685800" cy="219075"/>
    <xdr:sp>
      <xdr:nvSpPr>
        <xdr:cNvPr id="17" name="TextBox 124"/>
        <xdr:cNvSpPr txBox="1">
          <a:spLocks noChangeArrowheads="1"/>
        </xdr:cNvSpPr>
      </xdr:nvSpPr>
      <xdr:spPr>
        <a:xfrm>
          <a:off x="47625" y="47625"/>
          <a:ext cx="685800" cy="2190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System:</a:t>
          </a:r>
        </a:p>
      </xdr:txBody>
    </xdr:sp>
    <xdr:clientData/>
  </xdr:oneCellAnchor>
  <xdr:twoCellAnchor editAs="absolute">
    <xdr:from>
      <xdr:col>0</xdr:col>
      <xdr:colOff>381000</xdr:colOff>
      <xdr:row>4</xdr:row>
      <xdr:rowOff>85725</xdr:rowOff>
    </xdr:from>
    <xdr:to>
      <xdr:col>0</xdr:col>
      <xdr:colOff>657225</xdr:colOff>
      <xdr:row>5</xdr:row>
      <xdr:rowOff>95250</xdr:rowOff>
    </xdr:to>
    <xdr:sp fLocksText="0" textlink="$X$64">
      <xdr:nvSpPr>
        <xdr:cNvPr id="18" name="TextBox 128"/>
        <xdr:cNvSpPr txBox="1">
          <a:spLocks noChangeArrowheads="1"/>
        </xdr:cNvSpPr>
      </xdr:nvSpPr>
      <xdr:spPr>
        <a:xfrm>
          <a:off x="381000" y="1190625"/>
          <a:ext cx="276225" cy="171450"/>
        </a:xfrm>
        <a:prstGeom prst="rect">
          <a:avLst/>
        </a:prstGeom>
        <a:noFill/>
        <a:ln w="9525" cmpd="sng">
          <a:noFill/>
        </a:ln>
      </xdr:spPr>
      <xdr:txBody>
        <a:bodyPr vertOverflow="clip" wrap="square"/>
        <a:p>
          <a:pPr algn="l">
            <a:defRPr/>
          </a:pPr>
          <a:fld id="{e1109a40-0153-4292-9be4-c393435d4549}" type="TxLink">
            <a:rPr lang="en-US" cap="none" sz="1000" b="1" i="0" u="none" baseline="0">
              <a:latin typeface="Arial"/>
              <a:ea typeface="Arial"/>
              <a:cs typeface="Arial"/>
            </a:rPr>
            <a:t>1</a:t>
          </a:fld>
        </a:p>
      </xdr:txBody>
    </xdr:sp>
    <xdr:clientData fLocksWithSheet="0" fPrintsWithSheet="0"/>
  </xdr:twoCellAnchor>
  <xdr:twoCellAnchor editAs="absolute">
    <xdr:from>
      <xdr:col>0</xdr:col>
      <xdr:colOff>228600</xdr:colOff>
      <xdr:row>3</xdr:row>
      <xdr:rowOff>104775</xdr:rowOff>
    </xdr:from>
    <xdr:to>
      <xdr:col>1</xdr:col>
      <xdr:colOff>95250</xdr:colOff>
      <xdr:row>4</xdr:row>
      <xdr:rowOff>123825</xdr:rowOff>
    </xdr:to>
    <xdr:sp>
      <xdr:nvSpPr>
        <xdr:cNvPr id="19" name="TextBox 132"/>
        <xdr:cNvSpPr txBox="1">
          <a:spLocks noChangeArrowheads="1"/>
        </xdr:cNvSpPr>
      </xdr:nvSpPr>
      <xdr:spPr>
        <a:xfrm>
          <a:off x="228600" y="1047750"/>
          <a:ext cx="7429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Metric Record:</a:t>
          </a:r>
        </a:p>
      </xdr:txBody>
    </xdr:sp>
    <xdr:clientData fPrintsWithSheet="0"/>
  </xdr:twoCellAnchor>
  <xdr:twoCellAnchor editAs="absolute">
    <xdr:from>
      <xdr:col>0</xdr:col>
      <xdr:colOff>590550</xdr:colOff>
      <xdr:row>4</xdr:row>
      <xdr:rowOff>104775</xdr:rowOff>
    </xdr:from>
    <xdr:to>
      <xdr:col>0</xdr:col>
      <xdr:colOff>762000</xdr:colOff>
      <xdr:row>5</xdr:row>
      <xdr:rowOff>123825</xdr:rowOff>
    </xdr:to>
    <xdr:sp>
      <xdr:nvSpPr>
        <xdr:cNvPr id="20" name="TextBox 133"/>
        <xdr:cNvSpPr txBox="1">
          <a:spLocks noChangeArrowheads="1"/>
        </xdr:cNvSpPr>
      </xdr:nvSpPr>
      <xdr:spPr>
        <a:xfrm>
          <a:off x="590550" y="1209675"/>
          <a:ext cx="1714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of</a:t>
          </a:r>
        </a:p>
      </xdr:txBody>
    </xdr:sp>
    <xdr:clientData fPrintsWithSheet="0"/>
  </xdr:twoCellAnchor>
  <xdr:twoCellAnchor editAs="absolute">
    <xdr:from>
      <xdr:col>0</xdr:col>
      <xdr:colOff>733425</xdr:colOff>
      <xdr:row>4</xdr:row>
      <xdr:rowOff>85725</xdr:rowOff>
    </xdr:from>
    <xdr:to>
      <xdr:col>1</xdr:col>
      <xdr:colOff>114300</xdr:colOff>
      <xdr:row>5</xdr:row>
      <xdr:rowOff>95250</xdr:rowOff>
    </xdr:to>
    <xdr:sp fLocksText="0" textlink="$X$65">
      <xdr:nvSpPr>
        <xdr:cNvPr id="21" name="TextBox 134"/>
        <xdr:cNvSpPr txBox="1">
          <a:spLocks noChangeArrowheads="1"/>
        </xdr:cNvSpPr>
      </xdr:nvSpPr>
      <xdr:spPr>
        <a:xfrm>
          <a:off x="733425" y="1190625"/>
          <a:ext cx="257175" cy="171450"/>
        </a:xfrm>
        <a:prstGeom prst="rect">
          <a:avLst/>
        </a:prstGeom>
        <a:noFill/>
        <a:ln w="9525" cmpd="sng">
          <a:noFill/>
        </a:ln>
      </xdr:spPr>
      <xdr:txBody>
        <a:bodyPr vertOverflow="clip" wrap="square"/>
        <a:p>
          <a:pPr algn="l">
            <a:defRPr/>
          </a:pPr>
          <a:fld id="{5eb432d2-b7c5-4b15-af82-41a935270ce0}" type="TxLink">
            <a:rPr lang="en-US" cap="none" sz="1000" b="1" i="0" u="none" baseline="0">
              <a:latin typeface="Arial"/>
              <a:ea typeface="Arial"/>
              <a:cs typeface="Arial"/>
            </a:rPr>
            <a:t>26</a:t>
          </a:fld>
        </a:p>
      </xdr:txBody>
    </xdr:sp>
    <xdr:clientData fLocksWithSheet="0" fPrintsWithSheet="0"/>
  </xdr:twoCellAnchor>
  <xdr:twoCellAnchor editAs="absolute">
    <xdr:from>
      <xdr:col>0</xdr:col>
      <xdr:colOff>447675</xdr:colOff>
      <xdr:row>5</xdr:row>
      <xdr:rowOff>133350</xdr:rowOff>
    </xdr:from>
    <xdr:to>
      <xdr:col>0</xdr:col>
      <xdr:colOff>600075</xdr:colOff>
      <xdr:row>6</xdr:row>
      <xdr:rowOff>123825</xdr:rowOff>
    </xdr:to>
    <xdr:grpSp>
      <xdr:nvGrpSpPr>
        <xdr:cNvPr id="22" name="Group 158"/>
        <xdr:cNvGrpSpPr>
          <a:grpSpLocks/>
        </xdr:cNvGrpSpPr>
      </xdr:nvGrpSpPr>
      <xdr:grpSpPr>
        <a:xfrm>
          <a:off x="447675" y="1400175"/>
          <a:ext cx="152400" cy="152400"/>
          <a:chOff x="40" y="107"/>
          <a:chExt cx="14" cy="11"/>
        </a:xfrm>
        <a:solidFill>
          <a:srgbClr val="FFFFFF"/>
        </a:solidFill>
      </xdr:grpSpPr>
      <xdr:sp>
        <xdr:nvSpPr>
          <xdr:cNvPr id="23" name="Rectangle 139"/>
          <xdr:cNvSpPr>
            <a:spLocks/>
          </xdr:cNvSpPr>
        </xdr:nvSpPr>
        <xdr:spPr>
          <a:xfrm>
            <a:off x="40" y="107"/>
            <a:ext cx="14" cy="1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Polygon 143"/>
          <xdr:cNvSpPr>
            <a:spLocks/>
          </xdr:cNvSpPr>
        </xdr:nvSpPr>
        <xdr:spPr>
          <a:xfrm>
            <a:off x="43" y="108"/>
            <a:ext cx="7" cy="8"/>
          </a:xfrm>
          <a:custGeom>
            <a:pathLst>
              <a:path h="22" w="18">
                <a:moveTo>
                  <a:pt x="18" y="0"/>
                </a:moveTo>
                <a:lnTo>
                  <a:pt x="0" y="12"/>
                </a:lnTo>
                <a:lnTo>
                  <a:pt x="18" y="22"/>
                </a:lnTo>
                <a:lnTo>
                  <a:pt x="18"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0</xdr:col>
      <xdr:colOff>619125</xdr:colOff>
      <xdr:row>5</xdr:row>
      <xdr:rowOff>133350</xdr:rowOff>
    </xdr:from>
    <xdr:to>
      <xdr:col>0</xdr:col>
      <xdr:colOff>771525</xdr:colOff>
      <xdr:row>6</xdr:row>
      <xdr:rowOff>123825</xdr:rowOff>
    </xdr:to>
    <xdr:grpSp>
      <xdr:nvGrpSpPr>
        <xdr:cNvPr id="25" name="Group 159"/>
        <xdr:cNvGrpSpPr>
          <a:grpSpLocks/>
        </xdr:cNvGrpSpPr>
      </xdr:nvGrpSpPr>
      <xdr:grpSpPr>
        <a:xfrm>
          <a:off x="619125" y="1400175"/>
          <a:ext cx="152400" cy="152400"/>
          <a:chOff x="56" y="107"/>
          <a:chExt cx="14" cy="11"/>
        </a:xfrm>
        <a:solidFill>
          <a:srgbClr val="FFFFFF"/>
        </a:solidFill>
      </xdr:grpSpPr>
      <xdr:sp>
        <xdr:nvSpPr>
          <xdr:cNvPr id="26" name="Rectangle 144"/>
          <xdr:cNvSpPr>
            <a:spLocks/>
          </xdr:cNvSpPr>
        </xdr:nvSpPr>
        <xdr:spPr>
          <a:xfrm>
            <a:off x="56" y="107"/>
            <a:ext cx="14" cy="1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Polygon 145"/>
          <xdr:cNvSpPr>
            <a:spLocks/>
          </xdr:cNvSpPr>
        </xdr:nvSpPr>
        <xdr:spPr>
          <a:xfrm flipH="1">
            <a:off x="59" y="108"/>
            <a:ext cx="7" cy="8"/>
          </a:xfrm>
          <a:custGeom>
            <a:pathLst>
              <a:path h="22" w="18">
                <a:moveTo>
                  <a:pt x="18" y="0"/>
                </a:moveTo>
                <a:lnTo>
                  <a:pt x="0" y="12"/>
                </a:lnTo>
                <a:lnTo>
                  <a:pt x="18" y="22"/>
                </a:lnTo>
                <a:lnTo>
                  <a:pt x="18"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0</xdr:col>
      <xdr:colOff>800100</xdr:colOff>
      <xdr:row>5</xdr:row>
      <xdr:rowOff>133350</xdr:rowOff>
    </xdr:from>
    <xdr:to>
      <xdr:col>1</xdr:col>
      <xdr:colOff>76200</xdr:colOff>
      <xdr:row>6</xdr:row>
      <xdr:rowOff>123825</xdr:rowOff>
    </xdr:to>
    <xdr:grpSp>
      <xdr:nvGrpSpPr>
        <xdr:cNvPr id="28" name="Group 160"/>
        <xdr:cNvGrpSpPr>
          <a:grpSpLocks/>
        </xdr:cNvGrpSpPr>
      </xdr:nvGrpSpPr>
      <xdr:grpSpPr>
        <a:xfrm>
          <a:off x="800100" y="1400175"/>
          <a:ext cx="152400" cy="152400"/>
          <a:chOff x="72" y="107"/>
          <a:chExt cx="14" cy="11"/>
        </a:xfrm>
        <a:solidFill>
          <a:srgbClr val="FFFFFF"/>
        </a:solidFill>
      </xdr:grpSpPr>
      <xdr:sp>
        <xdr:nvSpPr>
          <xdr:cNvPr id="29" name="Rectangle 146"/>
          <xdr:cNvSpPr>
            <a:spLocks/>
          </xdr:cNvSpPr>
        </xdr:nvSpPr>
        <xdr:spPr>
          <a:xfrm>
            <a:off x="72" y="107"/>
            <a:ext cx="14" cy="1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Polygon 147"/>
          <xdr:cNvSpPr>
            <a:spLocks/>
          </xdr:cNvSpPr>
        </xdr:nvSpPr>
        <xdr:spPr>
          <a:xfrm flipH="1">
            <a:off x="75" y="108"/>
            <a:ext cx="7" cy="8"/>
          </a:xfrm>
          <a:custGeom>
            <a:pathLst>
              <a:path h="22" w="18">
                <a:moveTo>
                  <a:pt x="18" y="0"/>
                </a:moveTo>
                <a:lnTo>
                  <a:pt x="0" y="12"/>
                </a:lnTo>
                <a:lnTo>
                  <a:pt x="18" y="22"/>
                </a:lnTo>
                <a:lnTo>
                  <a:pt x="18"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150"/>
          <xdr:cNvSpPr>
            <a:spLocks/>
          </xdr:cNvSpPr>
        </xdr:nvSpPr>
        <xdr:spPr>
          <a:xfrm flipV="1">
            <a:off x="83" y="109"/>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0</xdr:col>
      <xdr:colOff>266700</xdr:colOff>
      <xdr:row>5</xdr:row>
      <xdr:rowOff>133350</xdr:rowOff>
    </xdr:from>
    <xdr:to>
      <xdr:col>0</xdr:col>
      <xdr:colOff>419100</xdr:colOff>
      <xdr:row>6</xdr:row>
      <xdr:rowOff>123825</xdr:rowOff>
    </xdr:to>
    <xdr:grpSp>
      <xdr:nvGrpSpPr>
        <xdr:cNvPr id="32" name="Group 154"/>
        <xdr:cNvGrpSpPr>
          <a:grpSpLocks/>
        </xdr:cNvGrpSpPr>
      </xdr:nvGrpSpPr>
      <xdr:grpSpPr>
        <a:xfrm>
          <a:off x="266700" y="1400175"/>
          <a:ext cx="152400" cy="152400"/>
          <a:chOff x="28" y="107"/>
          <a:chExt cx="14" cy="11"/>
        </a:xfrm>
        <a:solidFill>
          <a:srgbClr val="FFFFFF"/>
        </a:solidFill>
      </xdr:grpSpPr>
      <xdr:sp>
        <xdr:nvSpPr>
          <xdr:cNvPr id="33" name="Rectangle 148"/>
          <xdr:cNvSpPr>
            <a:spLocks/>
          </xdr:cNvSpPr>
        </xdr:nvSpPr>
        <xdr:spPr>
          <a:xfrm>
            <a:off x="28" y="107"/>
            <a:ext cx="14" cy="11"/>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Polygon 149"/>
          <xdr:cNvSpPr>
            <a:spLocks/>
          </xdr:cNvSpPr>
        </xdr:nvSpPr>
        <xdr:spPr>
          <a:xfrm>
            <a:off x="31" y="108"/>
            <a:ext cx="7" cy="8"/>
          </a:xfrm>
          <a:custGeom>
            <a:pathLst>
              <a:path h="22" w="18">
                <a:moveTo>
                  <a:pt x="18" y="0"/>
                </a:moveTo>
                <a:lnTo>
                  <a:pt x="0" y="12"/>
                </a:lnTo>
                <a:lnTo>
                  <a:pt x="18" y="22"/>
                </a:lnTo>
                <a:lnTo>
                  <a:pt x="18" y="0"/>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151"/>
          <xdr:cNvSpPr>
            <a:spLocks/>
          </xdr:cNvSpPr>
        </xdr:nvSpPr>
        <xdr:spPr>
          <a:xfrm flipV="1">
            <a:off x="31" y="109"/>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PrintsWithSheet="0"/>
  </xdr:twoCellAnchor>
  <xdr:twoCellAnchor editAs="absolute">
    <xdr:from>
      <xdr:col>0</xdr:col>
      <xdr:colOff>180975</xdr:colOff>
      <xdr:row>18</xdr:row>
      <xdr:rowOff>123825</xdr:rowOff>
    </xdr:from>
    <xdr:to>
      <xdr:col>0</xdr:col>
      <xdr:colOff>704850</xdr:colOff>
      <xdr:row>18</xdr:row>
      <xdr:rowOff>304800</xdr:rowOff>
    </xdr:to>
    <xdr:sp>
      <xdr:nvSpPr>
        <xdr:cNvPr id="36" name="TextBox 164"/>
        <xdr:cNvSpPr txBox="1">
          <a:spLocks noChangeArrowheads="1"/>
        </xdr:cNvSpPr>
      </xdr:nvSpPr>
      <xdr:spPr>
        <a:xfrm>
          <a:off x="180975" y="3495675"/>
          <a:ext cx="5238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Progress:</a:t>
          </a:r>
        </a:p>
      </xdr:txBody>
    </xdr:sp>
    <xdr:clientData fPrintsWithSheet="0"/>
  </xdr:twoCellAnchor>
  <xdr:twoCellAnchor editAs="absolute">
    <xdr:from>
      <xdr:col>0</xdr:col>
      <xdr:colOff>180975</xdr:colOff>
      <xdr:row>19</xdr:row>
      <xdr:rowOff>142875</xdr:rowOff>
    </xdr:from>
    <xdr:to>
      <xdr:col>1</xdr:col>
      <xdr:colOff>228600</xdr:colOff>
      <xdr:row>19</xdr:row>
      <xdr:rowOff>323850</xdr:rowOff>
    </xdr:to>
    <xdr:sp>
      <xdr:nvSpPr>
        <xdr:cNvPr id="37" name="TextBox 165"/>
        <xdr:cNvSpPr txBox="1">
          <a:spLocks noChangeArrowheads="1"/>
        </xdr:cNvSpPr>
      </xdr:nvSpPr>
      <xdr:spPr>
        <a:xfrm>
          <a:off x="180975" y="3829050"/>
          <a:ext cx="92392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Completed scoring</a:t>
          </a:r>
        </a:p>
      </xdr:txBody>
    </xdr:sp>
    <xdr:clientData fPrintsWithSheet="0"/>
  </xdr:twoCellAnchor>
  <xdr:twoCellAnchor editAs="absolute">
    <xdr:from>
      <xdr:col>0</xdr:col>
      <xdr:colOff>676275</xdr:colOff>
      <xdr:row>18</xdr:row>
      <xdr:rowOff>238125</xdr:rowOff>
    </xdr:from>
    <xdr:to>
      <xdr:col>1</xdr:col>
      <xdr:colOff>66675</xdr:colOff>
      <xdr:row>19</xdr:row>
      <xdr:rowOff>104775</xdr:rowOff>
    </xdr:to>
    <xdr:sp fLocksText="0" textlink="$X$65">
      <xdr:nvSpPr>
        <xdr:cNvPr id="38" name="TextBox 166"/>
        <xdr:cNvSpPr txBox="1">
          <a:spLocks noChangeArrowheads="1"/>
        </xdr:cNvSpPr>
      </xdr:nvSpPr>
      <xdr:spPr>
        <a:xfrm>
          <a:off x="676275" y="3609975"/>
          <a:ext cx="266700" cy="180975"/>
        </a:xfrm>
        <a:prstGeom prst="rect">
          <a:avLst/>
        </a:prstGeom>
        <a:noFill/>
        <a:ln w="9525" cmpd="sng">
          <a:noFill/>
        </a:ln>
      </xdr:spPr>
      <xdr:txBody>
        <a:bodyPr vertOverflow="clip" wrap="square"/>
        <a:p>
          <a:pPr algn="l">
            <a:defRPr/>
          </a:pPr>
          <a:fld id="{d86837ed-57f8-4bed-9761-552aa67fe8cf}" type="TxLink">
            <a:rPr lang="en-US" cap="none" sz="1000" b="1" i="0" u="none" baseline="0">
              <a:latin typeface="Arial"/>
              <a:ea typeface="Arial"/>
              <a:cs typeface="Arial"/>
            </a:rPr>
            <a:t>26</a:t>
          </a:fld>
        </a:p>
      </xdr:txBody>
    </xdr:sp>
    <xdr:clientData fLocksWithSheet="0" fPrintsWithSheet="0"/>
  </xdr:twoCellAnchor>
  <xdr:twoCellAnchor editAs="absolute">
    <xdr:from>
      <xdr:col>0</xdr:col>
      <xdr:colOff>514350</xdr:colOff>
      <xdr:row>18</xdr:row>
      <xdr:rowOff>276225</xdr:rowOff>
    </xdr:from>
    <xdr:to>
      <xdr:col>0</xdr:col>
      <xdr:colOff>685800</xdr:colOff>
      <xdr:row>19</xdr:row>
      <xdr:rowOff>142875</xdr:rowOff>
    </xdr:to>
    <xdr:sp>
      <xdr:nvSpPr>
        <xdr:cNvPr id="39" name="TextBox 167"/>
        <xdr:cNvSpPr txBox="1">
          <a:spLocks noChangeArrowheads="1"/>
        </xdr:cNvSpPr>
      </xdr:nvSpPr>
      <xdr:spPr>
        <a:xfrm>
          <a:off x="514350" y="3648075"/>
          <a:ext cx="17145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of</a:t>
          </a:r>
        </a:p>
      </xdr:txBody>
    </xdr:sp>
    <xdr:clientData fPrintsWithSheet="0"/>
  </xdr:twoCellAnchor>
  <xdr:twoCellAnchor editAs="absolute">
    <xdr:from>
      <xdr:col>0</xdr:col>
      <xdr:colOff>228600</xdr:colOff>
      <xdr:row>18</xdr:row>
      <xdr:rowOff>238125</xdr:rowOff>
    </xdr:from>
    <xdr:to>
      <xdr:col>0</xdr:col>
      <xdr:colOff>495300</xdr:colOff>
      <xdr:row>19</xdr:row>
      <xdr:rowOff>104775</xdr:rowOff>
    </xdr:to>
    <xdr:sp fLocksText="0" textlink="$Z$65">
      <xdr:nvSpPr>
        <xdr:cNvPr id="40" name="TextBox 168"/>
        <xdr:cNvSpPr txBox="1">
          <a:spLocks noChangeArrowheads="1"/>
        </xdr:cNvSpPr>
      </xdr:nvSpPr>
      <xdr:spPr>
        <a:xfrm>
          <a:off x="228600" y="3609975"/>
          <a:ext cx="266700" cy="180975"/>
        </a:xfrm>
        <a:prstGeom prst="rect">
          <a:avLst/>
        </a:prstGeom>
        <a:noFill/>
        <a:ln w="9525" cmpd="sng">
          <a:noFill/>
        </a:ln>
      </xdr:spPr>
      <xdr:txBody>
        <a:bodyPr vertOverflow="clip" wrap="square"/>
        <a:p>
          <a:pPr algn="l">
            <a:defRPr/>
          </a:pPr>
          <a:fld id="{fb8d331f-f1b5-4e9d-9e3a-2f2fea8d64b0}" type="TxLink">
            <a:rPr lang="en-US" cap="none" sz="1000" b="1" i="0" u="none" baseline="0">
              <a:latin typeface="Arial"/>
              <a:ea typeface="Arial"/>
              <a:cs typeface="Arial"/>
            </a:rPr>
            <a:t>26</a:t>
          </a:fld>
        </a:p>
      </xdr:txBody>
    </xdr:sp>
    <xdr:clientData fLocksWithSheet="0" fPrintsWithSheet="0"/>
  </xdr:twoCellAnchor>
  <xdr:twoCellAnchor>
    <xdr:from>
      <xdr:col>23</xdr:col>
      <xdr:colOff>9525</xdr:colOff>
      <xdr:row>28</xdr:row>
      <xdr:rowOff>28575</xdr:rowOff>
    </xdr:from>
    <xdr:to>
      <xdr:col>38</xdr:col>
      <xdr:colOff>152400</xdr:colOff>
      <xdr:row>34</xdr:row>
      <xdr:rowOff>38100</xdr:rowOff>
    </xdr:to>
    <xdr:sp>
      <xdr:nvSpPr>
        <xdr:cNvPr id="41" name="Rectangle 169"/>
        <xdr:cNvSpPr>
          <a:spLocks/>
        </xdr:cNvSpPr>
      </xdr:nvSpPr>
      <xdr:spPr>
        <a:xfrm>
          <a:off x="6848475" y="5619750"/>
          <a:ext cx="10848975" cy="4152900"/>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123825</xdr:colOff>
      <xdr:row>8</xdr:row>
      <xdr:rowOff>152400</xdr:rowOff>
    </xdr:from>
    <xdr:to>
      <xdr:col>1</xdr:col>
      <xdr:colOff>266700</xdr:colOff>
      <xdr:row>10</xdr:row>
      <xdr:rowOff>38100</xdr:rowOff>
    </xdr:to>
    <xdr:sp fLocksText="0" textlink="$AC$65">
      <xdr:nvSpPr>
        <xdr:cNvPr id="42" name="TextBox 171"/>
        <xdr:cNvSpPr txBox="1">
          <a:spLocks noChangeArrowheads="1"/>
        </xdr:cNvSpPr>
      </xdr:nvSpPr>
      <xdr:spPr>
        <a:xfrm>
          <a:off x="123825" y="1905000"/>
          <a:ext cx="1019175" cy="209550"/>
        </a:xfrm>
        <a:prstGeom prst="rect">
          <a:avLst/>
        </a:prstGeom>
        <a:solidFill>
          <a:srgbClr val="FFFF99"/>
        </a:solidFill>
        <a:ln w="9525" cmpd="sng">
          <a:noFill/>
        </a:ln>
      </xdr:spPr>
      <xdr:txBody>
        <a:bodyPr vertOverflow="clip" wrap="square" anchor="ctr"/>
        <a:p>
          <a:pPr algn="ctr">
            <a:defRPr/>
          </a:pPr>
          <a:fld id="{60b468b3-d2db-414d-9ebb-8251adcfe8bc}" type="TxLink">
            <a:rPr lang="en-US" cap="none" sz="1000" b="0" i="0" u="none" baseline="0">
              <a:latin typeface="Arial"/>
              <a:ea typeface="Arial"/>
              <a:cs typeface="Arial"/>
            </a:rPr>
            <a:t>saved</a:t>
          </a:fld>
        </a:p>
      </xdr:txBody>
    </xdr:sp>
    <xdr:clientData fLocksWithSheet="0" fPrintsWithSheet="0"/>
  </xdr:twoCellAnchor>
  <xdr:twoCellAnchor editAs="absolute">
    <xdr:from>
      <xdr:col>0</xdr:col>
      <xdr:colOff>114300</xdr:colOff>
      <xdr:row>0</xdr:row>
      <xdr:rowOff>238125</xdr:rowOff>
    </xdr:from>
    <xdr:to>
      <xdr:col>1</xdr:col>
      <xdr:colOff>314325</xdr:colOff>
      <xdr:row>1</xdr:row>
      <xdr:rowOff>142875</xdr:rowOff>
    </xdr:to>
    <xdr:sp textlink="Main!A4">
      <xdr:nvSpPr>
        <xdr:cNvPr id="43" name="TextBox 172"/>
        <xdr:cNvSpPr txBox="1">
          <a:spLocks noChangeArrowheads="1"/>
        </xdr:cNvSpPr>
      </xdr:nvSpPr>
      <xdr:spPr>
        <a:xfrm>
          <a:off x="114300" y="238125"/>
          <a:ext cx="1076325" cy="523875"/>
        </a:xfrm>
        <a:prstGeom prst="rect">
          <a:avLst/>
        </a:prstGeom>
        <a:solidFill>
          <a:srgbClr val="FFFFFF"/>
        </a:solidFill>
        <a:ln w="9525" cmpd="sng">
          <a:solidFill>
            <a:srgbClr val="000000"/>
          </a:solidFill>
          <a:headEnd type="none"/>
          <a:tailEnd type="none"/>
        </a:ln>
      </xdr:spPr>
      <xdr:txBody>
        <a:bodyPr vertOverflow="clip" wrap="square"/>
        <a:p>
          <a:pPr algn="l">
            <a:defRPr/>
          </a:pPr>
          <a:fld id="{b62dc238-dc1a-498d-9a59-46e4139e3bb3}" type="TxLink">
            <a:rPr lang="en-US" cap="none" sz="900" b="1" i="0" u="none" baseline="0">
              <a:solidFill>
                <a:srgbClr val="000080"/>
              </a:solidFill>
              <a:latin typeface="Arial"/>
              <a:ea typeface="Arial"/>
              <a:cs typeface="Arial"/>
            </a:rPr>
            <a:t>Track A/Mox Fueled, Na cooled Fast Reactor Concept Group(M4,M6,M22,M30)</a:t>
          </a:fld>
        </a:p>
      </xdr:txBody>
    </xdr:sp>
    <xdr:clientData/>
  </xdr:twoCellAnchor>
  <xdr:oneCellAnchor>
    <xdr:from>
      <xdr:col>6</xdr:col>
      <xdr:colOff>200025</xdr:colOff>
      <xdr:row>18</xdr:row>
      <xdr:rowOff>0</xdr:rowOff>
    </xdr:from>
    <xdr:ext cx="1057275" cy="352425"/>
    <xdr:sp textlink="$AA$75">
      <xdr:nvSpPr>
        <xdr:cNvPr id="44" name="TextBox 208"/>
        <xdr:cNvSpPr txBox="1">
          <a:spLocks noChangeArrowheads="1"/>
        </xdr:cNvSpPr>
      </xdr:nvSpPr>
      <xdr:spPr>
        <a:xfrm>
          <a:off x="2828925" y="3371850"/>
          <a:ext cx="1057275" cy="352425"/>
        </a:xfrm>
        <a:prstGeom prst="rect">
          <a:avLst/>
        </a:prstGeom>
        <a:noFill/>
        <a:ln w="9525" cmpd="sng">
          <a:noFill/>
        </a:ln>
      </xdr:spPr>
      <xdr:txBody>
        <a:bodyPr vertOverflow="clip" wrap="square"/>
        <a:p>
          <a:pPr algn="l">
            <a:defRPr/>
          </a:pPr>
          <a:fld id="{88e7be92-42a1-4b9c-a0bb-9ac58d984ff9}" type="TxLink">
            <a:rPr lang="en-US" cap="none" sz="900" b="0" i="0" u="none" baseline="0">
              <a:latin typeface="Arial"/>
              <a:ea typeface="Arial"/>
              <a:cs typeface="Arial"/>
            </a:rPr>
            <a:t>Worse than reference</a:t>
          </a:fld>
        </a:p>
      </xdr:txBody>
    </xdr:sp>
    <xdr:clientData/>
  </xdr:oneCellAnchor>
  <xdr:twoCellAnchor>
    <xdr:from>
      <xdr:col>4</xdr:col>
      <xdr:colOff>133350</xdr:colOff>
      <xdr:row>18</xdr:row>
      <xdr:rowOff>123825</xdr:rowOff>
    </xdr:from>
    <xdr:to>
      <xdr:col>6</xdr:col>
      <xdr:colOff>114300</xdr:colOff>
      <xdr:row>18</xdr:row>
      <xdr:rowOff>123825</xdr:rowOff>
    </xdr:to>
    <xdr:sp>
      <xdr:nvSpPr>
        <xdr:cNvPr id="45" name="Line 209"/>
        <xdr:cNvSpPr>
          <a:spLocks/>
        </xdr:cNvSpPr>
      </xdr:nvSpPr>
      <xdr:spPr>
        <a:xfrm flipH="1">
          <a:off x="2266950" y="3495675"/>
          <a:ext cx="4762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18</xdr:row>
      <xdr:rowOff>123825</xdr:rowOff>
    </xdr:from>
    <xdr:to>
      <xdr:col>20</xdr:col>
      <xdr:colOff>104775</xdr:colOff>
      <xdr:row>18</xdr:row>
      <xdr:rowOff>123825</xdr:rowOff>
    </xdr:to>
    <xdr:sp>
      <xdr:nvSpPr>
        <xdr:cNvPr id="46" name="Line 210"/>
        <xdr:cNvSpPr>
          <a:spLocks/>
        </xdr:cNvSpPr>
      </xdr:nvSpPr>
      <xdr:spPr>
        <a:xfrm flipH="1">
          <a:off x="5715000" y="3495675"/>
          <a:ext cx="485775" cy="0"/>
        </a:xfrm>
        <a:prstGeom prst="line">
          <a:avLst/>
        </a:prstGeom>
        <a:noFill/>
        <a:ln w="381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209550</xdr:colOff>
      <xdr:row>18</xdr:row>
      <xdr:rowOff>0</xdr:rowOff>
    </xdr:from>
    <xdr:ext cx="1095375" cy="390525"/>
    <xdr:sp textlink="$AC$75">
      <xdr:nvSpPr>
        <xdr:cNvPr id="47" name="TextBox 211"/>
        <xdr:cNvSpPr txBox="1">
          <a:spLocks noChangeArrowheads="1"/>
        </xdr:cNvSpPr>
      </xdr:nvSpPr>
      <xdr:spPr>
        <a:xfrm>
          <a:off x="4572000" y="3371850"/>
          <a:ext cx="1095375" cy="390525"/>
        </a:xfrm>
        <a:prstGeom prst="rect">
          <a:avLst/>
        </a:prstGeom>
        <a:noFill/>
        <a:ln w="9525" cmpd="sng">
          <a:noFill/>
        </a:ln>
      </xdr:spPr>
      <xdr:txBody>
        <a:bodyPr vertOverflow="clip" wrap="square"/>
        <a:p>
          <a:pPr algn="r">
            <a:defRPr/>
          </a:pPr>
          <a:fld id="{38f6351b-bb79-42c6-8863-429f20ae46e5}" type="TxLink">
            <a:rPr lang="en-US" cap="none" sz="900" b="0" i="0" u="none" baseline="0">
              <a:latin typeface="Arial"/>
              <a:ea typeface="Arial"/>
              <a:cs typeface="Arial"/>
            </a:rPr>
            <a:t>Better than reference</a:t>
          </a:fld>
        </a:p>
      </xdr:txBody>
    </xdr:sp>
    <xdr:clientData/>
  </xdr:oneCellAnchor>
  <xdr:oneCellAnchor>
    <xdr:from>
      <xdr:col>1</xdr:col>
      <xdr:colOff>476250</xdr:colOff>
      <xdr:row>0</xdr:row>
      <xdr:rowOff>28575</xdr:rowOff>
    </xdr:from>
    <xdr:ext cx="400050" cy="200025"/>
    <xdr:sp>
      <xdr:nvSpPr>
        <xdr:cNvPr id="48" name="TextBox 212"/>
        <xdr:cNvSpPr txBox="1">
          <a:spLocks noChangeArrowheads="1"/>
        </xdr:cNvSpPr>
      </xdr:nvSpPr>
      <xdr:spPr>
        <a:xfrm>
          <a:off x="1352550" y="28575"/>
          <a:ext cx="40005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Goal:</a:t>
          </a:r>
        </a:p>
      </xdr:txBody>
    </xdr:sp>
    <xdr:clientData/>
  </xdr:oneCellAnchor>
  <xdr:twoCellAnchor editAs="absolute">
    <xdr:from>
      <xdr:col>0</xdr:col>
      <xdr:colOff>66675</xdr:colOff>
      <xdr:row>29</xdr:row>
      <xdr:rowOff>333375</xdr:rowOff>
    </xdr:from>
    <xdr:to>
      <xdr:col>1</xdr:col>
      <xdr:colOff>533400</xdr:colOff>
      <xdr:row>30</xdr:row>
      <xdr:rowOff>809625</xdr:rowOff>
    </xdr:to>
    <xdr:sp>
      <xdr:nvSpPr>
        <xdr:cNvPr id="49" name="TextBox 215"/>
        <xdr:cNvSpPr txBox="1">
          <a:spLocks noChangeArrowheads="1"/>
        </xdr:cNvSpPr>
      </xdr:nvSpPr>
      <xdr:spPr>
        <a:xfrm>
          <a:off x="66675" y="6000750"/>
          <a:ext cx="1343025" cy="981075"/>
        </a:xfrm>
        <a:prstGeom prst="rect">
          <a:avLst/>
        </a:prstGeom>
        <a:noFill/>
        <a:ln w="9525" cmpd="sng">
          <a:noFill/>
        </a:ln>
      </xdr:spPr>
      <xdr:txBody>
        <a:bodyPr vertOverflow="clip" wrap="square"/>
        <a:p>
          <a:pPr algn="l">
            <a:defRPr/>
          </a:pPr>
          <a:r>
            <a:rPr lang="en-US" cap="none" sz="800" b="1" i="0" u="none" baseline="0">
              <a:solidFill>
                <a:srgbClr val="0000FF"/>
              </a:solidFill>
              <a:latin typeface="Arial"/>
              <a:ea typeface="Arial"/>
              <a:cs typeface="Arial"/>
            </a:rPr>
            <a:t>Please limit text for justification and comments to what will fit in the cell view (approximately 1,000 characters)</a:t>
          </a:r>
        </a:p>
      </xdr:txBody>
    </xdr:sp>
    <xdr:clientData fPrintsWithSheet="0"/>
  </xdr:twoCellAnchor>
  <xdr:twoCellAnchor>
    <xdr:from>
      <xdr:col>25</xdr:col>
      <xdr:colOff>400050</xdr:colOff>
      <xdr:row>4</xdr:row>
      <xdr:rowOff>104775</xdr:rowOff>
    </xdr:from>
    <xdr:to>
      <xdr:col>38</xdr:col>
      <xdr:colOff>257175</xdr:colOff>
      <xdr:row>15</xdr:row>
      <xdr:rowOff>66675</xdr:rowOff>
    </xdr:to>
    <xdr:sp>
      <xdr:nvSpPr>
        <xdr:cNvPr id="50" name="Rectangle 219"/>
        <xdr:cNvSpPr>
          <a:spLocks/>
        </xdr:cNvSpPr>
      </xdr:nvSpPr>
      <xdr:spPr>
        <a:xfrm>
          <a:off x="8258175" y="1209675"/>
          <a:ext cx="9544050" cy="1743075"/>
        </a:xfrm>
        <a:prstGeom prst="rect">
          <a:avLst/>
        </a:prstGeom>
        <a:solidFill>
          <a:srgbClr val="FFFF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714375</xdr:colOff>
      <xdr:row>23</xdr:row>
      <xdr:rowOff>152400</xdr:rowOff>
    </xdr:from>
    <xdr:ext cx="838200" cy="200025"/>
    <xdr:sp>
      <xdr:nvSpPr>
        <xdr:cNvPr id="51" name="TextBox 60"/>
        <xdr:cNvSpPr txBox="1">
          <a:spLocks noChangeArrowheads="1"/>
        </xdr:cNvSpPr>
      </xdr:nvSpPr>
      <xdr:spPr>
        <a:xfrm>
          <a:off x="714375" y="4933950"/>
          <a:ext cx="8382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Select Peak:</a:t>
          </a:r>
        </a:p>
      </xdr:txBody>
    </xdr:sp>
    <xdr:clientData fLocksWithSheet="0"/>
  </xdr:oneCellAnchor>
  <xdr:oneCellAnchor>
    <xdr:from>
      <xdr:col>0</xdr:col>
      <xdr:colOff>714375</xdr:colOff>
      <xdr:row>21</xdr:row>
      <xdr:rowOff>28575</xdr:rowOff>
    </xdr:from>
    <xdr:ext cx="923925" cy="200025"/>
    <xdr:sp>
      <xdr:nvSpPr>
        <xdr:cNvPr id="52" name="TextBox 49"/>
        <xdr:cNvSpPr txBox="1">
          <a:spLocks noChangeArrowheads="1"/>
        </xdr:cNvSpPr>
      </xdr:nvSpPr>
      <xdr:spPr>
        <a:xfrm>
          <a:off x="714375" y="4486275"/>
          <a:ext cx="923925"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Select Range:</a:t>
          </a:r>
        </a:p>
      </xdr:txBody>
    </xdr:sp>
    <xdr:clientData fLocksWithSheet="0"/>
  </xdr:oneCell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0.14875</cdr:y>
    </cdr:from>
    <cdr:to>
      <cdr:x>0.52275</cdr:x>
      <cdr:y>0.95875</cdr:y>
    </cdr:to>
    <cdr:sp>
      <cdr:nvSpPr>
        <cdr:cNvPr id="1" name="Line 1"/>
        <cdr:cNvSpPr>
          <a:spLocks/>
        </cdr:cNvSpPr>
      </cdr:nvSpPr>
      <cdr:spPr>
        <a:xfrm>
          <a:off x="1790700" y="285750"/>
          <a:ext cx="0"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cdr:x>
      <cdr:y>0.172</cdr:y>
    </cdr:from>
    <cdr:to>
      <cdr:x>0.52175</cdr:x>
      <cdr:y>0.9445</cdr:y>
    </cdr:to>
    <cdr:sp>
      <cdr:nvSpPr>
        <cdr:cNvPr id="1" name="Line 1"/>
        <cdr:cNvSpPr>
          <a:spLocks/>
        </cdr:cNvSpPr>
      </cdr:nvSpPr>
      <cdr:spPr>
        <a:xfrm>
          <a:off x="1790700" y="333375"/>
          <a:ext cx="0" cy="1504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0.131</cdr:y>
    </cdr:from>
    <cdr:to>
      <cdr:x>0.52275</cdr:x>
      <cdr:y>0.9445</cdr:y>
    </cdr:to>
    <cdr:sp>
      <cdr:nvSpPr>
        <cdr:cNvPr id="1" name="Line 1"/>
        <cdr:cNvSpPr>
          <a:spLocks/>
        </cdr:cNvSpPr>
      </cdr:nvSpPr>
      <cdr:spPr>
        <a:xfrm>
          <a:off x="1790700" y="247650"/>
          <a:ext cx="0" cy="1581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0.5255</cdr:x>
      <cdr:y>0.152</cdr:y>
    </cdr:from>
    <cdr:to>
      <cdr:x>0.5255</cdr:x>
      <cdr:y>0.9445</cdr:y>
    </cdr:to>
    <cdr:sp>
      <cdr:nvSpPr>
        <cdr:cNvPr id="1" name="Line 1"/>
        <cdr:cNvSpPr>
          <a:spLocks/>
        </cdr:cNvSpPr>
      </cdr:nvSpPr>
      <cdr:spPr>
        <a:xfrm>
          <a:off x="1809750" y="295275"/>
          <a:ext cx="0" cy="1543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0.1855</cdr:y>
    </cdr:from>
    <cdr:to>
      <cdr:x>0.52275</cdr:x>
      <cdr:y>0.96025</cdr:y>
    </cdr:to>
    <cdr:sp>
      <cdr:nvSpPr>
        <cdr:cNvPr id="1" name="Line 1"/>
        <cdr:cNvSpPr>
          <a:spLocks/>
        </cdr:cNvSpPr>
      </cdr:nvSpPr>
      <cdr:spPr>
        <a:xfrm>
          <a:off x="1790700" y="352425"/>
          <a:ext cx="0" cy="15049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0.52175</cdr:x>
      <cdr:y>0.16525</cdr:y>
    </cdr:from>
    <cdr:to>
      <cdr:x>0.52175</cdr:x>
      <cdr:y>0.94775</cdr:y>
    </cdr:to>
    <cdr:sp>
      <cdr:nvSpPr>
        <cdr:cNvPr id="1" name="Line 1"/>
        <cdr:cNvSpPr>
          <a:spLocks/>
        </cdr:cNvSpPr>
      </cdr:nvSpPr>
      <cdr:spPr>
        <a:xfrm>
          <a:off x="1800225" y="314325"/>
          <a:ext cx="0" cy="15240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0.52075</cdr:x>
      <cdr:y>0.141</cdr:y>
    </cdr:from>
    <cdr:to>
      <cdr:x>0.52075</cdr:x>
      <cdr:y>0.9445</cdr:y>
    </cdr:to>
    <cdr:sp>
      <cdr:nvSpPr>
        <cdr:cNvPr id="1" name="Line 1"/>
        <cdr:cNvSpPr>
          <a:spLocks/>
        </cdr:cNvSpPr>
      </cdr:nvSpPr>
      <cdr:spPr>
        <a:xfrm>
          <a:off x="1800225" y="266700"/>
          <a:ext cx="0" cy="1562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0.17375</cdr:y>
    </cdr:from>
    <cdr:to>
      <cdr:x>0.523</cdr:x>
      <cdr:y>0.94175</cdr:y>
    </cdr:to>
    <cdr:sp>
      <cdr:nvSpPr>
        <cdr:cNvPr id="1" name="Line 1"/>
        <cdr:cNvSpPr>
          <a:spLocks/>
        </cdr:cNvSpPr>
      </cdr:nvSpPr>
      <cdr:spPr>
        <a:xfrm>
          <a:off x="1771650" y="333375"/>
          <a:ext cx="0" cy="1476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0.472</cdr:x>
      <cdr:y>0.93875</cdr:y>
    </cdr:from>
    <cdr:to>
      <cdr:x>0.6045</cdr:x>
      <cdr:y>1</cdr:y>
    </cdr:to>
    <cdr:sp>
      <cdr:nvSpPr>
        <cdr:cNvPr id="2" name="TextBox 2"/>
        <cdr:cNvSpPr txBox="1">
          <a:spLocks noChangeArrowheads="1"/>
        </cdr:cNvSpPr>
      </cdr:nvSpPr>
      <cdr:spPr>
        <a:xfrm>
          <a:off x="1600200" y="1800225"/>
          <a:ext cx="44767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$1750 M</a:t>
          </a:r>
        </a:p>
      </cdr:txBody>
    </cdr:sp>
  </cdr:relSizeAnchor>
  <cdr:relSizeAnchor xmlns:cdr="http://schemas.openxmlformats.org/drawingml/2006/chartDrawing">
    <cdr:from>
      <cdr:x>0.85925</cdr:x>
      <cdr:y>0.93725</cdr:y>
    </cdr:from>
    <cdr:to>
      <cdr:x>1</cdr:x>
      <cdr:y>1</cdr:y>
    </cdr:to>
    <cdr:sp>
      <cdr:nvSpPr>
        <cdr:cNvPr id="3" name="TextBox 3"/>
        <cdr:cNvSpPr txBox="1">
          <a:spLocks noChangeArrowheads="1"/>
        </cdr:cNvSpPr>
      </cdr:nvSpPr>
      <cdr:spPr>
        <a:xfrm>
          <a:off x="2914650" y="1800225"/>
          <a:ext cx="4762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&lt;$500 M</a:t>
          </a:r>
        </a:p>
      </cdr:txBody>
    </cdr:sp>
  </cdr:relSizeAnchor>
  <cdr:relSizeAnchor xmlns:cdr="http://schemas.openxmlformats.org/drawingml/2006/chartDrawing">
    <cdr:from>
      <cdr:x>0.069</cdr:x>
      <cdr:y>0.93725</cdr:y>
    </cdr:from>
    <cdr:to>
      <cdr:x>0.23525</cdr:x>
      <cdr:y>1</cdr:y>
    </cdr:to>
    <cdr:sp>
      <cdr:nvSpPr>
        <cdr:cNvPr id="4" name="TextBox 4"/>
        <cdr:cNvSpPr txBox="1">
          <a:spLocks noChangeArrowheads="1"/>
        </cdr:cNvSpPr>
      </cdr:nvSpPr>
      <cdr:spPr>
        <a:xfrm>
          <a:off x="228600" y="1800225"/>
          <a:ext cx="561975"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&gt;$3000 M</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0.521</cdr:x>
      <cdr:y>0.198</cdr:y>
    </cdr:from>
    <cdr:to>
      <cdr:x>0.521</cdr:x>
      <cdr:y>0.94125</cdr:y>
    </cdr:to>
    <cdr:sp>
      <cdr:nvSpPr>
        <cdr:cNvPr id="1" name="Line 1"/>
        <cdr:cNvSpPr>
          <a:spLocks/>
        </cdr:cNvSpPr>
      </cdr:nvSpPr>
      <cdr:spPr>
        <a:xfrm>
          <a:off x="1781175" y="381000"/>
          <a:ext cx="0" cy="14478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0.52075</cdr:x>
      <cdr:y>0.141</cdr:y>
    </cdr:from>
    <cdr:to>
      <cdr:x>0.52175</cdr:x>
      <cdr:y>0.94775</cdr:y>
    </cdr:to>
    <cdr:sp>
      <cdr:nvSpPr>
        <cdr:cNvPr id="1" name="Line 1"/>
        <cdr:cNvSpPr>
          <a:spLocks/>
        </cdr:cNvSpPr>
      </cdr:nvSpPr>
      <cdr:spPr>
        <a:xfrm>
          <a:off x="1800225" y="266700"/>
          <a:ext cx="0" cy="1571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409575</xdr:colOff>
      <xdr:row>46</xdr:row>
      <xdr:rowOff>28575</xdr:rowOff>
    </xdr:from>
    <xdr:to>
      <xdr:col>23</xdr:col>
      <xdr:colOff>238125</xdr:colOff>
      <xdr:row>72</xdr:row>
      <xdr:rowOff>85725</xdr:rowOff>
    </xdr:to>
    <xdr:graphicFrame>
      <xdr:nvGraphicFramePr>
        <xdr:cNvPr id="1" name="Chart 1"/>
        <xdr:cNvGraphicFramePr/>
      </xdr:nvGraphicFramePr>
      <xdr:xfrm>
        <a:off x="10372725" y="7477125"/>
        <a:ext cx="7791450" cy="4267200"/>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0.193</cdr:y>
    </cdr:from>
    <cdr:to>
      <cdr:x>0.522</cdr:x>
      <cdr:y>0.94175</cdr:y>
    </cdr:to>
    <cdr:sp>
      <cdr:nvSpPr>
        <cdr:cNvPr id="1" name="Line 1"/>
        <cdr:cNvSpPr>
          <a:spLocks/>
        </cdr:cNvSpPr>
      </cdr:nvSpPr>
      <cdr:spPr>
        <a:xfrm>
          <a:off x="1781175" y="361950"/>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35</xdr:row>
      <xdr:rowOff>390525</xdr:rowOff>
    </xdr:from>
    <xdr:to>
      <xdr:col>11</xdr:col>
      <xdr:colOff>666750</xdr:colOff>
      <xdr:row>35</xdr:row>
      <xdr:rowOff>1876425</xdr:rowOff>
    </xdr:to>
    <xdr:sp>
      <xdr:nvSpPr>
        <xdr:cNvPr id="1" name="Rectangle 292"/>
        <xdr:cNvSpPr>
          <a:spLocks/>
        </xdr:cNvSpPr>
      </xdr:nvSpPr>
      <xdr:spPr>
        <a:xfrm>
          <a:off x="5610225" y="6181725"/>
          <a:ext cx="3438525" cy="14859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42</xdr:row>
      <xdr:rowOff>123825</xdr:rowOff>
    </xdr:from>
    <xdr:to>
      <xdr:col>4</xdr:col>
      <xdr:colOff>390525</xdr:colOff>
      <xdr:row>54</xdr:row>
      <xdr:rowOff>104775</xdr:rowOff>
    </xdr:to>
    <xdr:graphicFrame>
      <xdr:nvGraphicFramePr>
        <xdr:cNvPr id="2" name="Chart 1"/>
        <xdr:cNvGraphicFramePr/>
      </xdr:nvGraphicFramePr>
      <xdr:xfrm>
        <a:off x="19050" y="8867775"/>
        <a:ext cx="3419475" cy="19240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54</xdr:row>
      <xdr:rowOff>123825</xdr:rowOff>
    </xdr:from>
    <xdr:to>
      <xdr:col>4</xdr:col>
      <xdr:colOff>390525</xdr:colOff>
      <xdr:row>66</xdr:row>
      <xdr:rowOff>104775</xdr:rowOff>
    </xdr:to>
    <xdr:graphicFrame>
      <xdr:nvGraphicFramePr>
        <xdr:cNvPr id="3" name="Chart 2"/>
        <xdr:cNvGraphicFramePr/>
      </xdr:nvGraphicFramePr>
      <xdr:xfrm>
        <a:off x="19050" y="10810875"/>
        <a:ext cx="3419475" cy="1924050"/>
      </xdr:xfrm>
      <a:graphic>
        <a:graphicData uri="http://schemas.openxmlformats.org/drawingml/2006/chart">
          <c:chart xmlns:c="http://schemas.openxmlformats.org/drawingml/2006/chart" r:id="rId2"/>
        </a:graphicData>
      </a:graphic>
    </xdr:graphicFrame>
    <xdr:clientData/>
  </xdr:twoCellAnchor>
  <xdr:twoCellAnchor>
    <xdr:from>
      <xdr:col>4</xdr:col>
      <xdr:colOff>409575</xdr:colOff>
      <xdr:row>42</xdr:row>
      <xdr:rowOff>123825</xdr:rowOff>
    </xdr:from>
    <xdr:to>
      <xdr:col>9</xdr:col>
      <xdr:colOff>9525</xdr:colOff>
      <xdr:row>54</xdr:row>
      <xdr:rowOff>104775</xdr:rowOff>
    </xdr:to>
    <xdr:graphicFrame>
      <xdr:nvGraphicFramePr>
        <xdr:cNvPr id="4" name="Chart 3"/>
        <xdr:cNvGraphicFramePr/>
      </xdr:nvGraphicFramePr>
      <xdr:xfrm>
        <a:off x="3457575" y="8867775"/>
        <a:ext cx="3409950" cy="1924050"/>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42</xdr:row>
      <xdr:rowOff>123825</xdr:rowOff>
    </xdr:from>
    <xdr:to>
      <xdr:col>13</xdr:col>
      <xdr:colOff>381000</xdr:colOff>
      <xdr:row>54</xdr:row>
      <xdr:rowOff>104775</xdr:rowOff>
    </xdr:to>
    <xdr:graphicFrame>
      <xdr:nvGraphicFramePr>
        <xdr:cNvPr id="5" name="Chart 4"/>
        <xdr:cNvGraphicFramePr/>
      </xdr:nvGraphicFramePr>
      <xdr:xfrm>
        <a:off x="6886575" y="8867775"/>
        <a:ext cx="3400425" cy="1924050"/>
      </xdr:xfrm>
      <a:graphic>
        <a:graphicData uri="http://schemas.openxmlformats.org/drawingml/2006/chart">
          <c:chart xmlns:c="http://schemas.openxmlformats.org/drawingml/2006/chart" r:id="rId4"/>
        </a:graphicData>
      </a:graphic>
    </xdr:graphicFrame>
    <xdr:clientData/>
  </xdr:twoCellAnchor>
  <xdr:twoCellAnchor>
    <xdr:from>
      <xdr:col>9</xdr:col>
      <xdr:colOff>28575</xdr:colOff>
      <xdr:row>54</xdr:row>
      <xdr:rowOff>123825</xdr:rowOff>
    </xdr:from>
    <xdr:to>
      <xdr:col>13</xdr:col>
      <xdr:colOff>381000</xdr:colOff>
      <xdr:row>66</xdr:row>
      <xdr:rowOff>104775</xdr:rowOff>
    </xdr:to>
    <xdr:graphicFrame>
      <xdr:nvGraphicFramePr>
        <xdr:cNvPr id="6" name="Chart 5"/>
        <xdr:cNvGraphicFramePr/>
      </xdr:nvGraphicFramePr>
      <xdr:xfrm>
        <a:off x="6886575" y="10810875"/>
        <a:ext cx="3400425" cy="1924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66</xdr:row>
      <xdr:rowOff>123825</xdr:rowOff>
    </xdr:from>
    <xdr:to>
      <xdr:col>13</xdr:col>
      <xdr:colOff>381000</xdr:colOff>
      <xdr:row>78</xdr:row>
      <xdr:rowOff>104775</xdr:rowOff>
    </xdr:to>
    <xdr:graphicFrame>
      <xdr:nvGraphicFramePr>
        <xdr:cNvPr id="7" name="Chart 6"/>
        <xdr:cNvGraphicFramePr/>
      </xdr:nvGraphicFramePr>
      <xdr:xfrm>
        <a:off x="6886575" y="12753975"/>
        <a:ext cx="3400425" cy="1924050"/>
      </xdr:xfrm>
      <a:graphic>
        <a:graphicData uri="http://schemas.openxmlformats.org/drawingml/2006/chart">
          <c:chart xmlns:c="http://schemas.openxmlformats.org/drawingml/2006/chart" r:id="rId6"/>
        </a:graphicData>
      </a:graphic>
    </xdr:graphicFrame>
    <xdr:clientData/>
  </xdr:twoCellAnchor>
  <xdr:twoCellAnchor>
    <xdr:from>
      <xdr:col>13</xdr:col>
      <xdr:colOff>400050</xdr:colOff>
      <xdr:row>42</xdr:row>
      <xdr:rowOff>123825</xdr:rowOff>
    </xdr:from>
    <xdr:to>
      <xdr:col>17</xdr:col>
      <xdr:colOff>752475</xdr:colOff>
      <xdr:row>54</xdr:row>
      <xdr:rowOff>104775</xdr:rowOff>
    </xdr:to>
    <xdr:graphicFrame>
      <xdr:nvGraphicFramePr>
        <xdr:cNvPr id="8" name="Chart 7"/>
        <xdr:cNvGraphicFramePr/>
      </xdr:nvGraphicFramePr>
      <xdr:xfrm>
        <a:off x="10306050" y="8867775"/>
        <a:ext cx="3400425" cy="1924050"/>
      </xdr:xfrm>
      <a:graphic>
        <a:graphicData uri="http://schemas.openxmlformats.org/drawingml/2006/chart">
          <c:chart xmlns:c="http://schemas.openxmlformats.org/drawingml/2006/chart" r:id="rId7"/>
        </a:graphicData>
      </a:graphic>
    </xdr:graphicFrame>
    <xdr:clientData/>
  </xdr:twoCellAnchor>
  <xdr:twoCellAnchor>
    <xdr:from>
      <xdr:col>0</xdr:col>
      <xdr:colOff>19050</xdr:colOff>
      <xdr:row>0</xdr:row>
      <xdr:rowOff>9525</xdr:rowOff>
    </xdr:from>
    <xdr:to>
      <xdr:col>4</xdr:col>
      <xdr:colOff>390525</xdr:colOff>
      <xdr:row>12</xdr:row>
      <xdr:rowOff>0</xdr:rowOff>
    </xdr:to>
    <xdr:graphicFrame>
      <xdr:nvGraphicFramePr>
        <xdr:cNvPr id="9" name="Chart 10"/>
        <xdr:cNvGraphicFramePr/>
      </xdr:nvGraphicFramePr>
      <xdr:xfrm>
        <a:off x="19050" y="9525"/>
        <a:ext cx="3419475" cy="1933575"/>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23</xdr:row>
      <xdr:rowOff>95250</xdr:rowOff>
    </xdr:from>
    <xdr:to>
      <xdr:col>4</xdr:col>
      <xdr:colOff>390525</xdr:colOff>
      <xdr:row>35</xdr:row>
      <xdr:rowOff>95250</xdr:rowOff>
    </xdr:to>
    <xdr:graphicFrame>
      <xdr:nvGraphicFramePr>
        <xdr:cNvPr id="10" name="Chart 11"/>
        <xdr:cNvGraphicFramePr/>
      </xdr:nvGraphicFramePr>
      <xdr:xfrm>
        <a:off x="19050" y="3943350"/>
        <a:ext cx="3419475" cy="1943100"/>
      </xdr:xfrm>
      <a:graphic>
        <a:graphicData uri="http://schemas.openxmlformats.org/drawingml/2006/chart">
          <c:chart xmlns:c="http://schemas.openxmlformats.org/drawingml/2006/chart" r:id="rId9"/>
        </a:graphicData>
      </a:graphic>
    </xdr:graphicFrame>
    <xdr:clientData/>
  </xdr:twoCellAnchor>
  <xdr:twoCellAnchor>
    <xdr:from>
      <xdr:col>0</xdr:col>
      <xdr:colOff>19050</xdr:colOff>
      <xdr:row>35</xdr:row>
      <xdr:rowOff>123825</xdr:rowOff>
    </xdr:from>
    <xdr:to>
      <xdr:col>4</xdr:col>
      <xdr:colOff>390525</xdr:colOff>
      <xdr:row>36</xdr:row>
      <xdr:rowOff>85725</xdr:rowOff>
    </xdr:to>
    <xdr:graphicFrame>
      <xdr:nvGraphicFramePr>
        <xdr:cNvPr id="11" name="Chart 12"/>
        <xdr:cNvGraphicFramePr/>
      </xdr:nvGraphicFramePr>
      <xdr:xfrm>
        <a:off x="19050" y="5915025"/>
        <a:ext cx="3419475" cy="1943100"/>
      </xdr:xfrm>
      <a:graphic>
        <a:graphicData uri="http://schemas.openxmlformats.org/drawingml/2006/chart">
          <c:chart xmlns:c="http://schemas.openxmlformats.org/drawingml/2006/chart" r:id="rId10"/>
        </a:graphicData>
      </a:graphic>
    </xdr:graphicFrame>
    <xdr:clientData/>
  </xdr:twoCellAnchor>
  <xdr:oneCellAnchor>
    <xdr:from>
      <xdr:col>4</xdr:col>
      <xdr:colOff>533400</xdr:colOff>
      <xdr:row>2</xdr:row>
      <xdr:rowOff>9525</xdr:rowOff>
    </xdr:from>
    <xdr:ext cx="2447925" cy="323850"/>
    <xdr:sp>
      <xdr:nvSpPr>
        <xdr:cNvPr id="12" name="TextBox 28"/>
        <xdr:cNvSpPr txBox="1">
          <a:spLocks noChangeArrowheads="1"/>
        </xdr:cNvSpPr>
      </xdr:nvSpPr>
      <xdr:spPr>
        <a:xfrm>
          <a:off x="3581400" y="333375"/>
          <a:ext cx="2447925" cy="3238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Summary Graphs by Goal Area</a:t>
          </a:r>
        </a:p>
      </xdr:txBody>
    </xdr:sp>
    <xdr:clientData/>
  </xdr:oneCellAnchor>
  <xdr:oneCellAnchor>
    <xdr:from>
      <xdr:col>4</xdr:col>
      <xdr:colOff>533400</xdr:colOff>
      <xdr:row>1</xdr:row>
      <xdr:rowOff>0</xdr:rowOff>
    </xdr:from>
    <xdr:ext cx="457200" cy="200025"/>
    <xdr:sp>
      <xdr:nvSpPr>
        <xdr:cNvPr id="13" name="TextBox 29"/>
        <xdr:cNvSpPr txBox="1">
          <a:spLocks noChangeArrowheads="1"/>
        </xdr:cNvSpPr>
      </xdr:nvSpPr>
      <xdr:spPr>
        <a:xfrm>
          <a:off x="3581400" y="161925"/>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Level 1</a:t>
          </a:r>
        </a:p>
      </xdr:txBody>
    </xdr:sp>
    <xdr:clientData/>
  </xdr:oneCellAnchor>
  <xdr:oneCellAnchor>
    <xdr:from>
      <xdr:col>7</xdr:col>
      <xdr:colOff>723900</xdr:colOff>
      <xdr:row>2</xdr:row>
      <xdr:rowOff>104775</xdr:rowOff>
    </xdr:from>
    <xdr:ext cx="1600200" cy="200025"/>
    <xdr:sp>
      <xdr:nvSpPr>
        <xdr:cNvPr id="14" name="TextBox 30"/>
        <xdr:cNvSpPr txBox="1">
          <a:spLocks noChangeArrowheads="1"/>
        </xdr:cNvSpPr>
      </xdr:nvSpPr>
      <xdr:spPr>
        <a:xfrm>
          <a:off x="6057900" y="428625"/>
          <a:ext cx="1600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Scroll down for more details</a:t>
          </a:r>
        </a:p>
      </xdr:txBody>
    </xdr:sp>
    <xdr:clientData fPrintsWithSheet="0"/>
  </xdr:oneCellAnchor>
  <xdr:twoCellAnchor>
    <xdr:from>
      <xdr:col>10</xdr:col>
      <xdr:colOff>95250</xdr:colOff>
      <xdr:row>2</xdr:row>
      <xdr:rowOff>104775</xdr:rowOff>
    </xdr:from>
    <xdr:to>
      <xdr:col>10</xdr:col>
      <xdr:colOff>95250</xdr:colOff>
      <xdr:row>4</xdr:row>
      <xdr:rowOff>9525</xdr:rowOff>
    </xdr:to>
    <xdr:sp>
      <xdr:nvSpPr>
        <xdr:cNvPr id="15" name="Line 31"/>
        <xdr:cNvSpPr>
          <a:spLocks/>
        </xdr:cNvSpPr>
      </xdr:nvSpPr>
      <xdr:spPr>
        <a:xfrm>
          <a:off x="7715250" y="428625"/>
          <a:ext cx="0" cy="2286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0</xdr:colOff>
      <xdr:row>36</xdr:row>
      <xdr:rowOff>133350</xdr:rowOff>
    </xdr:from>
    <xdr:to>
      <xdr:col>18</xdr:col>
      <xdr:colOff>533400</xdr:colOff>
      <xdr:row>36</xdr:row>
      <xdr:rowOff>133350</xdr:rowOff>
    </xdr:to>
    <xdr:sp>
      <xdr:nvSpPr>
        <xdr:cNvPr id="16" name="Line 32"/>
        <xdr:cNvSpPr>
          <a:spLocks/>
        </xdr:cNvSpPr>
      </xdr:nvSpPr>
      <xdr:spPr>
        <a:xfrm>
          <a:off x="0" y="7905750"/>
          <a:ext cx="14249400" cy="0"/>
        </a:xfrm>
        <a:prstGeom prst="line">
          <a:avLst/>
        </a:prstGeom>
        <a:noFill/>
        <a:ln w="571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180975</xdr:colOff>
      <xdr:row>38</xdr:row>
      <xdr:rowOff>104775</xdr:rowOff>
    </xdr:from>
    <xdr:ext cx="2095500" cy="285750"/>
    <xdr:sp>
      <xdr:nvSpPr>
        <xdr:cNvPr id="17" name="TextBox 33"/>
        <xdr:cNvSpPr txBox="1">
          <a:spLocks noChangeArrowheads="1"/>
        </xdr:cNvSpPr>
      </xdr:nvSpPr>
      <xdr:spPr>
        <a:xfrm>
          <a:off x="180975" y="8201025"/>
          <a:ext cx="2095500" cy="2857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Individual Goal Summaries</a:t>
          </a:r>
        </a:p>
      </xdr:txBody>
    </xdr:sp>
    <xdr:clientData/>
  </xdr:oneCellAnchor>
  <xdr:oneCellAnchor>
    <xdr:from>
      <xdr:col>0</xdr:col>
      <xdr:colOff>190500</xdr:colOff>
      <xdr:row>37</xdr:row>
      <xdr:rowOff>104775</xdr:rowOff>
    </xdr:from>
    <xdr:ext cx="457200" cy="200025"/>
    <xdr:sp>
      <xdr:nvSpPr>
        <xdr:cNvPr id="18" name="TextBox 34"/>
        <xdr:cNvSpPr txBox="1">
          <a:spLocks noChangeArrowheads="1"/>
        </xdr:cNvSpPr>
      </xdr:nvSpPr>
      <xdr:spPr>
        <a:xfrm>
          <a:off x="190500" y="8039100"/>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Level 2</a:t>
          </a:r>
        </a:p>
      </xdr:txBody>
    </xdr:sp>
    <xdr:clientData/>
  </xdr:oneCellAnchor>
  <xdr:oneCellAnchor>
    <xdr:from>
      <xdr:col>3</xdr:col>
      <xdr:colOff>228600</xdr:colOff>
      <xdr:row>39</xdr:row>
      <xdr:rowOff>0</xdr:rowOff>
    </xdr:from>
    <xdr:ext cx="1600200" cy="200025"/>
    <xdr:sp>
      <xdr:nvSpPr>
        <xdr:cNvPr id="19" name="TextBox 35"/>
        <xdr:cNvSpPr txBox="1">
          <a:spLocks noChangeArrowheads="1"/>
        </xdr:cNvSpPr>
      </xdr:nvSpPr>
      <xdr:spPr>
        <a:xfrm>
          <a:off x="2514600" y="8258175"/>
          <a:ext cx="1600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Scroll down for more details</a:t>
          </a:r>
        </a:p>
      </xdr:txBody>
    </xdr:sp>
    <xdr:clientData fPrintsWithSheet="0"/>
  </xdr:oneCellAnchor>
  <xdr:oneCellAnchor>
    <xdr:from>
      <xdr:col>0</xdr:col>
      <xdr:colOff>228600</xdr:colOff>
      <xdr:row>81</xdr:row>
      <xdr:rowOff>95250</xdr:rowOff>
    </xdr:from>
    <xdr:ext cx="2066925" cy="285750"/>
    <xdr:sp>
      <xdr:nvSpPr>
        <xdr:cNvPr id="20" name="TextBox 37"/>
        <xdr:cNvSpPr txBox="1">
          <a:spLocks noChangeArrowheads="1"/>
        </xdr:cNvSpPr>
      </xdr:nvSpPr>
      <xdr:spPr>
        <a:xfrm>
          <a:off x="228600" y="15154275"/>
          <a:ext cx="2066925" cy="285750"/>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Individual Metric Profiles</a:t>
          </a:r>
        </a:p>
      </xdr:txBody>
    </xdr:sp>
    <xdr:clientData/>
  </xdr:oneCellAnchor>
  <xdr:oneCellAnchor>
    <xdr:from>
      <xdr:col>0</xdr:col>
      <xdr:colOff>228600</xdr:colOff>
      <xdr:row>80</xdr:row>
      <xdr:rowOff>38100</xdr:rowOff>
    </xdr:from>
    <xdr:ext cx="457200" cy="200025"/>
    <xdr:sp>
      <xdr:nvSpPr>
        <xdr:cNvPr id="21" name="TextBox 38"/>
        <xdr:cNvSpPr txBox="1">
          <a:spLocks noChangeArrowheads="1"/>
        </xdr:cNvSpPr>
      </xdr:nvSpPr>
      <xdr:spPr>
        <a:xfrm>
          <a:off x="228600" y="14935200"/>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Level 3</a:t>
          </a:r>
        </a:p>
      </xdr:txBody>
    </xdr:sp>
    <xdr:clientData/>
  </xdr:oneCellAnchor>
  <xdr:oneCellAnchor>
    <xdr:from>
      <xdr:col>3</xdr:col>
      <xdr:colOff>190500</xdr:colOff>
      <xdr:row>82</xdr:row>
      <xdr:rowOff>0</xdr:rowOff>
    </xdr:from>
    <xdr:ext cx="1514475" cy="200025"/>
    <xdr:sp>
      <xdr:nvSpPr>
        <xdr:cNvPr id="22" name="TextBox 39"/>
        <xdr:cNvSpPr txBox="1">
          <a:spLocks noChangeArrowheads="1"/>
        </xdr:cNvSpPr>
      </xdr:nvSpPr>
      <xdr:spPr>
        <a:xfrm>
          <a:off x="2476500" y="15220950"/>
          <a:ext cx="15144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Scroll up for summary info</a:t>
          </a:r>
        </a:p>
      </xdr:txBody>
    </xdr:sp>
    <xdr:clientData fPrintsWithSheet="0"/>
  </xdr:oneCellAnchor>
  <xdr:twoCellAnchor>
    <xdr:from>
      <xdr:col>0</xdr:col>
      <xdr:colOff>19050</xdr:colOff>
      <xdr:row>79</xdr:row>
      <xdr:rowOff>104775</xdr:rowOff>
    </xdr:from>
    <xdr:to>
      <xdr:col>21</xdr:col>
      <xdr:colOff>219075</xdr:colOff>
      <xdr:row>79</xdr:row>
      <xdr:rowOff>104775</xdr:rowOff>
    </xdr:to>
    <xdr:sp>
      <xdr:nvSpPr>
        <xdr:cNvPr id="23" name="Line 41"/>
        <xdr:cNvSpPr>
          <a:spLocks/>
        </xdr:cNvSpPr>
      </xdr:nvSpPr>
      <xdr:spPr>
        <a:xfrm>
          <a:off x="19050" y="14839950"/>
          <a:ext cx="16202025" cy="0"/>
        </a:xfrm>
        <a:prstGeom prst="line">
          <a:avLst/>
        </a:prstGeom>
        <a:noFill/>
        <a:ln w="571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86</xdr:row>
      <xdr:rowOff>133350</xdr:rowOff>
    </xdr:from>
    <xdr:to>
      <xdr:col>4</xdr:col>
      <xdr:colOff>390525</xdr:colOff>
      <xdr:row>98</xdr:row>
      <xdr:rowOff>133350</xdr:rowOff>
    </xdr:to>
    <xdr:graphicFrame>
      <xdr:nvGraphicFramePr>
        <xdr:cNvPr id="24" name="Chart 56"/>
        <xdr:cNvGraphicFramePr/>
      </xdr:nvGraphicFramePr>
      <xdr:xfrm>
        <a:off x="19050" y="16002000"/>
        <a:ext cx="3419475" cy="1943100"/>
      </xdr:xfrm>
      <a:graphic>
        <a:graphicData uri="http://schemas.openxmlformats.org/drawingml/2006/chart">
          <c:chart xmlns:c="http://schemas.openxmlformats.org/drawingml/2006/chart" r:id="rId11"/>
        </a:graphicData>
      </a:graphic>
    </xdr:graphicFrame>
    <xdr:clientData/>
  </xdr:twoCellAnchor>
  <xdr:twoCellAnchor>
    <xdr:from>
      <xdr:col>4</xdr:col>
      <xdr:colOff>409575</xdr:colOff>
      <xdr:row>86</xdr:row>
      <xdr:rowOff>133350</xdr:rowOff>
    </xdr:from>
    <xdr:to>
      <xdr:col>9</xdr:col>
      <xdr:colOff>0</xdr:colOff>
      <xdr:row>98</xdr:row>
      <xdr:rowOff>133350</xdr:rowOff>
    </xdr:to>
    <xdr:graphicFrame>
      <xdr:nvGraphicFramePr>
        <xdr:cNvPr id="25" name="Chart 57"/>
        <xdr:cNvGraphicFramePr/>
      </xdr:nvGraphicFramePr>
      <xdr:xfrm>
        <a:off x="3457575" y="16002000"/>
        <a:ext cx="3400425" cy="1943100"/>
      </xdr:xfrm>
      <a:graphic>
        <a:graphicData uri="http://schemas.openxmlformats.org/drawingml/2006/chart">
          <c:chart xmlns:c="http://schemas.openxmlformats.org/drawingml/2006/chart" r:id="rId12"/>
        </a:graphicData>
      </a:graphic>
    </xdr:graphicFrame>
    <xdr:clientData/>
  </xdr:twoCellAnchor>
  <xdr:oneCellAnchor>
    <xdr:from>
      <xdr:col>1</xdr:col>
      <xdr:colOff>342900</xdr:colOff>
      <xdr:row>85</xdr:row>
      <xdr:rowOff>104775</xdr:rowOff>
    </xdr:from>
    <xdr:ext cx="1438275" cy="228600"/>
    <xdr:sp>
      <xdr:nvSpPr>
        <xdr:cNvPr id="26" name="TextBox 58"/>
        <xdr:cNvSpPr txBox="1">
          <a:spLocks noChangeArrowheads="1"/>
        </xdr:cNvSpPr>
      </xdr:nvSpPr>
      <xdr:spPr>
        <a:xfrm>
          <a:off x="1104900" y="15811500"/>
          <a:ext cx="143827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Sustainability Goal 1</a:t>
          </a:r>
        </a:p>
      </xdr:txBody>
    </xdr:sp>
    <xdr:clientData/>
  </xdr:oneCellAnchor>
  <xdr:oneCellAnchor>
    <xdr:from>
      <xdr:col>6</xdr:col>
      <xdr:colOff>0</xdr:colOff>
      <xdr:row>85</xdr:row>
      <xdr:rowOff>104775</xdr:rowOff>
    </xdr:from>
    <xdr:ext cx="1438275" cy="228600"/>
    <xdr:sp>
      <xdr:nvSpPr>
        <xdr:cNvPr id="27" name="TextBox 59"/>
        <xdr:cNvSpPr txBox="1">
          <a:spLocks noChangeArrowheads="1"/>
        </xdr:cNvSpPr>
      </xdr:nvSpPr>
      <xdr:spPr>
        <a:xfrm>
          <a:off x="4572000" y="15811500"/>
          <a:ext cx="143827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Sustainability Goal 2</a:t>
          </a:r>
        </a:p>
      </xdr:txBody>
    </xdr:sp>
    <xdr:clientData/>
  </xdr:oneCellAnchor>
  <xdr:twoCellAnchor>
    <xdr:from>
      <xdr:col>4</xdr:col>
      <xdr:colOff>409575</xdr:colOff>
      <xdr:row>99</xdr:row>
      <xdr:rowOff>0</xdr:rowOff>
    </xdr:from>
    <xdr:to>
      <xdr:col>9</xdr:col>
      <xdr:colOff>0</xdr:colOff>
      <xdr:row>111</xdr:row>
      <xdr:rowOff>0</xdr:rowOff>
    </xdr:to>
    <xdr:graphicFrame>
      <xdr:nvGraphicFramePr>
        <xdr:cNvPr id="28" name="Chart 60"/>
        <xdr:cNvGraphicFramePr/>
      </xdr:nvGraphicFramePr>
      <xdr:xfrm>
        <a:off x="3457575" y="17973675"/>
        <a:ext cx="3400425" cy="1943100"/>
      </xdr:xfrm>
      <a:graphic>
        <a:graphicData uri="http://schemas.openxmlformats.org/drawingml/2006/chart">
          <c:chart xmlns:c="http://schemas.openxmlformats.org/drawingml/2006/chart" r:id="rId13"/>
        </a:graphicData>
      </a:graphic>
    </xdr:graphicFrame>
    <xdr:clientData/>
  </xdr:twoCellAnchor>
  <xdr:twoCellAnchor>
    <xdr:from>
      <xdr:col>4</xdr:col>
      <xdr:colOff>409575</xdr:colOff>
      <xdr:row>111</xdr:row>
      <xdr:rowOff>28575</xdr:rowOff>
    </xdr:from>
    <xdr:to>
      <xdr:col>9</xdr:col>
      <xdr:colOff>0</xdr:colOff>
      <xdr:row>123</xdr:row>
      <xdr:rowOff>28575</xdr:rowOff>
    </xdr:to>
    <xdr:graphicFrame>
      <xdr:nvGraphicFramePr>
        <xdr:cNvPr id="29" name="Chart 61"/>
        <xdr:cNvGraphicFramePr/>
      </xdr:nvGraphicFramePr>
      <xdr:xfrm>
        <a:off x="3457575" y="19945350"/>
        <a:ext cx="3400425" cy="1943100"/>
      </xdr:xfrm>
      <a:graphic>
        <a:graphicData uri="http://schemas.openxmlformats.org/drawingml/2006/chart">
          <c:chart xmlns:c="http://schemas.openxmlformats.org/drawingml/2006/chart" r:id="rId14"/>
        </a:graphicData>
      </a:graphic>
    </xdr:graphicFrame>
    <xdr:clientData/>
  </xdr:twoCellAnchor>
  <xdr:twoCellAnchor>
    <xdr:from>
      <xdr:col>4</xdr:col>
      <xdr:colOff>409575</xdr:colOff>
      <xdr:row>123</xdr:row>
      <xdr:rowOff>57150</xdr:rowOff>
    </xdr:from>
    <xdr:to>
      <xdr:col>9</xdr:col>
      <xdr:colOff>0</xdr:colOff>
      <xdr:row>135</xdr:row>
      <xdr:rowOff>57150</xdr:rowOff>
    </xdr:to>
    <xdr:graphicFrame>
      <xdr:nvGraphicFramePr>
        <xdr:cNvPr id="30" name="Chart 62"/>
        <xdr:cNvGraphicFramePr/>
      </xdr:nvGraphicFramePr>
      <xdr:xfrm>
        <a:off x="3457575" y="21917025"/>
        <a:ext cx="3400425" cy="1943100"/>
      </xdr:xfrm>
      <a:graphic>
        <a:graphicData uri="http://schemas.openxmlformats.org/drawingml/2006/chart">
          <c:chart xmlns:c="http://schemas.openxmlformats.org/drawingml/2006/chart" r:id="rId15"/>
        </a:graphicData>
      </a:graphic>
    </xdr:graphicFrame>
    <xdr:clientData/>
  </xdr:twoCellAnchor>
  <xdr:twoCellAnchor>
    <xdr:from>
      <xdr:col>4</xdr:col>
      <xdr:colOff>409575</xdr:colOff>
      <xdr:row>135</xdr:row>
      <xdr:rowOff>85725</xdr:rowOff>
    </xdr:from>
    <xdr:to>
      <xdr:col>9</xdr:col>
      <xdr:colOff>0</xdr:colOff>
      <xdr:row>147</xdr:row>
      <xdr:rowOff>85725</xdr:rowOff>
    </xdr:to>
    <xdr:graphicFrame>
      <xdr:nvGraphicFramePr>
        <xdr:cNvPr id="31" name="Chart 63"/>
        <xdr:cNvGraphicFramePr/>
      </xdr:nvGraphicFramePr>
      <xdr:xfrm>
        <a:off x="3457575" y="23888700"/>
        <a:ext cx="3400425" cy="1943100"/>
      </xdr:xfrm>
      <a:graphic>
        <a:graphicData uri="http://schemas.openxmlformats.org/drawingml/2006/chart">
          <c:chart xmlns:c="http://schemas.openxmlformats.org/drawingml/2006/chart" r:id="rId16"/>
        </a:graphicData>
      </a:graphic>
    </xdr:graphicFrame>
    <xdr:clientData/>
  </xdr:twoCellAnchor>
  <xdr:twoCellAnchor>
    <xdr:from>
      <xdr:col>9</xdr:col>
      <xdr:colOff>19050</xdr:colOff>
      <xdr:row>86</xdr:row>
      <xdr:rowOff>133350</xdr:rowOff>
    </xdr:from>
    <xdr:to>
      <xdr:col>13</xdr:col>
      <xdr:colOff>390525</xdr:colOff>
      <xdr:row>98</xdr:row>
      <xdr:rowOff>133350</xdr:rowOff>
    </xdr:to>
    <xdr:graphicFrame>
      <xdr:nvGraphicFramePr>
        <xdr:cNvPr id="32" name="Chart 66"/>
        <xdr:cNvGraphicFramePr/>
      </xdr:nvGraphicFramePr>
      <xdr:xfrm>
        <a:off x="6877050" y="16002000"/>
        <a:ext cx="3419475" cy="1943100"/>
      </xdr:xfrm>
      <a:graphic>
        <a:graphicData uri="http://schemas.openxmlformats.org/drawingml/2006/chart">
          <c:chart xmlns:c="http://schemas.openxmlformats.org/drawingml/2006/chart" r:id="rId17"/>
        </a:graphicData>
      </a:graphic>
    </xdr:graphicFrame>
    <xdr:clientData/>
  </xdr:twoCellAnchor>
  <xdr:oneCellAnchor>
    <xdr:from>
      <xdr:col>10</xdr:col>
      <xdr:colOff>228600</xdr:colOff>
      <xdr:row>85</xdr:row>
      <xdr:rowOff>104775</xdr:rowOff>
    </xdr:from>
    <xdr:ext cx="1647825" cy="228600"/>
    <xdr:sp>
      <xdr:nvSpPr>
        <xdr:cNvPr id="33" name="TextBox 67"/>
        <xdr:cNvSpPr txBox="1">
          <a:spLocks noChangeArrowheads="1"/>
        </xdr:cNvSpPr>
      </xdr:nvSpPr>
      <xdr:spPr>
        <a:xfrm>
          <a:off x="7848600" y="15811500"/>
          <a:ext cx="16478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Nonproliferation Goal 1</a:t>
          </a:r>
        </a:p>
      </xdr:txBody>
    </xdr:sp>
    <xdr:clientData/>
  </xdr:oneCellAnchor>
  <xdr:twoCellAnchor>
    <xdr:from>
      <xdr:col>9</xdr:col>
      <xdr:colOff>19050</xdr:colOff>
      <xdr:row>99</xdr:row>
      <xdr:rowOff>0</xdr:rowOff>
    </xdr:from>
    <xdr:to>
      <xdr:col>13</xdr:col>
      <xdr:colOff>390525</xdr:colOff>
      <xdr:row>111</xdr:row>
      <xdr:rowOff>0</xdr:rowOff>
    </xdr:to>
    <xdr:graphicFrame>
      <xdr:nvGraphicFramePr>
        <xdr:cNvPr id="34" name="Chart 68"/>
        <xdr:cNvGraphicFramePr/>
      </xdr:nvGraphicFramePr>
      <xdr:xfrm>
        <a:off x="6877050" y="17973675"/>
        <a:ext cx="3419475" cy="1943100"/>
      </xdr:xfrm>
      <a:graphic>
        <a:graphicData uri="http://schemas.openxmlformats.org/drawingml/2006/chart">
          <c:chart xmlns:c="http://schemas.openxmlformats.org/drawingml/2006/chart" r:id="rId18"/>
        </a:graphicData>
      </a:graphic>
    </xdr:graphicFrame>
    <xdr:clientData/>
  </xdr:twoCellAnchor>
  <xdr:oneCellAnchor>
    <xdr:from>
      <xdr:col>14</xdr:col>
      <xdr:colOff>676275</xdr:colOff>
      <xdr:row>85</xdr:row>
      <xdr:rowOff>104775</xdr:rowOff>
    </xdr:from>
    <xdr:ext cx="1800225" cy="228600"/>
    <xdr:sp>
      <xdr:nvSpPr>
        <xdr:cNvPr id="35" name="TextBox 69"/>
        <xdr:cNvSpPr txBox="1">
          <a:spLocks noChangeArrowheads="1"/>
        </xdr:cNvSpPr>
      </xdr:nvSpPr>
      <xdr:spPr>
        <a:xfrm>
          <a:off x="11344275" y="15811500"/>
          <a:ext cx="18002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Safety &amp; Reliability Goal 1</a:t>
          </a:r>
        </a:p>
      </xdr:txBody>
    </xdr:sp>
    <xdr:clientData/>
  </xdr:oneCellAnchor>
  <xdr:twoCellAnchor>
    <xdr:from>
      <xdr:col>13</xdr:col>
      <xdr:colOff>409575</xdr:colOff>
      <xdr:row>86</xdr:row>
      <xdr:rowOff>133350</xdr:rowOff>
    </xdr:from>
    <xdr:to>
      <xdr:col>18</xdr:col>
      <xdr:colOff>0</xdr:colOff>
      <xdr:row>98</xdr:row>
      <xdr:rowOff>133350</xdr:rowOff>
    </xdr:to>
    <xdr:graphicFrame>
      <xdr:nvGraphicFramePr>
        <xdr:cNvPr id="36" name="Chart 70"/>
        <xdr:cNvGraphicFramePr/>
      </xdr:nvGraphicFramePr>
      <xdr:xfrm>
        <a:off x="10315575" y="16002000"/>
        <a:ext cx="3400425" cy="1943100"/>
      </xdr:xfrm>
      <a:graphic>
        <a:graphicData uri="http://schemas.openxmlformats.org/drawingml/2006/chart">
          <c:chart xmlns:c="http://schemas.openxmlformats.org/drawingml/2006/chart" r:id="rId19"/>
        </a:graphicData>
      </a:graphic>
    </xdr:graphicFrame>
    <xdr:clientData/>
  </xdr:twoCellAnchor>
  <xdr:twoCellAnchor>
    <xdr:from>
      <xdr:col>13</xdr:col>
      <xdr:colOff>409575</xdr:colOff>
      <xdr:row>99</xdr:row>
      <xdr:rowOff>0</xdr:rowOff>
    </xdr:from>
    <xdr:to>
      <xdr:col>18</xdr:col>
      <xdr:colOff>0</xdr:colOff>
      <xdr:row>111</xdr:row>
      <xdr:rowOff>0</xdr:rowOff>
    </xdr:to>
    <xdr:graphicFrame>
      <xdr:nvGraphicFramePr>
        <xdr:cNvPr id="37" name="Chart 71"/>
        <xdr:cNvGraphicFramePr/>
      </xdr:nvGraphicFramePr>
      <xdr:xfrm>
        <a:off x="10315575" y="17973675"/>
        <a:ext cx="3400425" cy="1943100"/>
      </xdr:xfrm>
      <a:graphic>
        <a:graphicData uri="http://schemas.openxmlformats.org/drawingml/2006/chart">
          <c:chart xmlns:c="http://schemas.openxmlformats.org/drawingml/2006/chart" r:id="rId20"/>
        </a:graphicData>
      </a:graphic>
    </xdr:graphicFrame>
    <xdr:clientData/>
  </xdr:twoCellAnchor>
  <xdr:twoCellAnchor>
    <xdr:from>
      <xdr:col>13</xdr:col>
      <xdr:colOff>409575</xdr:colOff>
      <xdr:row>111</xdr:row>
      <xdr:rowOff>28575</xdr:rowOff>
    </xdr:from>
    <xdr:to>
      <xdr:col>18</xdr:col>
      <xdr:colOff>0</xdr:colOff>
      <xdr:row>123</xdr:row>
      <xdr:rowOff>28575</xdr:rowOff>
    </xdr:to>
    <xdr:graphicFrame>
      <xdr:nvGraphicFramePr>
        <xdr:cNvPr id="38" name="Chart 72"/>
        <xdr:cNvGraphicFramePr/>
      </xdr:nvGraphicFramePr>
      <xdr:xfrm>
        <a:off x="10315575" y="19945350"/>
        <a:ext cx="3400425" cy="1943100"/>
      </xdr:xfrm>
      <a:graphic>
        <a:graphicData uri="http://schemas.openxmlformats.org/drawingml/2006/chart">
          <c:chart xmlns:c="http://schemas.openxmlformats.org/drawingml/2006/chart" r:id="rId21"/>
        </a:graphicData>
      </a:graphic>
    </xdr:graphicFrame>
    <xdr:clientData/>
  </xdr:twoCellAnchor>
  <xdr:oneCellAnchor>
    <xdr:from>
      <xdr:col>19</xdr:col>
      <xdr:colOff>342900</xdr:colOff>
      <xdr:row>85</xdr:row>
      <xdr:rowOff>104775</xdr:rowOff>
    </xdr:from>
    <xdr:ext cx="1800225" cy="228600"/>
    <xdr:sp>
      <xdr:nvSpPr>
        <xdr:cNvPr id="39" name="TextBox 73"/>
        <xdr:cNvSpPr txBox="1">
          <a:spLocks noChangeArrowheads="1"/>
        </xdr:cNvSpPr>
      </xdr:nvSpPr>
      <xdr:spPr>
        <a:xfrm>
          <a:off x="14820900" y="15811500"/>
          <a:ext cx="18002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Safety &amp; Reliability Goal 2</a:t>
          </a:r>
        </a:p>
      </xdr:txBody>
    </xdr:sp>
    <xdr:clientData/>
  </xdr:oneCellAnchor>
  <xdr:twoCellAnchor>
    <xdr:from>
      <xdr:col>18</xdr:col>
      <xdr:colOff>19050</xdr:colOff>
      <xdr:row>86</xdr:row>
      <xdr:rowOff>133350</xdr:rowOff>
    </xdr:from>
    <xdr:to>
      <xdr:col>22</xdr:col>
      <xdr:colOff>419100</xdr:colOff>
      <xdr:row>98</xdr:row>
      <xdr:rowOff>133350</xdr:rowOff>
    </xdr:to>
    <xdr:graphicFrame>
      <xdr:nvGraphicFramePr>
        <xdr:cNvPr id="40" name="Chart 74"/>
        <xdr:cNvGraphicFramePr/>
      </xdr:nvGraphicFramePr>
      <xdr:xfrm>
        <a:off x="13735050" y="16002000"/>
        <a:ext cx="3448050" cy="1943100"/>
      </xdr:xfrm>
      <a:graphic>
        <a:graphicData uri="http://schemas.openxmlformats.org/drawingml/2006/chart">
          <c:chart xmlns:c="http://schemas.openxmlformats.org/drawingml/2006/chart" r:id="rId22"/>
        </a:graphicData>
      </a:graphic>
    </xdr:graphicFrame>
    <xdr:clientData/>
  </xdr:twoCellAnchor>
  <xdr:twoCellAnchor>
    <xdr:from>
      <xdr:col>18</xdr:col>
      <xdr:colOff>19050</xdr:colOff>
      <xdr:row>99</xdr:row>
      <xdr:rowOff>0</xdr:rowOff>
    </xdr:from>
    <xdr:to>
      <xdr:col>22</xdr:col>
      <xdr:colOff>419100</xdr:colOff>
      <xdr:row>111</xdr:row>
      <xdr:rowOff>0</xdr:rowOff>
    </xdr:to>
    <xdr:graphicFrame>
      <xdr:nvGraphicFramePr>
        <xdr:cNvPr id="41" name="Chart 75"/>
        <xdr:cNvGraphicFramePr/>
      </xdr:nvGraphicFramePr>
      <xdr:xfrm>
        <a:off x="13735050" y="17973675"/>
        <a:ext cx="3448050" cy="1943100"/>
      </xdr:xfrm>
      <a:graphic>
        <a:graphicData uri="http://schemas.openxmlformats.org/drawingml/2006/chart">
          <c:chart xmlns:c="http://schemas.openxmlformats.org/drawingml/2006/chart" r:id="rId23"/>
        </a:graphicData>
      </a:graphic>
    </xdr:graphicFrame>
    <xdr:clientData/>
  </xdr:twoCellAnchor>
  <xdr:twoCellAnchor>
    <xdr:from>
      <xdr:col>18</xdr:col>
      <xdr:colOff>19050</xdr:colOff>
      <xdr:row>111</xdr:row>
      <xdr:rowOff>28575</xdr:rowOff>
    </xdr:from>
    <xdr:to>
      <xdr:col>22</xdr:col>
      <xdr:colOff>419100</xdr:colOff>
      <xdr:row>123</xdr:row>
      <xdr:rowOff>28575</xdr:rowOff>
    </xdr:to>
    <xdr:graphicFrame>
      <xdr:nvGraphicFramePr>
        <xdr:cNvPr id="42" name="Chart 76"/>
        <xdr:cNvGraphicFramePr/>
      </xdr:nvGraphicFramePr>
      <xdr:xfrm>
        <a:off x="13735050" y="19945350"/>
        <a:ext cx="3448050" cy="1943100"/>
      </xdr:xfrm>
      <a:graphic>
        <a:graphicData uri="http://schemas.openxmlformats.org/drawingml/2006/chart">
          <c:chart xmlns:c="http://schemas.openxmlformats.org/drawingml/2006/chart" r:id="rId24"/>
        </a:graphicData>
      </a:graphic>
    </xdr:graphicFrame>
    <xdr:clientData/>
  </xdr:twoCellAnchor>
  <xdr:twoCellAnchor>
    <xdr:from>
      <xdr:col>18</xdr:col>
      <xdr:colOff>19050</xdr:colOff>
      <xdr:row>123</xdr:row>
      <xdr:rowOff>57150</xdr:rowOff>
    </xdr:from>
    <xdr:to>
      <xdr:col>22</xdr:col>
      <xdr:colOff>419100</xdr:colOff>
      <xdr:row>135</xdr:row>
      <xdr:rowOff>57150</xdr:rowOff>
    </xdr:to>
    <xdr:graphicFrame>
      <xdr:nvGraphicFramePr>
        <xdr:cNvPr id="43" name="Chart 77"/>
        <xdr:cNvGraphicFramePr/>
      </xdr:nvGraphicFramePr>
      <xdr:xfrm>
        <a:off x="13735050" y="21917025"/>
        <a:ext cx="3448050" cy="1943100"/>
      </xdr:xfrm>
      <a:graphic>
        <a:graphicData uri="http://schemas.openxmlformats.org/drawingml/2006/chart">
          <c:chart xmlns:c="http://schemas.openxmlformats.org/drawingml/2006/chart" r:id="rId25"/>
        </a:graphicData>
      </a:graphic>
    </xdr:graphicFrame>
    <xdr:clientData/>
  </xdr:twoCellAnchor>
  <xdr:twoCellAnchor>
    <xdr:from>
      <xdr:col>18</xdr:col>
      <xdr:colOff>19050</xdr:colOff>
      <xdr:row>135</xdr:row>
      <xdr:rowOff>85725</xdr:rowOff>
    </xdr:from>
    <xdr:to>
      <xdr:col>22</xdr:col>
      <xdr:colOff>419100</xdr:colOff>
      <xdr:row>147</xdr:row>
      <xdr:rowOff>85725</xdr:rowOff>
    </xdr:to>
    <xdr:graphicFrame>
      <xdr:nvGraphicFramePr>
        <xdr:cNvPr id="44" name="Chart 78"/>
        <xdr:cNvGraphicFramePr/>
      </xdr:nvGraphicFramePr>
      <xdr:xfrm>
        <a:off x="13735050" y="23888700"/>
        <a:ext cx="3448050" cy="1943100"/>
      </xdr:xfrm>
      <a:graphic>
        <a:graphicData uri="http://schemas.openxmlformats.org/drawingml/2006/chart">
          <c:chart xmlns:c="http://schemas.openxmlformats.org/drawingml/2006/chart" r:id="rId26"/>
        </a:graphicData>
      </a:graphic>
    </xdr:graphicFrame>
    <xdr:clientData/>
  </xdr:twoCellAnchor>
  <xdr:oneCellAnchor>
    <xdr:from>
      <xdr:col>23</xdr:col>
      <xdr:colOff>723900</xdr:colOff>
      <xdr:row>85</xdr:row>
      <xdr:rowOff>104775</xdr:rowOff>
    </xdr:from>
    <xdr:ext cx="1800225" cy="228600"/>
    <xdr:sp>
      <xdr:nvSpPr>
        <xdr:cNvPr id="45" name="TextBox 79"/>
        <xdr:cNvSpPr txBox="1">
          <a:spLocks noChangeArrowheads="1"/>
        </xdr:cNvSpPr>
      </xdr:nvSpPr>
      <xdr:spPr>
        <a:xfrm>
          <a:off x="18249900" y="15811500"/>
          <a:ext cx="18002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Safety &amp; Reliability Goal 3</a:t>
          </a:r>
        </a:p>
      </xdr:txBody>
    </xdr:sp>
    <xdr:clientData/>
  </xdr:oneCellAnchor>
  <xdr:twoCellAnchor>
    <xdr:from>
      <xdr:col>22</xdr:col>
      <xdr:colOff>438150</xdr:colOff>
      <xdr:row>86</xdr:row>
      <xdr:rowOff>133350</xdr:rowOff>
    </xdr:from>
    <xdr:to>
      <xdr:col>27</xdr:col>
      <xdr:colOff>76200</xdr:colOff>
      <xdr:row>98</xdr:row>
      <xdr:rowOff>133350</xdr:rowOff>
    </xdr:to>
    <xdr:graphicFrame>
      <xdr:nvGraphicFramePr>
        <xdr:cNvPr id="46" name="Chart 80"/>
        <xdr:cNvGraphicFramePr/>
      </xdr:nvGraphicFramePr>
      <xdr:xfrm>
        <a:off x="17202150" y="16002000"/>
        <a:ext cx="3448050" cy="1943100"/>
      </xdr:xfrm>
      <a:graphic>
        <a:graphicData uri="http://schemas.openxmlformats.org/drawingml/2006/chart">
          <c:chart xmlns:c="http://schemas.openxmlformats.org/drawingml/2006/chart" r:id="rId27"/>
        </a:graphicData>
      </a:graphic>
    </xdr:graphicFrame>
    <xdr:clientData/>
  </xdr:twoCellAnchor>
  <xdr:twoCellAnchor>
    <xdr:from>
      <xdr:col>22</xdr:col>
      <xdr:colOff>438150</xdr:colOff>
      <xdr:row>99</xdr:row>
      <xdr:rowOff>0</xdr:rowOff>
    </xdr:from>
    <xdr:to>
      <xdr:col>27</xdr:col>
      <xdr:colOff>76200</xdr:colOff>
      <xdr:row>111</xdr:row>
      <xdr:rowOff>0</xdr:rowOff>
    </xdr:to>
    <xdr:graphicFrame>
      <xdr:nvGraphicFramePr>
        <xdr:cNvPr id="47" name="Chart 81"/>
        <xdr:cNvGraphicFramePr/>
      </xdr:nvGraphicFramePr>
      <xdr:xfrm>
        <a:off x="17202150" y="17973675"/>
        <a:ext cx="3448050" cy="1943100"/>
      </xdr:xfrm>
      <a:graphic>
        <a:graphicData uri="http://schemas.openxmlformats.org/drawingml/2006/chart">
          <c:chart xmlns:c="http://schemas.openxmlformats.org/drawingml/2006/chart" r:id="rId28"/>
        </a:graphicData>
      </a:graphic>
    </xdr:graphicFrame>
    <xdr:clientData/>
  </xdr:twoCellAnchor>
  <xdr:twoCellAnchor>
    <xdr:from>
      <xdr:col>22</xdr:col>
      <xdr:colOff>438150</xdr:colOff>
      <xdr:row>111</xdr:row>
      <xdr:rowOff>28575</xdr:rowOff>
    </xdr:from>
    <xdr:to>
      <xdr:col>27</xdr:col>
      <xdr:colOff>76200</xdr:colOff>
      <xdr:row>123</xdr:row>
      <xdr:rowOff>28575</xdr:rowOff>
    </xdr:to>
    <xdr:graphicFrame>
      <xdr:nvGraphicFramePr>
        <xdr:cNvPr id="48" name="Chart 82"/>
        <xdr:cNvGraphicFramePr/>
      </xdr:nvGraphicFramePr>
      <xdr:xfrm>
        <a:off x="17202150" y="19945350"/>
        <a:ext cx="3448050" cy="1943100"/>
      </xdr:xfrm>
      <a:graphic>
        <a:graphicData uri="http://schemas.openxmlformats.org/drawingml/2006/chart">
          <c:chart xmlns:c="http://schemas.openxmlformats.org/drawingml/2006/chart" r:id="rId29"/>
        </a:graphicData>
      </a:graphic>
    </xdr:graphicFrame>
    <xdr:clientData/>
  </xdr:twoCellAnchor>
  <xdr:twoCellAnchor>
    <xdr:from>
      <xdr:col>22</xdr:col>
      <xdr:colOff>438150</xdr:colOff>
      <xdr:row>123</xdr:row>
      <xdr:rowOff>57150</xdr:rowOff>
    </xdr:from>
    <xdr:to>
      <xdr:col>27</xdr:col>
      <xdr:colOff>76200</xdr:colOff>
      <xdr:row>135</xdr:row>
      <xdr:rowOff>57150</xdr:rowOff>
    </xdr:to>
    <xdr:graphicFrame>
      <xdr:nvGraphicFramePr>
        <xdr:cNvPr id="49" name="Chart 83"/>
        <xdr:cNvGraphicFramePr/>
      </xdr:nvGraphicFramePr>
      <xdr:xfrm>
        <a:off x="17202150" y="21917025"/>
        <a:ext cx="3448050" cy="1943100"/>
      </xdr:xfrm>
      <a:graphic>
        <a:graphicData uri="http://schemas.openxmlformats.org/drawingml/2006/chart">
          <c:chart xmlns:c="http://schemas.openxmlformats.org/drawingml/2006/chart" r:id="rId30"/>
        </a:graphicData>
      </a:graphic>
    </xdr:graphicFrame>
    <xdr:clientData/>
  </xdr:twoCellAnchor>
  <xdr:oneCellAnchor>
    <xdr:from>
      <xdr:col>28</xdr:col>
      <xdr:colOff>571500</xdr:colOff>
      <xdr:row>85</xdr:row>
      <xdr:rowOff>104775</xdr:rowOff>
    </xdr:from>
    <xdr:ext cx="1457325" cy="228600"/>
    <xdr:sp>
      <xdr:nvSpPr>
        <xdr:cNvPr id="50" name="TextBox 84"/>
        <xdr:cNvSpPr txBox="1">
          <a:spLocks noChangeArrowheads="1"/>
        </xdr:cNvSpPr>
      </xdr:nvSpPr>
      <xdr:spPr>
        <a:xfrm>
          <a:off x="21907500" y="15811500"/>
          <a:ext cx="1457325"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Economics Goal 1&amp;2</a:t>
          </a:r>
        </a:p>
      </xdr:txBody>
    </xdr:sp>
    <xdr:clientData/>
  </xdr:oneCellAnchor>
  <xdr:twoCellAnchor>
    <xdr:from>
      <xdr:col>27</xdr:col>
      <xdr:colOff>95250</xdr:colOff>
      <xdr:row>86</xdr:row>
      <xdr:rowOff>133350</xdr:rowOff>
    </xdr:from>
    <xdr:to>
      <xdr:col>31</xdr:col>
      <xdr:colOff>504825</xdr:colOff>
      <xdr:row>98</xdr:row>
      <xdr:rowOff>133350</xdr:rowOff>
    </xdr:to>
    <xdr:graphicFrame>
      <xdr:nvGraphicFramePr>
        <xdr:cNvPr id="51" name="Chart 85"/>
        <xdr:cNvGraphicFramePr/>
      </xdr:nvGraphicFramePr>
      <xdr:xfrm>
        <a:off x="20669250" y="16002000"/>
        <a:ext cx="3457575" cy="1943100"/>
      </xdr:xfrm>
      <a:graphic>
        <a:graphicData uri="http://schemas.openxmlformats.org/drawingml/2006/chart">
          <c:chart xmlns:c="http://schemas.openxmlformats.org/drawingml/2006/chart" r:id="rId31"/>
        </a:graphicData>
      </a:graphic>
    </xdr:graphicFrame>
    <xdr:clientData/>
  </xdr:twoCellAnchor>
  <xdr:twoCellAnchor>
    <xdr:from>
      <xdr:col>27</xdr:col>
      <xdr:colOff>95250</xdr:colOff>
      <xdr:row>99</xdr:row>
      <xdr:rowOff>0</xdr:rowOff>
    </xdr:from>
    <xdr:to>
      <xdr:col>31</xdr:col>
      <xdr:colOff>504825</xdr:colOff>
      <xdr:row>111</xdr:row>
      <xdr:rowOff>0</xdr:rowOff>
    </xdr:to>
    <xdr:graphicFrame>
      <xdr:nvGraphicFramePr>
        <xdr:cNvPr id="52" name="Chart 86"/>
        <xdr:cNvGraphicFramePr/>
      </xdr:nvGraphicFramePr>
      <xdr:xfrm>
        <a:off x="20669250" y="17973675"/>
        <a:ext cx="3457575" cy="1943100"/>
      </xdr:xfrm>
      <a:graphic>
        <a:graphicData uri="http://schemas.openxmlformats.org/drawingml/2006/chart">
          <c:chart xmlns:c="http://schemas.openxmlformats.org/drawingml/2006/chart" r:id="rId32"/>
        </a:graphicData>
      </a:graphic>
    </xdr:graphicFrame>
    <xdr:clientData/>
  </xdr:twoCellAnchor>
  <xdr:twoCellAnchor>
    <xdr:from>
      <xdr:col>31</xdr:col>
      <xdr:colOff>523875</xdr:colOff>
      <xdr:row>86</xdr:row>
      <xdr:rowOff>133350</xdr:rowOff>
    </xdr:from>
    <xdr:to>
      <xdr:col>36</xdr:col>
      <xdr:colOff>171450</xdr:colOff>
      <xdr:row>98</xdr:row>
      <xdr:rowOff>133350</xdr:rowOff>
    </xdr:to>
    <xdr:graphicFrame>
      <xdr:nvGraphicFramePr>
        <xdr:cNvPr id="53" name="Chart 89"/>
        <xdr:cNvGraphicFramePr/>
      </xdr:nvGraphicFramePr>
      <xdr:xfrm>
        <a:off x="24145875" y="16002000"/>
        <a:ext cx="3457575" cy="1943100"/>
      </xdr:xfrm>
      <a:graphic>
        <a:graphicData uri="http://schemas.openxmlformats.org/drawingml/2006/chart">
          <c:chart xmlns:c="http://schemas.openxmlformats.org/drawingml/2006/chart" r:id="rId33"/>
        </a:graphicData>
      </a:graphic>
    </xdr:graphicFrame>
    <xdr:clientData/>
  </xdr:twoCellAnchor>
  <xdr:oneCellAnchor>
    <xdr:from>
      <xdr:col>6</xdr:col>
      <xdr:colOff>190500</xdr:colOff>
      <xdr:row>39</xdr:row>
      <xdr:rowOff>0</xdr:rowOff>
    </xdr:from>
    <xdr:ext cx="1514475" cy="200025"/>
    <xdr:sp>
      <xdr:nvSpPr>
        <xdr:cNvPr id="54" name="TextBox 90"/>
        <xdr:cNvSpPr txBox="1">
          <a:spLocks noChangeArrowheads="1"/>
        </xdr:cNvSpPr>
      </xdr:nvSpPr>
      <xdr:spPr>
        <a:xfrm>
          <a:off x="4762500" y="8258175"/>
          <a:ext cx="151447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Scroll up for summary info</a:t>
          </a:r>
        </a:p>
      </xdr:txBody>
    </xdr:sp>
    <xdr:clientData fPrintsWithSheet="0"/>
  </xdr:oneCellAnchor>
  <xdr:oneCellAnchor>
    <xdr:from>
      <xdr:col>3</xdr:col>
      <xdr:colOff>523875</xdr:colOff>
      <xdr:row>43</xdr:row>
      <xdr:rowOff>85725</xdr:rowOff>
    </xdr:from>
    <xdr:ext cx="466725" cy="209550"/>
    <xdr:sp textlink="$V$281">
      <xdr:nvSpPr>
        <xdr:cNvPr id="55" name="TextBox 110"/>
        <xdr:cNvSpPr txBox="1">
          <a:spLocks noChangeArrowheads="1"/>
        </xdr:cNvSpPr>
      </xdr:nvSpPr>
      <xdr:spPr>
        <a:xfrm>
          <a:off x="2809875" y="8991600"/>
          <a:ext cx="466725" cy="209550"/>
        </a:xfrm>
        <a:prstGeom prst="rect">
          <a:avLst/>
        </a:prstGeom>
        <a:noFill/>
        <a:ln w="9525" cmpd="sng">
          <a:noFill/>
        </a:ln>
      </xdr:spPr>
      <xdr:txBody>
        <a:bodyPr vertOverflow="clip" wrap="square"/>
        <a:p>
          <a:pPr algn="l">
            <a:defRPr/>
          </a:pPr>
          <a:fld id="{db17ed50-fcbe-4e21-9244-f713933fd51a}" type="TxLink">
            <a:rPr lang="en-US" cap="none" sz="1000" b="0" i="0" u="none" baseline="0">
              <a:solidFill>
                <a:srgbClr val="000080"/>
              </a:solidFill>
              <a:latin typeface="Arial"/>
              <a:ea typeface="Arial"/>
              <a:cs typeface="Arial"/>
            </a:rPr>
            <a:t>0.95</a:t>
          </a:fld>
        </a:p>
      </xdr:txBody>
    </xdr:sp>
    <xdr:clientData/>
  </xdr:oneCellAnchor>
  <xdr:oneCellAnchor>
    <xdr:from>
      <xdr:col>3</xdr:col>
      <xdr:colOff>523875</xdr:colOff>
      <xdr:row>55</xdr:row>
      <xdr:rowOff>95250</xdr:rowOff>
    </xdr:from>
    <xdr:ext cx="466725" cy="219075"/>
    <xdr:sp textlink="$V$282">
      <xdr:nvSpPr>
        <xdr:cNvPr id="56" name="TextBox 111"/>
        <xdr:cNvSpPr txBox="1">
          <a:spLocks noChangeArrowheads="1"/>
        </xdr:cNvSpPr>
      </xdr:nvSpPr>
      <xdr:spPr>
        <a:xfrm>
          <a:off x="2809875" y="10944225"/>
          <a:ext cx="466725" cy="219075"/>
        </a:xfrm>
        <a:prstGeom prst="rect">
          <a:avLst/>
        </a:prstGeom>
        <a:noFill/>
        <a:ln w="9525" cmpd="sng">
          <a:noFill/>
        </a:ln>
      </xdr:spPr>
      <xdr:txBody>
        <a:bodyPr vertOverflow="clip" wrap="square"/>
        <a:p>
          <a:pPr algn="l">
            <a:defRPr/>
          </a:pPr>
          <a:fld id="{9b8c35a9-d06e-4d17-af09-238b930657d0}" type="TxLink">
            <a:rPr lang="en-US" cap="none" sz="1000" b="0" i="0" u="none" baseline="0">
              <a:solidFill>
                <a:srgbClr val="000080"/>
              </a:solidFill>
              <a:latin typeface="Arial"/>
              <a:ea typeface="Arial"/>
              <a:cs typeface="Arial"/>
            </a:rPr>
            <a:t>0.82</a:t>
          </a:fld>
        </a:p>
      </xdr:txBody>
    </xdr:sp>
    <xdr:clientData/>
  </xdr:oneCellAnchor>
  <xdr:oneCellAnchor>
    <xdr:from>
      <xdr:col>8</xdr:col>
      <xdr:colOff>76200</xdr:colOff>
      <xdr:row>43</xdr:row>
      <xdr:rowOff>142875</xdr:rowOff>
    </xdr:from>
    <xdr:ext cx="466725" cy="219075"/>
    <xdr:sp textlink="$V$283">
      <xdr:nvSpPr>
        <xdr:cNvPr id="57" name="TextBox 112"/>
        <xdr:cNvSpPr txBox="1">
          <a:spLocks noChangeArrowheads="1"/>
        </xdr:cNvSpPr>
      </xdr:nvSpPr>
      <xdr:spPr>
        <a:xfrm>
          <a:off x="6172200" y="9048750"/>
          <a:ext cx="466725" cy="219075"/>
        </a:xfrm>
        <a:prstGeom prst="rect">
          <a:avLst/>
        </a:prstGeom>
        <a:noFill/>
        <a:ln w="9525" cmpd="sng">
          <a:noFill/>
        </a:ln>
      </xdr:spPr>
      <xdr:txBody>
        <a:bodyPr vertOverflow="clip" wrap="square"/>
        <a:p>
          <a:pPr algn="l">
            <a:defRPr/>
          </a:pPr>
          <a:fld id="{f926a2eb-41ef-495d-ba9d-79d54ee4be57}" type="TxLink">
            <a:rPr lang="en-US" cap="none" sz="1000" b="0" i="0" u="none" baseline="0">
              <a:solidFill>
                <a:srgbClr val="000080"/>
              </a:solidFill>
              <a:latin typeface="Arial"/>
              <a:ea typeface="Arial"/>
              <a:cs typeface="Arial"/>
            </a:rPr>
            <a:t>0.24</a:t>
          </a:fld>
        </a:p>
      </xdr:txBody>
    </xdr:sp>
    <xdr:clientData/>
  </xdr:oneCellAnchor>
  <xdr:oneCellAnchor>
    <xdr:from>
      <xdr:col>12</xdr:col>
      <xdr:colOff>533400</xdr:colOff>
      <xdr:row>43</xdr:row>
      <xdr:rowOff>85725</xdr:rowOff>
    </xdr:from>
    <xdr:ext cx="476250" cy="209550"/>
    <xdr:sp textlink="$V$284">
      <xdr:nvSpPr>
        <xdr:cNvPr id="58" name="TextBox 113"/>
        <xdr:cNvSpPr txBox="1">
          <a:spLocks noChangeArrowheads="1"/>
        </xdr:cNvSpPr>
      </xdr:nvSpPr>
      <xdr:spPr>
        <a:xfrm>
          <a:off x="9677400" y="8991600"/>
          <a:ext cx="476250" cy="209550"/>
        </a:xfrm>
        <a:prstGeom prst="rect">
          <a:avLst/>
        </a:prstGeom>
        <a:noFill/>
        <a:ln w="9525" cmpd="sng">
          <a:noFill/>
        </a:ln>
      </xdr:spPr>
      <xdr:txBody>
        <a:bodyPr vertOverflow="clip" wrap="square"/>
        <a:p>
          <a:pPr algn="l">
            <a:defRPr/>
          </a:pPr>
          <a:fld id="{12a6bc60-b30e-4828-a32a-217c955d337b}" type="TxLink">
            <a:rPr lang="en-US" cap="none" sz="1000" b="0" i="0" u="none" baseline="0">
              <a:solidFill>
                <a:srgbClr val="FF0000"/>
              </a:solidFill>
              <a:latin typeface="Arial"/>
              <a:ea typeface="Arial"/>
              <a:cs typeface="Arial"/>
            </a:rPr>
            <a:t>0.20</a:t>
          </a:fld>
        </a:p>
      </xdr:txBody>
    </xdr:sp>
    <xdr:clientData/>
  </xdr:oneCellAnchor>
  <xdr:oneCellAnchor>
    <xdr:from>
      <xdr:col>12</xdr:col>
      <xdr:colOff>533400</xdr:colOff>
      <xdr:row>55</xdr:row>
      <xdr:rowOff>104775</xdr:rowOff>
    </xdr:from>
    <xdr:ext cx="476250" cy="219075"/>
    <xdr:sp textlink="$V$285">
      <xdr:nvSpPr>
        <xdr:cNvPr id="59" name="TextBox 114"/>
        <xdr:cNvSpPr txBox="1">
          <a:spLocks noChangeArrowheads="1"/>
        </xdr:cNvSpPr>
      </xdr:nvSpPr>
      <xdr:spPr>
        <a:xfrm>
          <a:off x="9677400" y="10953750"/>
          <a:ext cx="476250" cy="219075"/>
        </a:xfrm>
        <a:prstGeom prst="rect">
          <a:avLst/>
        </a:prstGeom>
        <a:noFill/>
        <a:ln w="9525" cmpd="sng">
          <a:noFill/>
        </a:ln>
      </xdr:spPr>
      <xdr:txBody>
        <a:bodyPr vertOverflow="clip" wrap="square"/>
        <a:p>
          <a:pPr algn="l">
            <a:defRPr/>
          </a:pPr>
          <a:fld id="{960c2306-67c6-42ab-9538-db04a4e63678}" type="TxLink">
            <a:rPr lang="en-US" cap="none" sz="1000" b="0" i="0" u="none" baseline="0">
              <a:solidFill>
                <a:srgbClr val="FF0000"/>
              </a:solidFill>
              <a:latin typeface="Arial"/>
              <a:ea typeface="Arial"/>
              <a:cs typeface="Arial"/>
            </a:rPr>
            <a:t>0.52</a:t>
          </a:fld>
        </a:p>
      </xdr:txBody>
    </xdr:sp>
    <xdr:clientData/>
  </xdr:oneCellAnchor>
  <xdr:oneCellAnchor>
    <xdr:from>
      <xdr:col>12</xdr:col>
      <xdr:colOff>571500</xdr:colOff>
      <xdr:row>67</xdr:row>
      <xdr:rowOff>114300</xdr:rowOff>
    </xdr:from>
    <xdr:ext cx="476250" cy="219075"/>
    <xdr:sp textlink="$V$286">
      <xdr:nvSpPr>
        <xdr:cNvPr id="60" name="TextBox 115"/>
        <xdr:cNvSpPr txBox="1">
          <a:spLocks noChangeArrowheads="1"/>
        </xdr:cNvSpPr>
      </xdr:nvSpPr>
      <xdr:spPr>
        <a:xfrm>
          <a:off x="9715500" y="12906375"/>
          <a:ext cx="476250" cy="219075"/>
        </a:xfrm>
        <a:prstGeom prst="rect">
          <a:avLst/>
        </a:prstGeom>
        <a:noFill/>
        <a:ln w="9525" cmpd="sng">
          <a:noFill/>
        </a:ln>
      </xdr:spPr>
      <xdr:txBody>
        <a:bodyPr vertOverflow="clip" wrap="square"/>
        <a:p>
          <a:pPr algn="l">
            <a:defRPr/>
          </a:pPr>
          <a:fld id="{3217b5e6-685b-4e8d-95a6-3b611f3ef79a}" type="TxLink">
            <a:rPr lang="en-US" cap="none" sz="1000" b="0" i="0" u="none" baseline="0">
              <a:solidFill>
                <a:srgbClr val="FF0000"/>
              </a:solidFill>
              <a:latin typeface="Arial"/>
              <a:ea typeface="Arial"/>
              <a:cs typeface="Arial"/>
            </a:rPr>
            <a:t>0.65</a:t>
          </a:fld>
        </a:p>
      </xdr:txBody>
    </xdr:sp>
    <xdr:clientData/>
  </xdr:oneCellAnchor>
  <xdr:oneCellAnchor>
    <xdr:from>
      <xdr:col>17</xdr:col>
      <xdr:colOff>161925</xdr:colOff>
      <xdr:row>43</xdr:row>
      <xdr:rowOff>85725</xdr:rowOff>
    </xdr:from>
    <xdr:ext cx="457200" cy="209550"/>
    <xdr:sp textlink="$V$287">
      <xdr:nvSpPr>
        <xdr:cNvPr id="61" name="TextBox 116"/>
        <xdr:cNvSpPr txBox="1">
          <a:spLocks noChangeArrowheads="1"/>
        </xdr:cNvSpPr>
      </xdr:nvSpPr>
      <xdr:spPr>
        <a:xfrm>
          <a:off x="13115925" y="8991600"/>
          <a:ext cx="457200" cy="209550"/>
        </a:xfrm>
        <a:prstGeom prst="rect">
          <a:avLst/>
        </a:prstGeom>
        <a:noFill/>
        <a:ln w="9525" cmpd="sng">
          <a:noFill/>
        </a:ln>
      </xdr:spPr>
      <xdr:txBody>
        <a:bodyPr vertOverflow="clip" wrap="square"/>
        <a:p>
          <a:pPr algn="l">
            <a:defRPr/>
          </a:pPr>
          <a:fld id="{9b4967a5-5965-4f55-b809-87c2c3f46674}" type="TxLink">
            <a:rPr lang="en-US" cap="none" sz="1000" b="0" i="0" u="none" baseline="0">
              <a:solidFill>
                <a:srgbClr val="008000"/>
              </a:solidFill>
              <a:latin typeface="Arial"/>
              <a:ea typeface="Arial"/>
              <a:cs typeface="Arial"/>
            </a:rPr>
            <a:t>0.12</a:t>
          </a:fld>
        </a:p>
      </xdr:txBody>
    </xdr:sp>
    <xdr:clientData/>
  </xdr:oneCellAnchor>
  <xdr:twoCellAnchor>
    <xdr:from>
      <xdr:col>7</xdr:col>
      <xdr:colOff>285750</xdr:colOff>
      <xdr:row>12</xdr:row>
      <xdr:rowOff>38100</xdr:rowOff>
    </xdr:from>
    <xdr:to>
      <xdr:col>11</xdr:col>
      <xdr:colOff>666750</xdr:colOff>
      <xdr:row>23</xdr:row>
      <xdr:rowOff>85725</xdr:rowOff>
    </xdr:to>
    <xdr:graphicFrame>
      <xdr:nvGraphicFramePr>
        <xdr:cNvPr id="62" name="Chart 144"/>
        <xdr:cNvGraphicFramePr/>
      </xdr:nvGraphicFramePr>
      <xdr:xfrm>
        <a:off x="5619750" y="1981200"/>
        <a:ext cx="3429000" cy="1952625"/>
      </xdr:xfrm>
      <a:graphic>
        <a:graphicData uri="http://schemas.openxmlformats.org/drawingml/2006/chart">
          <c:chart xmlns:c="http://schemas.openxmlformats.org/drawingml/2006/chart" r:id="rId34"/>
        </a:graphicData>
      </a:graphic>
    </xdr:graphicFrame>
    <xdr:clientData/>
  </xdr:twoCellAnchor>
  <xdr:twoCellAnchor>
    <xdr:from>
      <xdr:col>13</xdr:col>
      <xdr:colOff>400050</xdr:colOff>
      <xdr:row>54</xdr:row>
      <xdr:rowOff>123825</xdr:rowOff>
    </xdr:from>
    <xdr:to>
      <xdr:col>17</xdr:col>
      <xdr:colOff>752475</xdr:colOff>
      <xdr:row>66</xdr:row>
      <xdr:rowOff>104775</xdr:rowOff>
    </xdr:to>
    <xdr:graphicFrame>
      <xdr:nvGraphicFramePr>
        <xdr:cNvPr id="63" name="Chart 254"/>
        <xdr:cNvGraphicFramePr/>
      </xdr:nvGraphicFramePr>
      <xdr:xfrm>
        <a:off x="10306050" y="10810875"/>
        <a:ext cx="3400425" cy="1924050"/>
      </xdr:xfrm>
      <a:graphic>
        <a:graphicData uri="http://schemas.openxmlformats.org/drawingml/2006/chart">
          <c:chart xmlns:c="http://schemas.openxmlformats.org/drawingml/2006/chart" r:id="rId35"/>
        </a:graphicData>
      </a:graphic>
    </xdr:graphicFrame>
    <xdr:clientData/>
  </xdr:twoCellAnchor>
  <xdr:oneCellAnchor>
    <xdr:from>
      <xdr:col>17</xdr:col>
      <xdr:colOff>161925</xdr:colOff>
      <xdr:row>55</xdr:row>
      <xdr:rowOff>95250</xdr:rowOff>
    </xdr:from>
    <xdr:ext cx="457200" cy="219075"/>
    <xdr:sp textlink="$V$288">
      <xdr:nvSpPr>
        <xdr:cNvPr id="64" name="TextBox 255"/>
        <xdr:cNvSpPr txBox="1">
          <a:spLocks noChangeArrowheads="1"/>
        </xdr:cNvSpPr>
      </xdr:nvSpPr>
      <xdr:spPr>
        <a:xfrm>
          <a:off x="13115925" y="10944225"/>
          <a:ext cx="457200" cy="219075"/>
        </a:xfrm>
        <a:prstGeom prst="rect">
          <a:avLst/>
        </a:prstGeom>
        <a:noFill/>
        <a:ln w="9525" cmpd="sng">
          <a:noFill/>
        </a:ln>
      </xdr:spPr>
      <xdr:txBody>
        <a:bodyPr vertOverflow="clip" wrap="square"/>
        <a:p>
          <a:pPr algn="l">
            <a:defRPr/>
          </a:pPr>
          <a:fld id="{bee1ab08-0199-4ff8-992b-98b5af9940f6}" type="TxLink">
            <a:rPr lang="en-US" cap="none" sz="1000" b="0" i="0" u="none" baseline="0">
              <a:solidFill>
                <a:srgbClr val="008000"/>
              </a:solidFill>
              <a:latin typeface="Arial"/>
              <a:ea typeface="Arial"/>
              <a:cs typeface="Arial"/>
            </a:rPr>
            <a:t>0.08</a:t>
          </a:fld>
        </a:p>
      </xdr:txBody>
    </xdr:sp>
    <xdr:clientData/>
  </xdr:oneCellAnchor>
  <xdr:twoCellAnchor>
    <xdr:from>
      <xdr:col>18</xdr:col>
      <xdr:colOff>19050</xdr:colOff>
      <xdr:row>42</xdr:row>
      <xdr:rowOff>123825</xdr:rowOff>
    </xdr:from>
    <xdr:to>
      <xdr:col>22</xdr:col>
      <xdr:colOff>381000</xdr:colOff>
      <xdr:row>54</xdr:row>
      <xdr:rowOff>104775</xdr:rowOff>
    </xdr:to>
    <xdr:graphicFrame>
      <xdr:nvGraphicFramePr>
        <xdr:cNvPr id="65" name="Chart 258"/>
        <xdr:cNvGraphicFramePr/>
      </xdr:nvGraphicFramePr>
      <xdr:xfrm>
        <a:off x="13735050" y="8867775"/>
        <a:ext cx="3409950" cy="1924050"/>
      </xdr:xfrm>
      <a:graphic>
        <a:graphicData uri="http://schemas.openxmlformats.org/drawingml/2006/chart">
          <c:chart xmlns:c="http://schemas.openxmlformats.org/drawingml/2006/chart" r:id="rId36"/>
        </a:graphicData>
      </a:graphic>
    </xdr:graphicFrame>
    <xdr:clientData/>
  </xdr:twoCellAnchor>
  <xdr:oneCellAnchor>
    <xdr:from>
      <xdr:col>33</xdr:col>
      <xdr:colOff>276225</xdr:colOff>
      <xdr:row>85</xdr:row>
      <xdr:rowOff>104775</xdr:rowOff>
    </xdr:from>
    <xdr:ext cx="1333500" cy="228600"/>
    <xdr:sp>
      <xdr:nvSpPr>
        <xdr:cNvPr id="66" name="TextBox 259"/>
        <xdr:cNvSpPr txBox="1">
          <a:spLocks noChangeArrowheads="1"/>
        </xdr:cNvSpPr>
      </xdr:nvSpPr>
      <xdr:spPr>
        <a:xfrm>
          <a:off x="25422225" y="15811500"/>
          <a:ext cx="1333500"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Development Cost</a:t>
          </a:r>
        </a:p>
      </xdr:txBody>
    </xdr:sp>
    <xdr:clientData/>
  </xdr:oneCellAnchor>
  <xdr:oneCellAnchor>
    <xdr:from>
      <xdr:col>21</xdr:col>
      <xdr:colOff>542925</xdr:colOff>
      <xdr:row>43</xdr:row>
      <xdr:rowOff>66675</xdr:rowOff>
    </xdr:from>
    <xdr:ext cx="466725" cy="219075"/>
    <xdr:sp textlink="$V$289">
      <xdr:nvSpPr>
        <xdr:cNvPr id="67" name="TextBox 260"/>
        <xdr:cNvSpPr txBox="1">
          <a:spLocks noChangeArrowheads="1"/>
        </xdr:cNvSpPr>
      </xdr:nvSpPr>
      <xdr:spPr>
        <a:xfrm>
          <a:off x="16544925" y="8972550"/>
          <a:ext cx="466725" cy="219075"/>
        </a:xfrm>
        <a:prstGeom prst="rect">
          <a:avLst/>
        </a:prstGeom>
        <a:noFill/>
        <a:ln w="9525" cmpd="sng">
          <a:noFill/>
        </a:ln>
      </xdr:spPr>
      <xdr:txBody>
        <a:bodyPr vertOverflow="clip" wrap="square"/>
        <a:p>
          <a:pPr algn="l">
            <a:defRPr/>
          </a:pPr>
          <a:fld id="{5e37e8f6-ec4c-4650-86f5-4404281675a1}" type="TxLink">
            <a:rPr lang="en-US" cap="none" sz="1000" b="0" i="0" u="none" baseline="0">
              <a:solidFill>
                <a:srgbClr val="008080"/>
              </a:solidFill>
              <a:latin typeface="Arial"/>
              <a:ea typeface="Arial"/>
              <a:cs typeface="Arial"/>
            </a:rPr>
            <a:t>0.00</a:t>
          </a:fld>
        </a:p>
      </xdr:txBody>
    </xdr:sp>
    <xdr:clientData/>
  </xdr:oneCellAnchor>
  <xdr:twoCellAnchor>
    <xdr:from>
      <xdr:col>0</xdr:col>
      <xdr:colOff>19050</xdr:colOff>
      <xdr:row>172</xdr:row>
      <xdr:rowOff>152400</xdr:rowOff>
    </xdr:from>
    <xdr:to>
      <xdr:col>40</xdr:col>
      <xdr:colOff>257175</xdr:colOff>
      <xdr:row>172</xdr:row>
      <xdr:rowOff>152400</xdr:rowOff>
    </xdr:to>
    <xdr:sp>
      <xdr:nvSpPr>
        <xdr:cNvPr id="68" name="Line 262"/>
        <xdr:cNvSpPr>
          <a:spLocks/>
        </xdr:cNvSpPr>
      </xdr:nvSpPr>
      <xdr:spPr>
        <a:xfrm>
          <a:off x="19050" y="29946600"/>
          <a:ext cx="30718125" cy="0"/>
        </a:xfrm>
        <a:prstGeom prst="line">
          <a:avLst/>
        </a:prstGeom>
        <a:noFill/>
        <a:ln w="5715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111</xdr:row>
      <xdr:rowOff>28575</xdr:rowOff>
    </xdr:from>
    <xdr:to>
      <xdr:col>13</xdr:col>
      <xdr:colOff>390525</xdr:colOff>
      <xdr:row>123</xdr:row>
      <xdr:rowOff>28575</xdr:rowOff>
    </xdr:to>
    <xdr:graphicFrame>
      <xdr:nvGraphicFramePr>
        <xdr:cNvPr id="69" name="Chart 263"/>
        <xdr:cNvGraphicFramePr/>
      </xdr:nvGraphicFramePr>
      <xdr:xfrm>
        <a:off x="6877050" y="19945350"/>
        <a:ext cx="3419475" cy="1943100"/>
      </xdr:xfrm>
      <a:graphic>
        <a:graphicData uri="http://schemas.openxmlformats.org/drawingml/2006/chart">
          <c:chart xmlns:c="http://schemas.openxmlformats.org/drawingml/2006/chart" r:id="rId37"/>
        </a:graphicData>
      </a:graphic>
    </xdr:graphicFrame>
    <xdr:clientData/>
  </xdr:twoCellAnchor>
  <xdr:twoCellAnchor>
    <xdr:from>
      <xdr:col>27</xdr:col>
      <xdr:colOff>95250</xdr:colOff>
      <xdr:row>111</xdr:row>
      <xdr:rowOff>28575</xdr:rowOff>
    </xdr:from>
    <xdr:to>
      <xdr:col>31</xdr:col>
      <xdr:colOff>504825</xdr:colOff>
      <xdr:row>123</xdr:row>
      <xdr:rowOff>28575</xdr:rowOff>
    </xdr:to>
    <xdr:graphicFrame>
      <xdr:nvGraphicFramePr>
        <xdr:cNvPr id="70" name="Chart 265"/>
        <xdr:cNvGraphicFramePr/>
      </xdr:nvGraphicFramePr>
      <xdr:xfrm>
        <a:off x="20669250" y="19945350"/>
        <a:ext cx="3457575" cy="1943100"/>
      </xdr:xfrm>
      <a:graphic>
        <a:graphicData uri="http://schemas.openxmlformats.org/drawingml/2006/chart">
          <c:chart xmlns:c="http://schemas.openxmlformats.org/drawingml/2006/chart" r:id="rId38"/>
        </a:graphicData>
      </a:graphic>
    </xdr:graphicFrame>
    <xdr:clientData/>
  </xdr:twoCellAnchor>
  <xdr:twoCellAnchor>
    <xdr:from>
      <xdr:col>8</xdr:col>
      <xdr:colOff>647700</xdr:colOff>
      <xdr:row>35</xdr:row>
      <xdr:rowOff>657225</xdr:rowOff>
    </xdr:from>
    <xdr:to>
      <xdr:col>9</xdr:col>
      <xdr:colOff>476250</xdr:colOff>
      <xdr:row>35</xdr:row>
      <xdr:rowOff>847725</xdr:rowOff>
    </xdr:to>
    <xdr:sp fLocksText="0" textlink="Concept!B60">
      <xdr:nvSpPr>
        <xdr:cNvPr id="71" name="TextBox 268"/>
        <xdr:cNvSpPr txBox="1">
          <a:spLocks noChangeArrowheads="1"/>
        </xdr:cNvSpPr>
      </xdr:nvSpPr>
      <xdr:spPr>
        <a:xfrm>
          <a:off x="6743700" y="6448425"/>
          <a:ext cx="5905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a42e3b02-392d-4cc0-9779-e2347a9e84f7}" type="TxLink">
            <a:rPr lang="en-US" cap="none" sz="1000" b="0" i="0" u="none" baseline="0">
              <a:latin typeface="Arial"/>
              <a:ea typeface="Arial"/>
              <a:cs typeface="Arial"/>
            </a:rPr>
            <a:t>9</a:t>
          </a:fld>
        </a:p>
      </xdr:txBody>
    </xdr:sp>
    <xdr:clientData/>
  </xdr:twoCellAnchor>
  <xdr:oneCellAnchor>
    <xdr:from>
      <xdr:col>7</xdr:col>
      <xdr:colOff>295275</xdr:colOff>
      <xdr:row>35</xdr:row>
      <xdr:rowOff>180975</xdr:rowOff>
    </xdr:from>
    <xdr:ext cx="1200150" cy="200025"/>
    <xdr:sp>
      <xdr:nvSpPr>
        <xdr:cNvPr id="72" name="TextBox 274"/>
        <xdr:cNvSpPr txBox="1">
          <a:spLocks noChangeArrowheads="1"/>
        </xdr:cNvSpPr>
      </xdr:nvSpPr>
      <xdr:spPr>
        <a:xfrm>
          <a:off x="5629275" y="5972175"/>
          <a:ext cx="120015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Scoring Summary:</a:t>
          </a:r>
        </a:p>
      </xdr:txBody>
    </xdr:sp>
    <xdr:clientData/>
  </xdr:oneCellAnchor>
  <xdr:oneCellAnchor>
    <xdr:from>
      <xdr:col>7</xdr:col>
      <xdr:colOff>342900</xdr:colOff>
      <xdr:row>35</xdr:row>
      <xdr:rowOff>657225</xdr:rowOff>
    </xdr:from>
    <xdr:ext cx="1123950" cy="200025"/>
    <xdr:sp>
      <xdr:nvSpPr>
        <xdr:cNvPr id="73" name="TextBox 275"/>
        <xdr:cNvSpPr txBox="1">
          <a:spLocks noChangeArrowheads="1"/>
        </xdr:cNvSpPr>
      </xdr:nvSpPr>
      <xdr:spPr>
        <a:xfrm>
          <a:off x="5676900" y="6448425"/>
          <a:ext cx="11239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Distributions Used:</a:t>
          </a:r>
        </a:p>
      </xdr:txBody>
    </xdr:sp>
    <xdr:clientData/>
  </xdr:oneCellAnchor>
  <xdr:twoCellAnchor>
    <xdr:from>
      <xdr:col>8</xdr:col>
      <xdr:colOff>647700</xdr:colOff>
      <xdr:row>35</xdr:row>
      <xdr:rowOff>1133475</xdr:rowOff>
    </xdr:from>
    <xdr:to>
      <xdr:col>9</xdr:col>
      <xdr:colOff>180975</xdr:colOff>
      <xdr:row>35</xdr:row>
      <xdr:rowOff>1314450</xdr:rowOff>
    </xdr:to>
    <xdr:sp fLocksText="0" textlink="Concept!K180">
      <xdr:nvSpPr>
        <xdr:cNvPr id="74" name="TextBox 276"/>
        <xdr:cNvSpPr txBox="1">
          <a:spLocks noChangeArrowheads="1"/>
        </xdr:cNvSpPr>
      </xdr:nvSpPr>
      <xdr:spPr>
        <a:xfrm>
          <a:off x="6743700" y="6924675"/>
          <a:ext cx="29527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2994e56c-ed18-43b8-ac59-ebe925af92ee}" type="TxLink">
            <a:rPr lang="en-US" cap="none" sz="1000" b="0" i="0" u="none" baseline="0">
              <a:latin typeface="Arial"/>
              <a:ea typeface="Arial"/>
              <a:cs typeface="Arial"/>
            </a:rPr>
            <a:t>12</a:t>
          </a:fld>
        </a:p>
      </xdr:txBody>
    </xdr:sp>
    <xdr:clientData/>
  </xdr:twoCellAnchor>
  <xdr:twoCellAnchor>
    <xdr:from>
      <xdr:col>9</xdr:col>
      <xdr:colOff>190500</xdr:colOff>
      <xdr:row>35</xdr:row>
      <xdr:rowOff>1133475</xdr:rowOff>
    </xdr:from>
    <xdr:to>
      <xdr:col>9</xdr:col>
      <xdr:colOff>476250</xdr:colOff>
      <xdr:row>35</xdr:row>
      <xdr:rowOff>1304925</xdr:rowOff>
    </xdr:to>
    <xdr:sp fLocksText="0" textlink="Concept!L180">
      <xdr:nvSpPr>
        <xdr:cNvPr id="75" name="TextBox 277"/>
        <xdr:cNvSpPr txBox="1">
          <a:spLocks noChangeArrowheads="1"/>
        </xdr:cNvSpPr>
      </xdr:nvSpPr>
      <xdr:spPr>
        <a:xfrm>
          <a:off x="7048500" y="6924675"/>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a84ee096-11ff-486f-be33-f9dbdfd68b25}" type="TxLink">
            <a:rPr lang="en-US" cap="none" sz="1000" b="0" i="0" u="none" baseline="0">
              <a:latin typeface="Arial"/>
              <a:ea typeface="Arial"/>
              <a:cs typeface="Arial"/>
            </a:rPr>
            <a:t>12</a:t>
          </a:fld>
        </a:p>
      </xdr:txBody>
    </xdr:sp>
    <xdr:clientData/>
  </xdr:twoCellAnchor>
  <xdr:twoCellAnchor>
    <xdr:from>
      <xdr:col>9</xdr:col>
      <xdr:colOff>485775</xdr:colOff>
      <xdr:row>35</xdr:row>
      <xdr:rowOff>1133475</xdr:rowOff>
    </xdr:from>
    <xdr:to>
      <xdr:col>10</xdr:col>
      <xdr:colOff>9525</xdr:colOff>
      <xdr:row>35</xdr:row>
      <xdr:rowOff>1314450</xdr:rowOff>
    </xdr:to>
    <xdr:sp fLocksText="0" textlink="Concept!M180">
      <xdr:nvSpPr>
        <xdr:cNvPr id="76" name="TextBox 278"/>
        <xdr:cNvSpPr txBox="1">
          <a:spLocks noChangeArrowheads="1"/>
        </xdr:cNvSpPr>
      </xdr:nvSpPr>
      <xdr:spPr>
        <a:xfrm>
          <a:off x="7343775" y="6924675"/>
          <a:ext cx="2857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7eb6f6cf-8048-43e3-9118-3a4aa4e86a22}" type="TxLink">
            <a:rPr lang="en-US" cap="none" sz="1000" b="0" i="0" u="none" baseline="0">
              <a:latin typeface="Arial"/>
              <a:ea typeface="Arial"/>
              <a:cs typeface="Arial"/>
            </a:rPr>
            <a:t>2</a:t>
          </a:fld>
        </a:p>
      </xdr:txBody>
    </xdr:sp>
    <xdr:clientData/>
  </xdr:twoCellAnchor>
  <xdr:twoCellAnchor>
    <xdr:from>
      <xdr:col>10</xdr:col>
      <xdr:colOff>19050</xdr:colOff>
      <xdr:row>35</xdr:row>
      <xdr:rowOff>1133475</xdr:rowOff>
    </xdr:from>
    <xdr:to>
      <xdr:col>10</xdr:col>
      <xdr:colOff>314325</xdr:colOff>
      <xdr:row>35</xdr:row>
      <xdr:rowOff>1304925</xdr:rowOff>
    </xdr:to>
    <xdr:sp fLocksText="0" textlink="Concept!N180">
      <xdr:nvSpPr>
        <xdr:cNvPr id="77" name="TextBox 279"/>
        <xdr:cNvSpPr txBox="1">
          <a:spLocks noChangeArrowheads="1"/>
        </xdr:cNvSpPr>
      </xdr:nvSpPr>
      <xdr:spPr>
        <a:xfrm>
          <a:off x="7639050" y="6924675"/>
          <a:ext cx="2952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5e97f4db-dc9e-446b-913c-276d1bd6fa76}" type="TxLink">
            <a:rPr lang="en-US" cap="none" sz="1000" b="0" i="0" u="none" baseline="0">
              <a:latin typeface="Arial"/>
              <a:ea typeface="Arial"/>
              <a:cs typeface="Arial"/>
            </a:rPr>
            <a:t>0</a:t>
          </a:fld>
        </a:p>
      </xdr:txBody>
    </xdr:sp>
    <xdr:clientData/>
  </xdr:twoCellAnchor>
  <xdr:twoCellAnchor>
    <xdr:from>
      <xdr:col>10</xdr:col>
      <xdr:colOff>323850</xdr:colOff>
      <xdr:row>35</xdr:row>
      <xdr:rowOff>1133475</xdr:rowOff>
    </xdr:from>
    <xdr:to>
      <xdr:col>10</xdr:col>
      <xdr:colOff>609600</xdr:colOff>
      <xdr:row>35</xdr:row>
      <xdr:rowOff>1304925</xdr:rowOff>
    </xdr:to>
    <xdr:sp fLocksText="0" textlink="Concept!O180">
      <xdr:nvSpPr>
        <xdr:cNvPr id="78" name="TextBox 280"/>
        <xdr:cNvSpPr txBox="1">
          <a:spLocks noChangeArrowheads="1"/>
        </xdr:cNvSpPr>
      </xdr:nvSpPr>
      <xdr:spPr>
        <a:xfrm>
          <a:off x="7943850" y="6924675"/>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5c1919f6-b2e8-4a0d-9f79-16a51b9acec7}" type="TxLink">
            <a:rPr lang="en-US" cap="none" sz="1000" b="0" i="0" u="none" baseline="0">
              <a:latin typeface="Arial"/>
              <a:ea typeface="Arial"/>
              <a:cs typeface="Arial"/>
            </a:rPr>
            <a:t>0</a:t>
          </a:fld>
        </a:p>
      </xdr:txBody>
    </xdr:sp>
    <xdr:clientData/>
  </xdr:twoCellAnchor>
  <xdr:twoCellAnchor>
    <xdr:from>
      <xdr:col>10</xdr:col>
      <xdr:colOff>619125</xdr:colOff>
      <xdr:row>35</xdr:row>
      <xdr:rowOff>1133475</xdr:rowOff>
    </xdr:from>
    <xdr:to>
      <xdr:col>11</xdr:col>
      <xdr:colOff>142875</xdr:colOff>
      <xdr:row>35</xdr:row>
      <xdr:rowOff>1314450</xdr:rowOff>
    </xdr:to>
    <xdr:sp fLocksText="0" textlink="Concept!P180">
      <xdr:nvSpPr>
        <xdr:cNvPr id="79" name="TextBox 281"/>
        <xdr:cNvSpPr txBox="1">
          <a:spLocks noChangeArrowheads="1"/>
        </xdr:cNvSpPr>
      </xdr:nvSpPr>
      <xdr:spPr>
        <a:xfrm>
          <a:off x="8239125" y="6924675"/>
          <a:ext cx="2857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62345f7a-f3db-4034-9cf8-2c63a2e8112a}" type="TxLink">
            <a:rPr lang="en-US" cap="none" sz="1000" b="0" i="0" u="none" baseline="0">
              <a:latin typeface="Arial"/>
              <a:ea typeface="Arial"/>
              <a:cs typeface="Arial"/>
            </a:rPr>
            <a:t>0</a:t>
          </a:fld>
        </a:p>
      </xdr:txBody>
    </xdr:sp>
    <xdr:clientData/>
  </xdr:twoCellAnchor>
  <xdr:twoCellAnchor>
    <xdr:from>
      <xdr:col>11</xdr:col>
      <xdr:colOff>152400</xdr:colOff>
      <xdr:row>35</xdr:row>
      <xdr:rowOff>1133475</xdr:rowOff>
    </xdr:from>
    <xdr:to>
      <xdr:col>11</xdr:col>
      <xdr:colOff>438150</xdr:colOff>
      <xdr:row>35</xdr:row>
      <xdr:rowOff>1304925</xdr:rowOff>
    </xdr:to>
    <xdr:sp fLocksText="0" textlink="Concept!Q180">
      <xdr:nvSpPr>
        <xdr:cNvPr id="80" name="TextBox 282"/>
        <xdr:cNvSpPr txBox="1">
          <a:spLocks noChangeArrowheads="1"/>
        </xdr:cNvSpPr>
      </xdr:nvSpPr>
      <xdr:spPr>
        <a:xfrm>
          <a:off x="8534400" y="6924675"/>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6cb3a41f-68bc-4ca3-bbe7-159aaace862e}" type="TxLink">
            <a:rPr lang="en-US" cap="none" sz="1000" b="0" i="0" u="none" baseline="0">
              <a:latin typeface="Arial"/>
              <a:ea typeface="Arial"/>
              <a:cs typeface="Arial"/>
            </a:rPr>
            <a:t>0</a:t>
          </a:fld>
        </a:p>
      </xdr:txBody>
    </xdr:sp>
    <xdr:clientData/>
  </xdr:twoCellAnchor>
  <xdr:oneCellAnchor>
    <xdr:from>
      <xdr:col>7</xdr:col>
      <xdr:colOff>295275</xdr:colOff>
      <xdr:row>35</xdr:row>
      <xdr:rowOff>1143000</xdr:rowOff>
    </xdr:from>
    <xdr:ext cx="1162050" cy="200025"/>
    <xdr:sp>
      <xdr:nvSpPr>
        <xdr:cNvPr id="81" name="TextBox 283"/>
        <xdr:cNvSpPr txBox="1">
          <a:spLocks noChangeArrowheads="1"/>
        </xdr:cNvSpPr>
      </xdr:nvSpPr>
      <xdr:spPr>
        <a:xfrm>
          <a:off x="5629275" y="6934200"/>
          <a:ext cx="11620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Distribution Widths:</a:t>
          </a:r>
        </a:p>
      </xdr:txBody>
    </xdr:sp>
    <xdr:clientData/>
  </xdr:oneCellAnchor>
  <xdr:twoCellAnchor>
    <xdr:from>
      <xdr:col>8</xdr:col>
      <xdr:colOff>647700</xdr:colOff>
      <xdr:row>35</xdr:row>
      <xdr:rowOff>1619250</xdr:rowOff>
    </xdr:from>
    <xdr:to>
      <xdr:col>9</xdr:col>
      <xdr:colOff>180975</xdr:colOff>
      <xdr:row>35</xdr:row>
      <xdr:rowOff>1800225</xdr:rowOff>
    </xdr:to>
    <xdr:sp fLocksText="0" textlink="Concept!D180">
      <xdr:nvSpPr>
        <xdr:cNvPr id="82" name="TextBox 284"/>
        <xdr:cNvSpPr txBox="1">
          <a:spLocks noChangeArrowheads="1"/>
        </xdr:cNvSpPr>
      </xdr:nvSpPr>
      <xdr:spPr>
        <a:xfrm>
          <a:off x="6743700" y="7410450"/>
          <a:ext cx="29527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65dc809b-5efd-4d1d-953d-81dbaa3c7f39}" type="TxLink">
            <a:rPr lang="en-US" cap="none" sz="1000" b="0" i="0" u="none" baseline="0">
              <a:latin typeface="Arial"/>
              <a:ea typeface="Arial"/>
              <a:cs typeface="Arial"/>
            </a:rPr>
            <a:t>0</a:t>
          </a:fld>
        </a:p>
      </xdr:txBody>
    </xdr:sp>
    <xdr:clientData/>
  </xdr:twoCellAnchor>
  <xdr:twoCellAnchor>
    <xdr:from>
      <xdr:col>9</xdr:col>
      <xdr:colOff>190500</xdr:colOff>
      <xdr:row>35</xdr:row>
      <xdr:rowOff>1619250</xdr:rowOff>
    </xdr:from>
    <xdr:to>
      <xdr:col>9</xdr:col>
      <xdr:colOff>476250</xdr:colOff>
      <xdr:row>35</xdr:row>
      <xdr:rowOff>1800225</xdr:rowOff>
    </xdr:to>
    <xdr:sp fLocksText="0" textlink="Concept!E180">
      <xdr:nvSpPr>
        <xdr:cNvPr id="83" name="TextBox 285"/>
        <xdr:cNvSpPr txBox="1">
          <a:spLocks noChangeArrowheads="1"/>
        </xdr:cNvSpPr>
      </xdr:nvSpPr>
      <xdr:spPr>
        <a:xfrm>
          <a:off x="7048500" y="7410450"/>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730745a9-e204-4a30-9f3b-0caf1a169216}" type="TxLink">
            <a:rPr lang="en-US" cap="none" sz="1000" b="0" i="0" u="none" baseline="0">
              <a:latin typeface="Arial"/>
              <a:ea typeface="Arial"/>
              <a:cs typeface="Arial"/>
            </a:rPr>
            <a:t>0</a:t>
          </a:fld>
        </a:p>
      </xdr:txBody>
    </xdr:sp>
    <xdr:clientData/>
  </xdr:twoCellAnchor>
  <xdr:twoCellAnchor>
    <xdr:from>
      <xdr:col>9</xdr:col>
      <xdr:colOff>485775</xdr:colOff>
      <xdr:row>35</xdr:row>
      <xdr:rowOff>1619250</xdr:rowOff>
    </xdr:from>
    <xdr:to>
      <xdr:col>10</xdr:col>
      <xdr:colOff>9525</xdr:colOff>
      <xdr:row>35</xdr:row>
      <xdr:rowOff>1800225</xdr:rowOff>
    </xdr:to>
    <xdr:sp fLocksText="0" textlink="Concept!F180">
      <xdr:nvSpPr>
        <xdr:cNvPr id="84" name="TextBox 286"/>
        <xdr:cNvSpPr txBox="1">
          <a:spLocks noChangeArrowheads="1"/>
        </xdr:cNvSpPr>
      </xdr:nvSpPr>
      <xdr:spPr>
        <a:xfrm>
          <a:off x="7343775" y="7410450"/>
          <a:ext cx="2857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21515e5e-9b7d-456e-a4cd-e314644b64b0}" type="TxLink">
            <a:rPr lang="en-US" cap="none" sz="1000" b="0" i="0" u="none" baseline="0">
              <a:latin typeface="Arial"/>
              <a:ea typeface="Arial"/>
              <a:cs typeface="Arial"/>
            </a:rPr>
            <a:t>4</a:t>
          </a:fld>
        </a:p>
      </xdr:txBody>
    </xdr:sp>
    <xdr:clientData/>
  </xdr:twoCellAnchor>
  <xdr:twoCellAnchor>
    <xdr:from>
      <xdr:col>10</xdr:col>
      <xdr:colOff>19050</xdr:colOff>
      <xdr:row>35</xdr:row>
      <xdr:rowOff>1619250</xdr:rowOff>
    </xdr:from>
    <xdr:to>
      <xdr:col>10</xdr:col>
      <xdr:colOff>314325</xdr:colOff>
      <xdr:row>35</xdr:row>
      <xdr:rowOff>1800225</xdr:rowOff>
    </xdr:to>
    <xdr:sp fLocksText="0" textlink="Concept!G180">
      <xdr:nvSpPr>
        <xdr:cNvPr id="85" name="TextBox 287"/>
        <xdr:cNvSpPr txBox="1">
          <a:spLocks noChangeArrowheads="1"/>
        </xdr:cNvSpPr>
      </xdr:nvSpPr>
      <xdr:spPr>
        <a:xfrm>
          <a:off x="7639050" y="7410450"/>
          <a:ext cx="295275"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b5dc6195-887a-4ec4-b272-15d92c2989d0}" type="TxLink">
            <a:rPr lang="en-US" cap="none" sz="1000" b="0" i="0" u="none" baseline="0">
              <a:latin typeface="Arial"/>
              <a:ea typeface="Arial"/>
              <a:cs typeface="Arial"/>
            </a:rPr>
            <a:t>6</a:t>
          </a:fld>
        </a:p>
      </xdr:txBody>
    </xdr:sp>
    <xdr:clientData/>
  </xdr:twoCellAnchor>
  <xdr:twoCellAnchor>
    <xdr:from>
      <xdr:col>10</xdr:col>
      <xdr:colOff>323850</xdr:colOff>
      <xdr:row>35</xdr:row>
      <xdr:rowOff>1619250</xdr:rowOff>
    </xdr:from>
    <xdr:to>
      <xdr:col>10</xdr:col>
      <xdr:colOff>609600</xdr:colOff>
      <xdr:row>35</xdr:row>
      <xdr:rowOff>1800225</xdr:rowOff>
    </xdr:to>
    <xdr:sp fLocksText="0" textlink="Concept!H180">
      <xdr:nvSpPr>
        <xdr:cNvPr id="86" name="TextBox 288"/>
        <xdr:cNvSpPr txBox="1">
          <a:spLocks noChangeArrowheads="1"/>
        </xdr:cNvSpPr>
      </xdr:nvSpPr>
      <xdr:spPr>
        <a:xfrm>
          <a:off x="7943850" y="7410450"/>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a7db6df9-d7a2-4188-9d64-9a7ac2462eb7}" type="TxLink">
            <a:rPr lang="en-US" cap="none" sz="1000" b="0" i="0" u="none" baseline="0">
              <a:latin typeface="Arial"/>
              <a:ea typeface="Arial"/>
              <a:cs typeface="Arial"/>
            </a:rPr>
            <a:t>13</a:t>
          </a:fld>
        </a:p>
      </xdr:txBody>
    </xdr:sp>
    <xdr:clientData/>
  </xdr:twoCellAnchor>
  <xdr:twoCellAnchor>
    <xdr:from>
      <xdr:col>10</xdr:col>
      <xdr:colOff>619125</xdr:colOff>
      <xdr:row>35</xdr:row>
      <xdr:rowOff>1619250</xdr:rowOff>
    </xdr:from>
    <xdr:to>
      <xdr:col>11</xdr:col>
      <xdr:colOff>142875</xdr:colOff>
      <xdr:row>35</xdr:row>
      <xdr:rowOff>1800225</xdr:rowOff>
    </xdr:to>
    <xdr:sp fLocksText="0" textlink="Concept!I180">
      <xdr:nvSpPr>
        <xdr:cNvPr id="87" name="TextBox 289"/>
        <xdr:cNvSpPr txBox="1">
          <a:spLocks noChangeArrowheads="1"/>
        </xdr:cNvSpPr>
      </xdr:nvSpPr>
      <xdr:spPr>
        <a:xfrm>
          <a:off x="8239125" y="7410450"/>
          <a:ext cx="285750"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2d3e1773-50d3-4a32-b800-ad448ab10744}" type="TxLink">
            <a:rPr lang="en-US" cap="none" sz="1000" b="0" i="0" u="none" baseline="0">
              <a:latin typeface="Arial"/>
              <a:ea typeface="Arial"/>
              <a:cs typeface="Arial"/>
            </a:rPr>
            <a:t>12</a:t>
          </a:fld>
        </a:p>
      </xdr:txBody>
    </xdr:sp>
    <xdr:clientData/>
  </xdr:twoCellAnchor>
  <xdr:twoCellAnchor>
    <xdr:from>
      <xdr:col>11</xdr:col>
      <xdr:colOff>152400</xdr:colOff>
      <xdr:row>35</xdr:row>
      <xdr:rowOff>1619250</xdr:rowOff>
    </xdr:from>
    <xdr:to>
      <xdr:col>11</xdr:col>
      <xdr:colOff>438150</xdr:colOff>
      <xdr:row>35</xdr:row>
      <xdr:rowOff>1800225</xdr:rowOff>
    </xdr:to>
    <xdr:sp fLocksText="0" textlink="Concept!J180">
      <xdr:nvSpPr>
        <xdr:cNvPr id="88" name="TextBox 290"/>
        <xdr:cNvSpPr txBox="1">
          <a:spLocks noChangeArrowheads="1"/>
        </xdr:cNvSpPr>
      </xdr:nvSpPr>
      <xdr:spPr>
        <a:xfrm>
          <a:off x="8534400" y="7410450"/>
          <a:ext cx="285750" cy="180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010a9e30-8864-41f7-b82d-eef9230b3971}" type="TxLink">
            <a:rPr lang="en-US" cap="none" sz="1000" b="0" i="0" u="none" baseline="0">
              <a:latin typeface="Arial"/>
              <a:ea typeface="Arial"/>
              <a:cs typeface="Arial"/>
            </a:rPr>
            <a:t>7</a:t>
          </a:fld>
        </a:p>
      </xdr:txBody>
    </xdr:sp>
    <xdr:clientData/>
  </xdr:twoCellAnchor>
  <xdr:oneCellAnchor>
    <xdr:from>
      <xdr:col>7</xdr:col>
      <xdr:colOff>485775</xdr:colOff>
      <xdr:row>35</xdr:row>
      <xdr:rowOff>1628775</xdr:rowOff>
    </xdr:from>
    <xdr:ext cx="971550" cy="200025"/>
    <xdr:sp>
      <xdr:nvSpPr>
        <xdr:cNvPr id="89" name="TextBox 291"/>
        <xdr:cNvSpPr txBox="1">
          <a:spLocks noChangeArrowheads="1"/>
        </xdr:cNvSpPr>
      </xdr:nvSpPr>
      <xdr:spPr>
        <a:xfrm>
          <a:off x="5819775" y="7419975"/>
          <a:ext cx="9715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Locations Used:</a:t>
          </a:r>
        </a:p>
      </xdr:txBody>
    </xdr:sp>
    <xdr:clientData/>
  </xdr:oneCellAnchor>
  <xdr:oneCellAnchor>
    <xdr:from>
      <xdr:col>8</xdr:col>
      <xdr:colOff>723900</xdr:colOff>
      <xdr:row>35</xdr:row>
      <xdr:rowOff>990600</xdr:rowOff>
    </xdr:from>
    <xdr:ext cx="142875" cy="190500"/>
    <xdr:sp>
      <xdr:nvSpPr>
        <xdr:cNvPr id="90" name="TextBox 293"/>
        <xdr:cNvSpPr txBox="1">
          <a:spLocks noChangeArrowheads="1"/>
        </xdr:cNvSpPr>
      </xdr:nvSpPr>
      <xdr:spPr>
        <a:xfrm>
          <a:off x="68199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1</a:t>
          </a:r>
        </a:p>
      </xdr:txBody>
    </xdr:sp>
    <xdr:clientData/>
  </xdr:oneCellAnchor>
  <xdr:oneCellAnchor>
    <xdr:from>
      <xdr:col>9</xdr:col>
      <xdr:colOff>276225</xdr:colOff>
      <xdr:row>35</xdr:row>
      <xdr:rowOff>990600</xdr:rowOff>
    </xdr:from>
    <xdr:ext cx="142875" cy="190500"/>
    <xdr:sp>
      <xdr:nvSpPr>
        <xdr:cNvPr id="91" name="TextBox 295"/>
        <xdr:cNvSpPr txBox="1">
          <a:spLocks noChangeArrowheads="1"/>
        </xdr:cNvSpPr>
      </xdr:nvSpPr>
      <xdr:spPr>
        <a:xfrm>
          <a:off x="7134225"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2</a:t>
          </a:r>
        </a:p>
      </xdr:txBody>
    </xdr:sp>
    <xdr:clientData/>
  </xdr:oneCellAnchor>
  <xdr:oneCellAnchor>
    <xdr:from>
      <xdr:col>9</xdr:col>
      <xdr:colOff>571500</xdr:colOff>
      <xdr:row>35</xdr:row>
      <xdr:rowOff>990600</xdr:rowOff>
    </xdr:from>
    <xdr:ext cx="142875" cy="190500"/>
    <xdr:sp>
      <xdr:nvSpPr>
        <xdr:cNvPr id="92" name="TextBox 296"/>
        <xdr:cNvSpPr txBox="1">
          <a:spLocks noChangeArrowheads="1"/>
        </xdr:cNvSpPr>
      </xdr:nvSpPr>
      <xdr:spPr>
        <a:xfrm>
          <a:off x="74295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3</a:t>
          </a:r>
        </a:p>
      </xdr:txBody>
    </xdr:sp>
    <xdr:clientData/>
  </xdr:oneCellAnchor>
  <xdr:oneCellAnchor>
    <xdr:from>
      <xdr:col>10</xdr:col>
      <xdr:colOff>104775</xdr:colOff>
      <xdr:row>35</xdr:row>
      <xdr:rowOff>990600</xdr:rowOff>
    </xdr:from>
    <xdr:ext cx="142875" cy="190500"/>
    <xdr:sp>
      <xdr:nvSpPr>
        <xdr:cNvPr id="93" name="TextBox 297"/>
        <xdr:cNvSpPr txBox="1">
          <a:spLocks noChangeArrowheads="1"/>
        </xdr:cNvSpPr>
      </xdr:nvSpPr>
      <xdr:spPr>
        <a:xfrm>
          <a:off x="7724775"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4</a:t>
          </a:r>
        </a:p>
      </xdr:txBody>
    </xdr:sp>
    <xdr:clientData/>
  </xdr:oneCellAnchor>
  <xdr:oneCellAnchor>
    <xdr:from>
      <xdr:col>10</xdr:col>
      <xdr:colOff>419100</xdr:colOff>
      <xdr:row>35</xdr:row>
      <xdr:rowOff>990600</xdr:rowOff>
    </xdr:from>
    <xdr:ext cx="142875" cy="190500"/>
    <xdr:sp>
      <xdr:nvSpPr>
        <xdr:cNvPr id="94" name="TextBox 298"/>
        <xdr:cNvSpPr txBox="1">
          <a:spLocks noChangeArrowheads="1"/>
        </xdr:cNvSpPr>
      </xdr:nvSpPr>
      <xdr:spPr>
        <a:xfrm>
          <a:off x="80391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5</a:t>
          </a:r>
        </a:p>
      </xdr:txBody>
    </xdr:sp>
    <xdr:clientData/>
  </xdr:oneCellAnchor>
  <xdr:oneCellAnchor>
    <xdr:from>
      <xdr:col>10</xdr:col>
      <xdr:colOff>723900</xdr:colOff>
      <xdr:row>35</xdr:row>
      <xdr:rowOff>990600</xdr:rowOff>
    </xdr:from>
    <xdr:ext cx="142875" cy="190500"/>
    <xdr:sp>
      <xdr:nvSpPr>
        <xdr:cNvPr id="95" name="TextBox 299"/>
        <xdr:cNvSpPr txBox="1">
          <a:spLocks noChangeArrowheads="1"/>
        </xdr:cNvSpPr>
      </xdr:nvSpPr>
      <xdr:spPr>
        <a:xfrm>
          <a:off x="83439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6</a:t>
          </a:r>
        </a:p>
      </xdr:txBody>
    </xdr:sp>
    <xdr:clientData/>
  </xdr:oneCellAnchor>
  <xdr:oneCellAnchor>
    <xdr:from>
      <xdr:col>11</xdr:col>
      <xdr:colOff>228600</xdr:colOff>
      <xdr:row>35</xdr:row>
      <xdr:rowOff>990600</xdr:rowOff>
    </xdr:from>
    <xdr:ext cx="142875" cy="190500"/>
    <xdr:sp>
      <xdr:nvSpPr>
        <xdr:cNvPr id="96" name="TextBox 300"/>
        <xdr:cNvSpPr txBox="1">
          <a:spLocks noChangeArrowheads="1"/>
        </xdr:cNvSpPr>
      </xdr:nvSpPr>
      <xdr:spPr>
        <a:xfrm>
          <a:off x="8610600" y="6781800"/>
          <a:ext cx="1428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7</a:t>
          </a:r>
        </a:p>
      </xdr:txBody>
    </xdr:sp>
    <xdr:clientData/>
  </xdr:oneCellAnchor>
  <xdr:oneCellAnchor>
    <xdr:from>
      <xdr:col>9</xdr:col>
      <xdr:colOff>190500</xdr:colOff>
      <xdr:row>35</xdr:row>
      <xdr:rowOff>1466850</xdr:rowOff>
    </xdr:from>
    <xdr:ext cx="419100" cy="190500"/>
    <xdr:sp>
      <xdr:nvSpPr>
        <xdr:cNvPr id="97" name="TextBox 301"/>
        <xdr:cNvSpPr txBox="1">
          <a:spLocks noChangeArrowheads="1"/>
        </xdr:cNvSpPr>
      </xdr:nvSpPr>
      <xdr:spPr>
        <a:xfrm>
          <a:off x="7048500" y="7258050"/>
          <a:ext cx="4191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Worse</a:t>
          </a:r>
        </a:p>
      </xdr:txBody>
    </xdr:sp>
    <xdr:clientData/>
  </xdr:oneCellAnchor>
  <xdr:oneCellAnchor>
    <xdr:from>
      <xdr:col>10</xdr:col>
      <xdr:colOff>0</xdr:colOff>
      <xdr:row>35</xdr:row>
      <xdr:rowOff>1466850</xdr:rowOff>
    </xdr:from>
    <xdr:ext cx="390525" cy="190500"/>
    <xdr:sp>
      <xdr:nvSpPr>
        <xdr:cNvPr id="98" name="TextBox 302"/>
        <xdr:cNvSpPr txBox="1">
          <a:spLocks noChangeArrowheads="1"/>
        </xdr:cNvSpPr>
      </xdr:nvSpPr>
      <xdr:spPr>
        <a:xfrm>
          <a:off x="7620000" y="7258050"/>
          <a:ext cx="39052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Same</a:t>
          </a:r>
        </a:p>
      </xdr:txBody>
    </xdr:sp>
    <xdr:clientData/>
  </xdr:oneCellAnchor>
  <xdr:oneCellAnchor>
    <xdr:from>
      <xdr:col>10</xdr:col>
      <xdr:colOff>571500</xdr:colOff>
      <xdr:row>35</xdr:row>
      <xdr:rowOff>1466850</xdr:rowOff>
    </xdr:from>
    <xdr:ext cx="381000" cy="190500"/>
    <xdr:sp>
      <xdr:nvSpPr>
        <xdr:cNvPr id="99" name="TextBox 303"/>
        <xdr:cNvSpPr txBox="1">
          <a:spLocks noChangeArrowheads="1"/>
        </xdr:cNvSpPr>
      </xdr:nvSpPr>
      <xdr:spPr>
        <a:xfrm>
          <a:off x="8191500" y="7258050"/>
          <a:ext cx="3810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Better</a:t>
          </a:r>
        </a:p>
      </xdr:txBody>
    </xdr:sp>
    <xdr:clientData/>
  </xdr:oneCellAnchor>
  <xdr:twoCellAnchor>
    <xdr:from>
      <xdr:col>11</xdr:col>
      <xdr:colOff>180975</xdr:colOff>
      <xdr:row>35</xdr:row>
      <xdr:rowOff>1524000</xdr:rowOff>
    </xdr:from>
    <xdr:to>
      <xdr:col>11</xdr:col>
      <xdr:colOff>342900</xdr:colOff>
      <xdr:row>35</xdr:row>
      <xdr:rowOff>1524000</xdr:rowOff>
    </xdr:to>
    <xdr:sp>
      <xdr:nvSpPr>
        <xdr:cNvPr id="100" name="Line 304"/>
        <xdr:cNvSpPr>
          <a:spLocks/>
        </xdr:cNvSpPr>
      </xdr:nvSpPr>
      <xdr:spPr>
        <a:xfrm flipH="1">
          <a:off x="8562975" y="7315200"/>
          <a:ext cx="161925" cy="0"/>
        </a:xfrm>
        <a:prstGeom prst="line">
          <a:avLst/>
        </a:prstGeom>
        <a:noFill/>
        <a:ln w="127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742950</xdr:colOff>
      <xdr:row>35</xdr:row>
      <xdr:rowOff>1524000</xdr:rowOff>
    </xdr:from>
    <xdr:to>
      <xdr:col>9</xdr:col>
      <xdr:colOff>142875</xdr:colOff>
      <xdr:row>35</xdr:row>
      <xdr:rowOff>1524000</xdr:rowOff>
    </xdr:to>
    <xdr:sp>
      <xdr:nvSpPr>
        <xdr:cNvPr id="101" name="Line 305"/>
        <xdr:cNvSpPr>
          <a:spLocks/>
        </xdr:cNvSpPr>
      </xdr:nvSpPr>
      <xdr:spPr>
        <a:xfrm flipH="1">
          <a:off x="6838950" y="7315200"/>
          <a:ext cx="1619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619125</xdr:colOff>
      <xdr:row>35</xdr:row>
      <xdr:rowOff>657225</xdr:rowOff>
    </xdr:from>
    <xdr:to>
      <xdr:col>10</xdr:col>
      <xdr:colOff>438150</xdr:colOff>
      <xdr:row>35</xdr:row>
      <xdr:rowOff>847725</xdr:rowOff>
    </xdr:to>
    <xdr:sp fLocksText="0" textlink="Concept!B61">
      <xdr:nvSpPr>
        <xdr:cNvPr id="102" name="TextBox 306"/>
        <xdr:cNvSpPr txBox="1">
          <a:spLocks noChangeArrowheads="1"/>
        </xdr:cNvSpPr>
      </xdr:nvSpPr>
      <xdr:spPr>
        <a:xfrm>
          <a:off x="7477125" y="6448425"/>
          <a:ext cx="5810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4563f74f-bb88-47b3-b1d9-e7b7cb6e2884}" type="TxLink">
            <a:rPr lang="en-US" cap="none" sz="1000" b="0" i="0" u="none" baseline="0">
              <a:latin typeface="Arial"/>
              <a:ea typeface="Arial"/>
              <a:cs typeface="Arial"/>
            </a:rPr>
            <a:t>17</a:t>
          </a:fld>
        </a:p>
      </xdr:txBody>
    </xdr:sp>
    <xdr:clientData/>
  </xdr:twoCellAnchor>
  <xdr:twoCellAnchor>
    <xdr:from>
      <xdr:col>10</xdr:col>
      <xdr:colOff>619125</xdr:colOff>
      <xdr:row>35</xdr:row>
      <xdr:rowOff>657225</xdr:rowOff>
    </xdr:from>
    <xdr:to>
      <xdr:col>11</xdr:col>
      <xdr:colOff>438150</xdr:colOff>
      <xdr:row>35</xdr:row>
      <xdr:rowOff>847725</xdr:rowOff>
    </xdr:to>
    <xdr:sp fLocksText="0" textlink="Concept!B62">
      <xdr:nvSpPr>
        <xdr:cNvPr id="103" name="TextBox 307"/>
        <xdr:cNvSpPr txBox="1">
          <a:spLocks noChangeArrowheads="1"/>
        </xdr:cNvSpPr>
      </xdr:nvSpPr>
      <xdr:spPr>
        <a:xfrm>
          <a:off x="8239125" y="6448425"/>
          <a:ext cx="5810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fld id="{d36c91a1-5ea4-4df3-b188-54d07b9e12ca}" type="TxLink">
            <a:rPr lang="en-US" cap="none" sz="1000" b="0" i="0" u="none" baseline="0">
              <a:latin typeface="Arial"/>
              <a:ea typeface="Arial"/>
              <a:cs typeface="Arial"/>
            </a:rPr>
            <a:t>0</a:t>
          </a:fld>
        </a:p>
      </xdr:txBody>
    </xdr:sp>
    <xdr:clientData/>
  </xdr:twoCellAnchor>
  <xdr:oneCellAnchor>
    <xdr:from>
      <xdr:col>9</xdr:col>
      <xdr:colOff>38100</xdr:colOff>
      <xdr:row>35</xdr:row>
      <xdr:rowOff>485775</xdr:rowOff>
    </xdr:from>
    <xdr:ext cx="266700" cy="190500"/>
    <xdr:sp>
      <xdr:nvSpPr>
        <xdr:cNvPr id="104" name="TextBox 308"/>
        <xdr:cNvSpPr txBox="1">
          <a:spLocks noChangeArrowheads="1"/>
        </xdr:cNvSpPr>
      </xdr:nvSpPr>
      <xdr:spPr>
        <a:xfrm>
          <a:off x="6896100" y="6276975"/>
          <a:ext cx="2667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Flat</a:t>
          </a:r>
        </a:p>
      </xdr:txBody>
    </xdr:sp>
    <xdr:clientData/>
  </xdr:oneCellAnchor>
  <xdr:oneCellAnchor>
    <xdr:from>
      <xdr:col>9</xdr:col>
      <xdr:colOff>609600</xdr:colOff>
      <xdr:row>35</xdr:row>
      <xdr:rowOff>485775</xdr:rowOff>
    </xdr:from>
    <xdr:ext cx="609600" cy="190500"/>
    <xdr:sp>
      <xdr:nvSpPr>
        <xdr:cNvPr id="105" name="TextBox 309"/>
        <xdr:cNvSpPr txBox="1">
          <a:spLocks noChangeArrowheads="1"/>
        </xdr:cNvSpPr>
      </xdr:nvSpPr>
      <xdr:spPr>
        <a:xfrm>
          <a:off x="7467600" y="6276975"/>
          <a:ext cx="609600"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Triangular</a:t>
          </a:r>
        </a:p>
      </xdr:txBody>
    </xdr:sp>
    <xdr:clientData/>
  </xdr:oneCellAnchor>
  <xdr:oneCellAnchor>
    <xdr:from>
      <xdr:col>10</xdr:col>
      <xdr:colOff>723900</xdr:colOff>
      <xdr:row>35</xdr:row>
      <xdr:rowOff>485775</xdr:rowOff>
    </xdr:from>
    <xdr:ext cx="447675" cy="190500"/>
    <xdr:sp>
      <xdr:nvSpPr>
        <xdr:cNvPr id="106" name="TextBox 310"/>
        <xdr:cNvSpPr txBox="1">
          <a:spLocks noChangeArrowheads="1"/>
        </xdr:cNvSpPr>
      </xdr:nvSpPr>
      <xdr:spPr>
        <a:xfrm>
          <a:off x="8343900" y="6276975"/>
          <a:ext cx="447675" cy="190500"/>
        </a:xfrm>
        <a:prstGeom prst="rect">
          <a:avLst/>
        </a:prstGeom>
        <a:noFill/>
        <a:ln w="9525" cmpd="sng">
          <a:noFill/>
        </a:ln>
      </xdr:spPr>
      <xdr:txBody>
        <a:bodyPr vertOverflow="clip" wrap="square">
          <a:spAutoFit/>
        </a:bodyPr>
        <a:p>
          <a:pPr algn="ctr">
            <a:defRPr/>
          </a:pPr>
          <a:r>
            <a:rPr lang="en-US" cap="none" sz="900" b="0" i="0" u="none" baseline="0">
              <a:latin typeface="Arial"/>
              <a:ea typeface="Arial"/>
              <a:cs typeface="Arial"/>
            </a:rPr>
            <a:t>Bipolar</a:t>
          </a:r>
        </a:p>
      </xdr:txBody>
    </xdr:sp>
    <xdr:clientData/>
  </xdr:oneCellAnchor>
  <xdr:oneCellAnchor>
    <xdr:from>
      <xdr:col>7</xdr:col>
      <xdr:colOff>190500</xdr:colOff>
      <xdr:row>6</xdr:row>
      <xdr:rowOff>0</xdr:rowOff>
    </xdr:from>
    <xdr:ext cx="1409700" cy="200025"/>
    <xdr:sp>
      <xdr:nvSpPr>
        <xdr:cNvPr id="107" name="TextBox 551"/>
        <xdr:cNvSpPr txBox="1">
          <a:spLocks noChangeArrowheads="1"/>
        </xdr:cNvSpPr>
      </xdr:nvSpPr>
      <xdr:spPr>
        <a:xfrm>
          <a:off x="5524500" y="971550"/>
          <a:ext cx="1409700" cy="200025"/>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Comments on Results:</a:t>
          </a:r>
        </a:p>
      </xdr:txBody>
    </xdr:sp>
    <xdr:clientData/>
  </xdr:oneCellAnchor>
  <xdr:twoCellAnchor>
    <xdr:from>
      <xdr:col>4</xdr:col>
      <xdr:colOff>542925</xdr:colOff>
      <xdr:row>4</xdr:row>
      <xdr:rowOff>57150</xdr:rowOff>
    </xdr:from>
    <xdr:to>
      <xdr:col>7</xdr:col>
      <xdr:colOff>76200</xdr:colOff>
      <xdr:row>6</xdr:row>
      <xdr:rowOff>104775</xdr:rowOff>
    </xdr:to>
    <xdr:sp fLocksText="0" textlink="Main!A4">
      <xdr:nvSpPr>
        <xdr:cNvPr id="108" name="TextBox 552"/>
        <xdr:cNvSpPr txBox="1">
          <a:spLocks noChangeArrowheads="1"/>
        </xdr:cNvSpPr>
      </xdr:nvSpPr>
      <xdr:spPr>
        <a:xfrm>
          <a:off x="3590925" y="704850"/>
          <a:ext cx="1819275" cy="371475"/>
        </a:xfrm>
        <a:prstGeom prst="rect">
          <a:avLst/>
        </a:prstGeom>
        <a:solidFill>
          <a:srgbClr val="FFFFFF"/>
        </a:solidFill>
        <a:ln w="9525" cmpd="sng">
          <a:solidFill>
            <a:srgbClr val="000000"/>
          </a:solidFill>
          <a:headEnd type="none"/>
          <a:tailEnd type="none"/>
        </a:ln>
      </xdr:spPr>
      <xdr:txBody>
        <a:bodyPr vertOverflow="clip" wrap="square"/>
        <a:p>
          <a:pPr algn="l">
            <a:defRPr/>
          </a:pPr>
          <a:fld id="{edecac13-9122-40ea-ad11-53e62f727612}" type="TxLink">
            <a:rPr lang="en-US" cap="none" sz="1000" b="1" i="0" u="none" baseline="0">
              <a:solidFill>
                <a:srgbClr val="000080"/>
              </a:solidFill>
              <a:latin typeface="Arial"/>
              <a:ea typeface="Arial"/>
              <a:cs typeface="Arial"/>
            </a:rPr>
            <a:t>Track A/Mox Fueled, Na cooled Fast Reactor Concept Group(M4,M6,M22,M30)</a:t>
          </a:fld>
        </a:p>
      </xdr:txBody>
    </xdr:sp>
    <xdr:clientData/>
  </xdr:twoCellAnchor>
  <xdr:twoCellAnchor>
    <xdr:from>
      <xdr:col>0</xdr:col>
      <xdr:colOff>180975</xdr:colOff>
      <xdr:row>40</xdr:row>
      <xdr:rowOff>85725</xdr:rowOff>
    </xdr:from>
    <xdr:to>
      <xdr:col>2</xdr:col>
      <xdr:colOff>704850</xdr:colOff>
      <xdr:row>42</xdr:row>
      <xdr:rowOff>95250</xdr:rowOff>
    </xdr:to>
    <xdr:sp fLocksText="0" textlink="Main!A4">
      <xdr:nvSpPr>
        <xdr:cNvPr id="109" name="TextBox 553"/>
        <xdr:cNvSpPr txBox="1">
          <a:spLocks noChangeArrowheads="1"/>
        </xdr:cNvSpPr>
      </xdr:nvSpPr>
      <xdr:spPr>
        <a:xfrm>
          <a:off x="180975" y="8505825"/>
          <a:ext cx="2047875" cy="333375"/>
        </a:xfrm>
        <a:prstGeom prst="rect">
          <a:avLst/>
        </a:prstGeom>
        <a:solidFill>
          <a:srgbClr val="FFFFFF"/>
        </a:solidFill>
        <a:ln w="9525" cmpd="sng">
          <a:solidFill>
            <a:srgbClr val="000000"/>
          </a:solidFill>
          <a:headEnd type="none"/>
          <a:tailEnd type="none"/>
        </a:ln>
      </xdr:spPr>
      <xdr:txBody>
        <a:bodyPr vertOverflow="clip" wrap="square"/>
        <a:p>
          <a:pPr algn="l">
            <a:defRPr/>
          </a:pPr>
          <a:fld id="{a4a74b45-77cd-476d-9115-1e4baa19eeae}" type="TxLink">
            <a:rPr lang="en-US" cap="none" sz="1000" b="1" i="0" u="none" baseline="0">
              <a:solidFill>
                <a:srgbClr val="000080"/>
              </a:solidFill>
              <a:latin typeface="Arial"/>
              <a:ea typeface="Arial"/>
              <a:cs typeface="Arial"/>
            </a:rPr>
            <a:t>Track A/Mox Fueled, Na cooled Fast Reactor Concept Group(M4,M6,M22,M30)</a:t>
          </a:fld>
        </a:p>
      </xdr:txBody>
    </xdr:sp>
    <xdr:clientData/>
  </xdr:twoCellAnchor>
  <xdr:twoCellAnchor>
    <xdr:from>
      <xdr:col>0</xdr:col>
      <xdr:colOff>238125</xdr:colOff>
      <xdr:row>83</xdr:row>
      <xdr:rowOff>66675</xdr:rowOff>
    </xdr:from>
    <xdr:to>
      <xdr:col>3</xdr:col>
      <xdr:colOff>9525</xdr:colOff>
      <xdr:row>85</xdr:row>
      <xdr:rowOff>95250</xdr:rowOff>
    </xdr:to>
    <xdr:sp fLocksText="0" textlink="Main!A4">
      <xdr:nvSpPr>
        <xdr:cNvPr id="110" name="TextBox 554"/>
        <xdr:cNvSpPr txBox="1">
          <a:spLocks noChangeArrowheads="1"/>
        </xdr:cNvSpPr>
      </xdr:nvSpPr>
      <xdr:spPr>
        <a:xfrm>
          <a:off x="238125" y="15449550"/>
          <a:ext cx="2057400" cy="352425"/>
        </a:xfrm>
        <a:prstGeom prst="rect">
          <a:avLst/>
        </a:prstGeom>
        <a:solidFill>
          <a:srgbClr val="FFFFFF"/>
        </a:solidFill>
        <a:ln w="9525" cmpd="sng">
          <a:solidFill>
            <a:srgbClr val="000000"/>
          </a:solidFill>
          <a:headEnd type="none"/>
          <a:tailEnd type="none"/>
        </a:ln>
      </xdr:spPr>
      <xdr:txBody>
        <a:bodyPr vertOverflow="clip" wrap="square"/>
        <a:p>
          <a:pPr algn="l">
            <a:defRPr/>
          </a:pPr>
          <a:fld id="{3a808645-b381-4f17-bb26-fec3a63ca5dc}" type="TxLink">
            <a:rPr lang="en-US" cap="none" sz="1000" b="1" i="0" u="none" baseline="0">
              <a:solidFill>
                <a:srgbClr val="000080"/>
              </a:solidFill>
              <a:latin typeface="Arial"/>
              <a:ea typeface="Arial"/>
              <a:cs typeface="Arial"/>
            </a:rPr>
            <a:t>Track A/Mox Fueled, Na cooled Fast Reactor Concept Group(M4,M6,M22,M30)</a:t>
          </a:fld>
        </a:p>
      </xdr:txBody>
    </xdr:sp>
    <xdr:clientData/>
  </xdr:twoCellAnchor>
  <xdr:oneCellAnchor>
    <xdr:from>
      <xdr:col>18</xdr:col>
      <xdr:colOff>57150</xdr:colOff>
      <xdr:row>81</xdr:row>
      <xdr:rowOff>85725</xdr:rowOff>
    </xdr:from>
    <xdr:ext cx="2066925" cy="276225"/>
    <xdr:sp>
      <xdr:nvSpPr>
        <xdr:cNvPr id="111" name="TextBox 562"/>
        <xdr:cNvSpPr txBox="1">
          <a:spLocks noChangeArrowheads="1"/>
        </xdr:cNvSpPr>
      </xdr:nvSpPr>
      <xdr:spPr>
        <a:xfrm>
          <a:off x="13773150" y="15144750"/>
          <a:ext cx="2066925" cy="276225"/>
        </a:xfrm>
        <a:prstGeom prst="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Arial"/>
              <a:ea typeface="Arial"/>
              <a:cs typeface="Arial"/>
            </a:rPr>
            <a:t>Individual Metric Profiles</a:t>
          </a:r>
        </a:p>
      </xdr:txBody>
    </xdr:sp>
    <xdr:clientData/>
  </xdr:oneCellAnchor>
  <xdr:oneCellAnchor>
    <xdr:from>
      <xdr:col>18</xdr:col>
      <xdr:colOff>38100</xdr:colOff>
      <xdr:row>80</xdr:row>
      <xdr:rowOff>38100</xdr:rowOff>
    </xdr:from>
    <xdr:ext cx="457200" cy="200025"/>
    <xdr:sp>
      <xdr:nvSpPr>
        <xdr:cNvPr id="112" name="TextBox 563"/>
        <xdr:cNvSpPr txBox="1">
          <a:spLocks noChangeArrowheads="1"/>
        </xdr:cNvSpPr>
      </xdr:nvSpPr>
      <xdr:spPr>
        <a:xfrm>
          <a:off x="13754100" y="14935200"/>
          <a:ext cx="45720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Level 3</a:t>
          </a:r>
        </a:p>
      </xdr:txBody>
    </xdr:sp>
    <xdr:clientData/>
  </xdr:oneCellAnchor>
  <xdr:twoCellAnchor>
    <xdr:from>
      <xdr:col>18</xdr:col>
      <xdr:colOff>66675</xdr:colOff>
      <xdr:row>83</xdr:row>
      <xdr:rowOff>57150</xdr:rowOff>
    </xdr:from>
    <xdr:to>
      <xdr:col>20</xdr:col>
      <xdr:colOff>600075</xdr:colOff>
      <xdr:row>85</xdr:row>
      <xdr:rowOff>85725</xdr:rowOff>
    </xdr:to>
    <xdr:sp fLocksText="0" textlink="Main!A4">
      <xdr:nvSpPr>
        <xdr:cNvPr id="113" name="TextBox 564"/>
        <xdr:cNvSpPr txBox="1">
          <a:spLocks noChangeArrowheads="1"/>
        </xdr:cNvSpPr>
      </xdr:nvSpPr>
      <xdr:spPr>
        <a:xfrm>
          <a:off x="13782675" y="15440025"/>
          <a:ext cx="2057400" cy="352425"/>
        </a:xfrm>
        <a:prstGeom prst="rect">
          <a:avLst/>
        </a:prstGeom>
        <a:solidFill>
          <a:srgbClr val="FFFFFF"/>
        </a:solidFill>
        <a:ln w="9525" cmpd="sng">
          <a:solidFill>
            <a:srgbClr val="000000"/>
          </a:solidFill>
          <a:headEnd type="none"/>
          <a:tailEnd type="none"/>
        </a:ln>
      </xdr:spPr>
      <xdr:txBody>
        <a:bodyPr vertOverflow="clip" wrap="square"/>
        <a:p>
          <a:pPr algn="l">
            <a:defRPr/>
          </a:pPr>
          <a:fld id="{41dfa321-df32-4647-aa32-7bc0c30f9b6b}" type="TxLink">
            <a:rPr lang="en-US" cap="none" sz="1000" b="1" i="0" u="none" baseline="0">
              <a:solidFill>
                <a:srgbClr val="000080"/>
              </a:solidFill>
              <a:latin typeface="Arial"/>
              <a:ea typeface="Arial"/>
              <a:cs typeface="Arial"/>
            </a:rPr>
            <a:t>Track A/Mox Fueled, Na cooled Fast Reactor Concept Group(M4,M6,M22,M30)</a:t>
          </a:fld>
        </a:p>
      </xdr:txBody>
    </xdr:sp>
    <xdr:clientData/>
  </xdr:twoCellAnchor>
  <xdr:twoCellAnchor>
    <xdr:from>
      <xdr:col>5</xdr:col>
      <xdr:colOff>371475</xdr:colOff>
      <xdr:row>39</xdr:row>
      <xdr:rowOff>9525</xdr:rowOff>
    </xdr:from>
    <xdr:to>
      <xdr:col>5</xdr:col>
      <xdr:colOff>371475</xdr:colOff>
      <xdr:row>40</xdr:row>
      <xdr:rowOff>85725</xdr:rowOff>
    </xdr:to>
    <xdr:sp>
      <xdr:nvSpPr>
        <xdr:cNvPr id="114" name="Line 565"/>
        <xdr:cNvSpPr>
          <a:spLocks/>
        </xdr:cNvSpPr>
      </xdr:nvSpPr>
      <xdr:spPr>
        <a:xfrm>
          <a:off x="4181475" y="8267700"/>
          <a:ext cx="0" cy="2381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228600</xdr:colOff>
      <xdr:row>38</xdr:row>
      <xdr:rowOff>133350</xdr:rowOff>
    </xdr:from>
    <xdr:to>
      <xdr:col>8</xdr:col>
      <xdr:colOff>228600</xdr:colOff>
      <xdr:row>40</xdr:row>
      <xdr:rowOff>38100</xdr:rowOff>
    </xdr:to>
    <xdr:sp>
      <xdr:nvSpPr>
        <xdr:cNvPr id="115" name="Line 566"/>
        <xdr:cNvSpPr>
          <a:spLocks/>
        </xdr:cNvSpPr>
      </xdr:nvSpPr>
      <xdr:spPr>
        <a:xfrm>
          <a:off x="6324600" y="8229600"/>
          <a:ext cx="0" cy="228600"/>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266700</xdr:colOff>
      <xdr:row>81</xdr:row>
      <xdr:rowOff>133350</xdr:rowOff>
    </xdr:from>
    <xdr:to>
      <xdr:col>5</xdr:col>
      <xdr:colOff>266700</xdr:colOff>
      <xdr:row>83</xdr:row>
      <xdr:rowOff>38100</xdr:rowOff>
    </xdr:to>
    <xdr:sp>
      <xdr:nvSpPr>
        <xdr:cNvPr id="116" name="Line 570"/>
        <xdr:cNvSpPr>
          <a:spLocks/>
        </xdr:cNvSpPr>
      </xdr:nvSpPr>
      <xdr:spPr>
        <a:xfrm>
          <a:off x="4076700" y="15192375"/>
          <a:ext cx="0" cy="228600"/>
        </a:xfrm>
        <a:prstGeom prst="line">
          <a:avLst/>
        </a:prstGeom>
        <a:noFill/>
        <a:ln w="25400"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oneCellAnchor>
    <xdr:from>
      <xdr:col>7</xdr:col>
      <xdr:colOff>0</xdr:colOff>
      <xdr:row>14</xdr:row>
      <xdr:rowOff>104775</xdr:rowOff>
    </xdr:from>
    <xdr:ext cx="247650" cy="238125"/>
    <xdr:sp>
      <xdr:nvSpPr>
        <xdr:cNvPr id="117" name="TextBox 571"/>
        <xdr:cNvSpPr txBox="1">
          <a:spLocks noChangeArrowheads="1"/>
        </xdr:cNvSpPr>
      </xdr:nvSpPr>
      <xdr:spPr>
        <a:xfrm>
          <a:off x="5334000" y="2495550"/>
          <a:ext cx="24765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a:t>
          </a:r>
        </a:p>
      </xdr:txBody>
    </xdr:sp>
    <xdr:clientData/>
  </xdr:oneCellAnchor>
  <xdr:oneCellAnchor>
    <xdr:from>
      <xdr:col>8</xdr:col>
      <xdr:colOff>704850</xdr:colOff>
      <xdr:row>39</xdr:row>
      <xdr:rowOff>9525</xdr:rowOff>
    </xdr:from>
    <xdr:ext cx="1647825" cy="209550"/>
    <xdr:sp>
      <xdr:nvSpPr>
        <xdr:cNvPr id="118" name="TextBox 572"/>
        <xdr:cNvSpPr txBox="1">
          <a:spLocks noChangeArrowheads="1"/>
        </xdr:cNvSpPr>
      </xdr:nvSpPr>
      <xdr:spPr>
        <a:xfrm>
          <a:off x="6800850" y="8267700"/>
          <a:ext cx="1647825" cy="209550"/>
        </a:xfrm>
        <a:prstGeom prst="rect">
          <a:avLst/>
        </a:prstGeom>
        <a:noFill/>
        <a:ln w="9525" cmpd="sng">
          <a:noFill/>
        </a:ln>
      </xdr:spPr>
      <xdr:txBody>
        <a:bodyPr vertOverflow="clip" wrap="square"/>
        <a:p>
          <a:pPr algn="r">
            <a:defRPr/>
          </a:pPr>
          <a:r>
            <a:rPr lang="en-US" cap="none" sz="1000" b="1" i="0" u="none" baseline="0">
              <a:latin typeface="Arial"/>
              <a:ea typeface="Arial"/>
              <a:cs typeface="Arial"/>
            </a:rPr>
            <a:t>Scores shown are for: </a:t>
          </a:r>
        </a:p>
      </xdr:txBody>
    </xdr:sp>
    <xdr:clientData/>
  </xdr:oneCellAnchor>
  <xdr:oneCellAnchor>
    <xdr:from>
      <xdr:col>11</xdr:col>
      <xdr:colOff>114300</xdr:colOff>
      <xdr:row>38</xdr:row>
      <xdr:rowOff>152400</xdr:rowOff>
    </xdr:from>
    <xdr:ext cx="371475" cy="209550"/>
    <xdr:sp fLocksText="0" textlink="$G$16">
      <xdr:nvSpPr>
        <xdr:cNvPr id="119" name="TextBox 573"/>
        <xdr:cNvSpPr txBox="1">
          <a:spLocks noChangeArrowheads="1"/>
        </xdr:cNvSpPr>
      </xdr:nvSpPr>
      <xdr:spPr>
        <a:xfrm>
          <a:off x="8496300" y="8248650"/>
          <a:ext cx="371475" cy="209550"/>
        </a:xfrm>
        <a:prstGeom prst="rect">
          <a:avLst/>
        </a:prstGeom>
        <a:noFill/>
        <a:ln w="9525" cmpd="sng">
          <a:solidFill>
            <a:srgbClr val="000000"/>
          </a:solidFill>
          <a:headEnd type="none"/>
          <a:tailEnd type="none"/>
        </a:ln>
      </xdr:spPr>
      <xdr:txBody>
        <a:bodyPr vertOverflow="clip" wrap="square" anchor="ctr"/>
        <a:p>
          <a:pPr algn="ctr">
            <a:defRPr/>
          </a:pPr>
          <a:fld id="{594304ba-f7de-4d83-80f5-77ffe0f5d216}" type="TxLink">
            <a:rPr lang="en-US" cap="none" sz="1000" b="0" i="0" u="none" baseline="0">
              <a:latin typeface="Arial"/>
              <a:ea typeface="Arial"/>
              <a:cs typeface="Arial"/>
            </a:rPr>
            <a:t>75</a:t>
          </a:fld>
        </a:p>
      </xdr:txBody>
    </xdr:sp>
    <xdr:clientData/>
  </xdr:oneCellAnchor>
  <xdr:oneCellAnchor>
    <xdr:from>
      <xdr:col>11</xdr:col>
      <xdr:colOff>619125</xdr:colOff>
      <xdr:row>39</xdr:row>
      <xdr:rowOff>9525</xdr:rowOff>
    </xdr:from>
    <xdr:ext cx="1333500" cy="209550"/>
    <xdr:sp>
      <xdr:nvSpPr>
        <xdr:cNvPr id="120" name="TextBox 574"/>
        <xdr:cNvSpPr txBox="1">
          <a:spLocks noChangeArrowheads="1"/>
        </xdr:cNvSpPr>
      </xdr:nvSpPr>
      <xdr:spPr>
        <a:xfrm>
          <a:off x="9001125" y="8267700"/>
          <a:ext cx="133350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Percentile</a:t>
          </a:r>
        </a:p>
      </xdr:txBody>
    </xdr:sp>
    <xdr:clientData/>
  </xdr:oneCellAnchor>
  <xdr:twoCellAnchor>
    <xdr:from>
      <xdr:col>36</xdr:col>
      <xdr:colOff>190500</xdr:colOff>
      <xdr:row>86</xdr:row>
      <xdr:rowOff>133350</xdr:rowOff>
    </xdr:from>
    <xdr:to>
      <xdr:col>40</xdr:col>
      <xdr:colOff>600075</xdr:colOff>
      <xdr:row>98</xdr:row>
      <xdr:rowOff>133350</xdr:rowOff>
    </xdr:to>
    <xdr:graphicFrame>
      <xdr:nvGraphicFramePr>
        <xdr:cNvPr id="121" name="Chart 579"/>
        <xdr:cNvGraphicFramePr/>
      </xdr:nvGraphicFramePr>
      <xdr:xfrm>
        <a:off x="27622500" y="16002000"/>
        <a:ext cx="3457575" cy="1943100"/>
      </xdr:xfrm>
      <a:graphic>
        <a:graphicData uri="http://schemas.openxmlformats.org/drawingml/2006/chart">
          <c:chart xmlns:c="http://schemas.openxmlformats.org/drawingml/2006/chart" r:id="rId39"/>
        </a:graphicData>
      </a:graphic>
    </xdr:graphicFrame>
    <xdr:clientData/>
  </xdr:twoCellAnchor>
  <xdr:twoCellAnchor>
    <xdr:from>
      <xdr:col>21</xdr:col>
      <xdr:colOff>114300</xdr:colOff>
      <xdr:row>261</xdr:row>
      <xdr:rowOff>19050</xdr:rowOff>
    </xdr:from>
    <xdr:to>
      <xdr:col>22</xdr:col>
      <xdr:colOff>609600</xdr:colOff>
      <xdr:row>263</xdr:row>
      <xdr:rowOff>19050</xdr:rowOff>
    </xdr:to>
    <xdr:sp>
      <xdr:nvSpPr>
        <xdr:cNvPr id="122" name="TextBox 580"/>
        <xdr:cNvSpPr txBox="1">
          <a:spLocks noChangeArrowheads="1"/>
        </xdr:cNvSpPr>
      </xdr:nvSpPr>
      <xdr:spPr>
        <a:xfrm>
          <a:off x="16116300" y="35328225"/>
          <a:ext cx="125730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Cumulative function</a:t>
          </a:r>
        </a:p>
      </xdr:txBody>
    </xdr:sp>
    <xdr:clientData/>
  </xdr:twoCellAnchor>
  <xdr:twoCellAnchor>
    <xdr:from>
      <xdr:col>21</xdr:col>
      <xdr:colOff>95250</xdr:colOff>
      <xdr:row>270</xdr:row>
      <xdr:rowOff>19050</xdr:rowOff>
    </xdr:from>
    <xdr:to>
      <xdr:col>24</xdr:col>
      <xdr:colOff>361950</xdr:colOff>
      <xdr:row>272</xdr:row>
      <xdr:rowOff>19050</xdr:rowOff>
    </xdr:to>
    <xdr:sp>
      <xdr:nvSpPr>
        <xdr:cNvPr id="123" name="TextBox 581"/>
        <xdr:cNvSpPr txBox="1">
          <a:spLocks noChangeArrowheads="1"/>
        </xdr:cNvSpPr>
      </xdr:nvSpPr>
      <xdr:spPr>
        <a:xfrm>
          <a:off x="16097250" y="35499675"/>
          <a:ext cx="2552700" cy="381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Find where profile exceeds percentile</a:t>
          </a:r>
        </a:p>
      </xdr:txBody>
    </xdr:sp>
    <xdr:clientData/>
  </xdr:twoCellAnchor>
  <xdr:twoCellAnchor>
    <xdr:from>
      <xdr:col>22</xdr:col>
      <xdr:colOff>314325</xdr:colOff>
      <xdr:row>283</xdr:row>
      <xdr:rowOff>19050</xdr:rowOff>
    </xdr:from>
    <xdr:to>
      <xdr:col>24</xdr:col>
      <xdr:colOff>47625</xdr:colOff>
      <xdr:row>284</xdr:row>
      <xdr:rowOff>19050</xdr:rowOff>
    </xdr:to>
    <xdr:sp>
      <xdr:nvSpPr>
        <xdr:cNvPr id="124" name="TextBox 582"/>
        <xdr:cNvSpPr txBox="1">
          <a:spLocks noChangeArrowheads="1"/>
        </xdr:cNvSpPr>
      </xdr:nvSpPr>
      <xdr:spPr>
        <a:xfrm>
          <a:off x="17078325" y="35747325"/>
          <a:ext cx="1257300" cy="19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Percentile</a:t>
          </a:r>
        </a:p>
      </xdr:txBody>
    </xdr:sp>
    <xdr:clientData/>
  </xdr:twoCellAnchor>
  <xdr:oneCellAnchor>
    <xdr:from>
      <xdr:col>38</xdr:col>
      <xdr:colOff>38100</xdr:colOff>
      <xdr:row>85</xdr:row>
      <xdr:rowOff>104775</xdr:rowOff>
    </xdr:from>
    <xdr:ext cx="742950" cy="228600"/>
    <xdr:sp>
      <xdr:nvSpPr>
        <xdr:cNvPr id="125" name="TextBox 588"/>
        <xdr:cNvSpPr txBox="1">
          <a:spLocks noChangeArrowheads="1"/>
        </xdr:cNvSpPr>
      </xdr:nvSpPr>
      <xdr:spPr>
        <a:xfrm>
          <a:off x="28994100" y="15811500"/>
          <a:ext cx="742950" cy="228600"/>
        </a:xfrm>
        <a:prstGeom prst="rect">
          <a:avLst/>
        </a:prstGeom>
        <a:noFill/>
        <a:ln w="9525" cmpd="sng">
          <a:noFill/>
        </a:ln>
      </xdr:spPr>
      <xdr:txBody>
        <a:bodyPr vertOverflow="clip" wrap="square">
          <a:spAutoFit/>
        </a:bodyPr>
        <a:p>
          <a:pPr algn="l">
            <a:defRPr/>
          </a:pPr>
          <a:r>
            <a:rPr lang="en-US" cap="none" sz="1100" b="1" i="0" u="none" baseline="0">
              <a:latin typeface="Arial"/>
              <a:ea typeface="Arial"/>
              <a:cs typeface="Arial"/>
            </a:rPr>
            <a:t>R&amp;D Cost</a:t>
          </a:r>
        </a:p>
      </xdr:txBody>
    </xdr:sp>
    <xdr:clientData/>
  </xdr:oneCellAnchor>
  <xdr:twoCellAnchor>
    <xdr:from>
      <xdr:col>18</xdr:col>
      <xdr:colOff>19050</xdr:colOff>
      <xdr:row>54</xdr:row>
      <xdr:rowOff>123825</xdr:rowOff>
    </xdr:from>
    <xdr:to>
      <xdr:col>22</xdr:col>
      <xdr:colOff>381000</xdr:colOff>
      <xdr:row>66</xdr:row>
      <xdr:rowOff>104775</xdr:rowOff>
    </xdr:to>
    <xdr:graphicFrame>
      <xdr:nvGraphicFramePr>
        <xdr:cNvPr id="126" name="Chart 779"/>
        <xdr:cNvGraphicFramePr/>
      </xdr:nvGraphicFramePr>
      <xdr:xfrm>
        <a:off x="13735050" y="10810875"/>
        <a:ext cx="3409950" cy="1924050"/>
      </xdr:xfrm>
      <a:graphic>
        <a:graphicData uri="http://schemas.openxmlformats.org/drawingml/2006/chart">
          <c:chart xmlns:c="http://schemas.openxmlformats.org/drawingml/2006/chart" r:id="rId40"/>
        </a:graphicData>
      </a:graphic>
    </xdr:graphicFrame>
    <xdr:clientData/>
  </xdr:twoCellAnchor>
  <xdr:oneCellAnchor>
    <xdr:from>
      <xdr:col>21</xdr:col>
      <xdr:colOff>466725</xdr:colOff>
      <xdr:row>55</xdr:row>
      <xdr:rowOff>57150</xdr:rowOff>
    </xdr:from>
    <xdr:ext cx="466725" cy="219075"/>
    <xdr:sp textlink="$V$290">
      <xdr:nvSpPr>
        <xdr:cNvPr id="127" name="TextBox 780"/>
        <xdr:cNvSpPr txBox="1">
          <a:spLocks noChangeArrowheads="1"/>
        </xdr:cNvSpPr>
      </xdr:nvSpPr>
      <xdr:spPr>
        <a:xfrm>
          <a:off x="16468725" y="10906125"/>
          <a:ext cx="466725" cy="219075"/>
        </a:xfrm>
        <a:prstGeom prst="rect">
          <a:avLst/>
        </a:prstGeom>
        <a:noFill/>
        <a:ln w="9525" cmpd="sng">
          <a:noFill/>
        </a:ln>
      </xdr:spPr>
      <xdr:txBody>
        <a:bodyPr vertOverflow="clip" wrap="square"/>
        <a:p>
          <a:pPr algn="l">
            <a:defRPr/>
          </a:pPr>
          <a:fld id="{50f8d465-b69c-4cdb-92aa-e93b41e1c9fa}" type="TxLink">
            <a:rPr lang="en-US" cap="none" sz="1000" b="0" i="0" u="none" baseline="0">
              <a:solidFill>
                <a:srgbClr val="008080"/>
              </a:solidFill>
              <a:latin typeface="Arial"/>
              <a:ea typeface="Arial"/>
              <a:cs typeface="Arial"/>
            </a:rPr>
            <a:t>-0.23</a:t>
          </a:fld>
        </a:p>
      </xdr:txBody>
    </xdr:sp>
    <xdr:clientData/>
  </xdr:oneCellAnchor>
  <xdr:twoCellAnchor>
    <xdr:from>
      <xdr:col>7</xdr:col>
      <xdr:colOff>285750</xdr:colOff>
      <xdr:row>23</xdr:row>
      <xdr:rowOff>104775</xdr:rowOff>
    </xdr:from>
    <xdr:to>
      <xdr:col>11</xdr:col>
      <xdr:colOff>666750</xdr:colOff>
      <xdr:row>35</xdr:row>
      <xdr:rowOff>114300</xdr:rowOff>
    </xdr:to>
    <xdr:graphicFrame>
      <xdr:nvGraphicFramePr>
        <xdr:cNvPr id="128" name="Chart 782"/>
        <xdr:cNvGraphicFramePr/>
      </xdr:nvGraphicFramePr>
      <xdr:xfrm>
        <a:off x="5619750" y="3952875"/>
        <a:ext cx="3429000" cy="1952625"/>
      </xdr:xfrm>
      <a:graphic>
        <a:graphicData uri="http://schemas.openxmlformats.org/drawingml/2006/chart">
          <c:chart xmlns:c="http://schemas.openxmlformats.org/drawingml/2006/chart" r:id="rId41"/>
        </a:graphicData>
      </a:graphic>
    </xdr:graphicFrame>
    <xdr:clientData/>
  </xdr:twoCellAnchor>
  <xdr:twoCellAnchor>
    <xdr:from>
      <xdr:col>0</xdr:col>
      <xdr:colOff>19050</xdr:colOff>
      <xdr:row>12</xdr:row>
      <xdr:rowOff>38100</xdr:rowOff>
    </xdr:from>
    <xdr:to>
      <xdr:col>4</xdr:col>
      <xdr:colOff>390525</xdr:colOff>
      <xdr:row>23</xdr:row>
      <xdr:rowOff>57150</xdr:rowOff>
    </xdr:to>
    <xdr:graphicFrame>
      <xdr:nvGraphicFramePr>
        <xdr:cNvPr id="129" name="Chart 784"/>
        <xdr:cNvGraphicFramePr/>
      </xdr:nvGraphicFramePr>
      <xdr:xfrm>
        <a:off x="19050" y="1981200"/>
        <a:ext cx="3419475" cy="1924050"/>
      </xdr:xfrm>
      <a:graphic>
        <a:graphicData uri="http://schemas.openxmlformats.org/drawingml/2006/chart">
          <c:chart xmlns:c="http://schemas.openxmlformats.org/drawingml/2006/chart" r:id="rId4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0.51925</cdr:x>
      <cdr:y>0.1765</cdr:y>
    </cdr:from>
    <cdr:to>
      <cdr:x>0.52025</cdr:x>
      <cdr:y>0.9355</cdr:y>
    </cdr:to>
    <cdr:sp>
      <cdr:nvSpPr>
        <cdr:cNvPr id="1" name="Line 1"/>
        <cdr:cNvSpPr>
          <a:spLocks/>
        </cdr:cNvSpPr>
      </cdr:nvSpPr>
      <cdr:spPr>
        <a:xfrm>
          <a:off x="1771650" y="333375"/>
          <a:ext cx="0" cy="1457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0.184</cdr:y>
    </cdr:from>
    <cdr:to>
      <cdr:x>0.522</cdr:x>
      <cdr:y>0.94175</cdr:y>
    </cdr:to>
    <cdr:sp>
      <cdr:nvSpPr>
        <cdr:cNvPr id="1" name="Line 1"/>
        <cdr:cNvSpPr>
          <a:spLocks/>
        </cdr:cNvSpPr>
      </cdr:nvSpPr>
      <cdr:spPr>
        <a:xfrm>
          <a:off x="1781175" y="352425"/>
          <a:ext cx="0" cy="1457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0.19325</cdr:y>
    </cdr:from>
    <cdr:to>
      <cdr:x>0.522</cdr:x>
      <cdr:y>0.94175</cdr:y>
    </cdr:to>
    <cdr:sp>
      <cdr:nvSpPr>
        <cdr:cNvPr id="1" name="Line 1"/>
        <cdr:cNvSpPr>
          <a:spLocks/>
        </cdr:cNvSpPr>
      </cdr:nvSpPr>
      <cdr:spPr>
        <a:xfrm>
          <a:off x="1771650" y="371475"/>
          <a:ext cx="0" cy="1438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0.1765</cdr:y>
    </cdr:from>
    <cdr:to>
      <cdr:x>0.522</cdr:x>
      <cdr:y>0.94175</cdr:y>
    </cdr:to>
    <cdr:sp>
      <cdr:nvSpPr>
        <cdr:cNvPr id="1" name="Line 1"/>
        <cdr:cNvSpPr>
          <a:spLocks/>
        </cdr:cNvSpPr>
      </cdr:nvSpPr>
      <cdr:spPr>
        <a:xfrm>
          <a:off x="1771650" y="333375"/>
          <a:ext cx="0" cy="1476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0.179</cdr:y>
    </cdr:from>
    <cdr:to>
      <cdr:x>0.523</cdr:x>
      <cdr:y>0.94175</cdr:y>
    </cdr:to>
    <cdr:sp>
      <cdr:nvSpPr>
        <cdr:cNvPr id="1" name="Line 1"/>
        <cdr:cNvSpPr>
          <a:spLocks/>
        </cdr:cNvSpPr>
      </cdr:nvSpPr>
      <cdr:spPr>
        <a:xfrm>
          <a:off x="1771650" y="342900"/>
          <a:ext cx="0" cy="1466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1:A1"/>
  <sheetViews>
    <sheetView showGridLines="0" workbookViewId="0" topLeftCell="A1">
      <selection activeCell="A1" sqref="A1"/>
    </sheetView>
  </sheetViews>
  <sheetFormatPr defaultColWidth="9.140625" defaultRowHeight="12.75"/>
  <cols>
    <col min="1" max="16384" width="11.421875" style="0" customWidth="1"/>
  </cols>
  <sheetData/>
  <sheetProtection password="CC7E"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X66"/>
  <sheetViews>
    <sheetView showGridLines="0" tabSelected="1" workbookViewId="0" topLeftCell="A1">
      <selection activeCell="H41" sqref="H41"/>
    </sheetView>
  </sheetViews>
  <sheetFormatPr defaultColWidth="9.140625" defaultRowHeight="12.75"/>
  <cols>
    <col min="1" max="2" width="11.421875" style="0" customWidth="1"/>
    <col min="3" max="3" width="17.140625" style="0" customWidth="1"/>
    <col min="4" max="4" width="9.7109375" style="0" customWidth="1"/>
    <col min="5" max="7" width="11.421875" style="0" customWidth="1"/>
    <col min="8" max="8" width="13.140625" style="0" customWidth="1"/>
    <col min="9" max="16384" width="11.421875" style="0" customWidth="1"/>
  </cols>
  <sheetData>
    <row r="1" ht="33.75" customHeight="1">
      <c r="A1" t="s">
        <v>315</v>
      </c>
    </row>
    <row r="2" spans="4:6" ht="22.5" customHeight="1">
      <c r="D2" s="51"/>
      <c r="F2" s="43"/>
    </row>
    <row r="3" ht="6.75" customHeight="1">
      <c r="D3" s="24"/>
    </row>
    <row r="4" spans="1:8" ht="22.5" customHeight="1">
      <c r="A4" s="128" t="s">
        <v>337</v>
      </c>
      <c r="B4" s="129"/>
      <c r="C4" s="129"/>
      <c r="D4" s="129"/>
      <c r="E4" s="130"/>
      <c r="F4" s="43"/>
      <c r="H4" s="43"/>
    </row>
    <row r="5" spans="1:6" ht="15" customHeight="1">
      <c r="A5" s="101"/>
      <c r="B5" s="101"/>
      <c r="C5" s="101"/>
      <c r="D5" s="101"/>
      <c r="E5" s="102"/>
      <c r="F5" s="103"/>
    </row>
    <row r="6" spans="1:7" ht="57.75" customHeight="1">
      <c r="A6" s="131" t="s">
        <v>361</v>
      </c>
      <c r="B6" s="132"/>
      <c r="C6" s="132"/>
      <c r="D6" s="132"/>
      <c r="E6" s="132"/>
      <c r="F6" s="132"/>
      <c r="G6" s="133"/>
    </row>
    <row r="7" ht="6.75" customHeight="1"/>
    <row r="9" ht="0.75" customHeight="1"/>
    <row r="10" ht="0.75" customHeight="1"/>
    <row r="12" ht="9.75" customHeight="1">
      <c r="H12" s="121" t="s">
        <v>316</v>
      </c>
    </row>
    <row r="13" spans="4:9" ht="13.5" customHeight="1">
      <c r="D13" s="36" t="str">
        <f>Score!X73</f>
        <v>Complete</v>
      </c>
      <c r="H13" s="7">
        <v>1500</v>
      </c>
      <c r="I13" t="s">
        <v>236</v>
      </c>
    </row>
    <row r="14" ht="9.75" customHeight="1"/>
    <row r="15" ht="9.75" customHeight="1">
      <c r="H15" s="121" t="s">
        <v>317</v>
      </c>
    </row>
    <row r="16" spans="4:8" ht="13.5" customHeight="1">
      <c r="D16" s="36" t="str">
        <f>Score!X74</f>
        <v>Complete</v>
      </c>
      <c r="H16" s="123">
        <v>1</v>
      </c>
    </row>
    <row r="17" ht="9.75" customHeight="1"/>
    <row r="18" ht="9.75" customHeight="1"/>
    <row r="19" spans="4:8" ht="13.5" customHeight="1">
      <c r="D19" s="36" t="str">
        <f>Score!X75</f>
        <v>Complete</v>
      </c>
      <c r="H19" s="124">
        <f>H13/H16</f>
        <v>1500</v>
      </c>
    </row>
    <row r="20" ht="9.75" customHeight="1"/>
    <row r="21" ht="9.75" customHeight="1"/>
    <row r="22" ht="13.5" customHeight="1">
      <c r="D22" s="36" t="str">
        <f>Score!X76</f>
        <v>Complete</v>
      </c>
    </row>
    <row r="23" ht="9.75" customHeight="1"/>
    <row r="24" ht="9.75" customHeight="1"/>
    <row r="25" ht="13.5" customHeight="1">
      <c r="D25" s="36" t="str">
        <f>Score!X77</f>
        <v>Complete</v>
      </c>
    </row>
    <row r="26" ht="9.75" customHeight="1"/>
    <row r="27" ht="9.75" customHeight="1"/>
    <row r="28" ht="13.5" customHeight="1">
      <c r="D28" s="36" t="str">
        <f>Score!X78</f>
        <v>Complete</v>
      </c>
    </row>
    <row r="29" ht="9.75" customHeight="1"/>
    <row r="30" ht="9.75" customHeight="1"/>
    <row r="31" ht="13.5" customHeight="1">
      <c r="D31" s="36" t="str">
        <f>Score!X79</f>
        <v>Complete</v>
      </c>
    </row>
    <row r="32" ht="9.75" customHeight="1"/>
    <row r="33" ht="9.75" customHeight="1"/>
    <row r="34" ht="12.75">
      <c r="D34" s="36" t="str">
        <f>Score!X80</f>
        <v>Complete</v>
      </c>
    </row>
    <row r="35" ht="9.75" customHeight="1"/>
    <row r="36" ht="9.75" customHeight="1">
      <c r="E36" s="59"/>
    </row>
    <row r="37" ht="12.75">
      <c r="D37" s="36" t="str">
        <f>Score!X81</f>
        <v>Complete</v>
      </c>
    </row>
    <row r="38" ht="9.75" customHeight="1"/>
    <row r="40" spans="1:8" ht="15.75">
      <c r="A40" s="99" t="str">
        <f>IF(AND(D13="Incomplete",D16="Incomplete",D19="Incomplete",D22="Incomplete",D25="Incomplete",D28="Incomplete",D31="Incomplete",D34="Incomplete",D37="Incomplete"),"Not Ready","Ready")</f>
        <v>Ready</v>
      </c>
      <c r="D40" s="60">
        <f>IF(OR(H13&lt;&gt;H40,H16&lt;&gt;H41),"Results Not Up to Date",IF(Score!AF65=0,"",Score!AF65))</f>
      </c>
      <c r="H40" s="42">
        <v>1500</v>
      </c>
    </row>
    <row r="41" ht="12.75">
      <c r="H41" s="42">
        <v>1</v>
      </c>
    </row>
    <row r="42" ht="12.75">
      <c r="A42" s="42"/>
    </row>
    <row r="50" ht="12.75">
      <c r="A50" s="98" t="s">
        <v>319</v>
      </c>
    </row>
    <row r="52" ht="12.75">
      <c r="A52" s="98"/>
    </row>
    <row r="66" ht="12.75">
      <c r="X66">
        <v>1</v>
      </c>
    </row>
  </sheetData>
  <sheetProtection password="CC7E" sheet="1" objects="1" scenarios="1"/>
  <mergeCells count="2">
    <mergeCell ref="A4:E4"/>
    <mergeCell ref="A6:G6"/>
  </mergeCells>
  <conditionalFormatting sqref="D13 D16 D28 D19 D22 D25 D31 D34 D37">
    <cfRule type="cellIs" priority="1" dxfId="0" operator="equal" stopIfTrue="1">
      <formula>"Complete"</formula>
    </cfRule>
    <cfRule type="cellIs" priority="2" dxfId="1" operator="equal" stopIfTrue="1">
      <formula>"Incomplete"</formula>
    </cfRule>
  </conditionalFormatting>
  <dataValidations count="2">
    <dataValidation type="decimal" allowBlank="1" showInputMessage="1" showErrorMessage="1" errorTitle="Error" error="Please enter a valid number of units for the plant." sqref="H16">
      <formula1>0</formula1>
      <formula2>20</formula2>
    </dataValidation>
    <dataValidation type="decimal" allowBlank="1" showInputMessage="1" showErrorMessage="1" sqref="H13">
      <formula1>0</formula1>
      <formula2>10000000</formula2>
    </dataValidation>
  </dataValidations>
  <printOptions/>
  <pageMargins left="0.75" right="0.75" top="1" bottom="1" header="0.5" footer="0.5"/>
  <pageSetup fitToHeight="1" fitToWidth="1" horizontalDpi="600" verticalDpi="600" orientation="portrait" r:id="rId3"/>
  <headerFooter alignWithMargins="0">
    <oddFooter>&amp;L&amp;F&amp;C02-Oct-2002</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BH81"/>
  <sheetViews>
    <sheetView showGridLines="0" workbookViewId="0" topLeftCell="A2">
      <selection activeCell="C30" sqref="C30:W32"/>
    </sheetView>
  </sheetViews>
  <sheetFormatPr defaultColWidth="9.140625" defaultRowHeight="12.75"/>
  <cols>
    <col min="1" max="1" width="13.140625" style="0" customWidth="1"/>
    <col min="2" max="2" width="11.421875" style="0" customWidth="1"/>
    <col min="3" max="23" width="3.7109375" style="0" customWidth="1"/>
    <col min="24" max="24" width="3.8515625" style="0" customWidth="1"/>
    <col min="25" max="25" width="11.421875" style="0" customWidth="1"/>
    <col min="26" max="26" width="8.140625" style="0" customWidth="1"/>
    <col min="27" max="16384" width="11.421875" style="0" customWidth="1"/>
  </cols>
  <sheetData>
    <row r="1" spans="3:24" ht="48.75" customHeight="1">
      <c r="C1" s="106"/>
      <c r="D1" s="106"/>
      <c r="E1" s="106"/>
      <c r="F1" s="106"/>
      <c r="G1" s="106"/>
      <c r="H1" s="106"/>
      <c r="I1" s="106"/>
      <c r="J1" s="106"/>
      <c r="K1" s="106"/>
      <c r="L1" s="106"/>
      <c r="M1" s="106"/>
      <c r="N1" s="106"/>
      <c r="O1" s="106"/>
      <c r="P1" s="106"/>
      <c r="Q1" s="106"/>
      <c r="R1" s="106"/>
      <c r="S1" s="106"/>
      <c r="T1" s="106"/>
      <c r="U1" s="106"/>
      <c r="V1" s="106"/>
      <c r="W1" s="106"/>
      <c r="X1" s="106"/>
    </row>
    <row r="2" spans="3:24" ht="12.75">
      <c r="C2" s="106"/>
      <c r="D2" s="106"/>
      <c r="E2" s="106"/>
      <c r="F2" s="106"/>
      <c r="G2" s="106"/>
      <c r="H2" s="106"/>
      <c r="I2" s="106"/>
      <c r="J2" s="106"/>
      <c r="K2" s="106"/>
      <c r="L2" s="106"/>
      <c r="M2" s="106"/>
      <c r="N2" s="106"/>
      <c r="O2" s="106"/>
      <c r="P2" s="106"/>
      <c r="Q2" s="106"/>
      <c r="R2" s="106"/>
      <c r="S2" s="106"/>
      <c r="T2" s="106"/>
      <c r="U2" s="106"/>
      <c r="V2" s="106"/>
      <c r="W2" s="106"/>
      <c r="X2" s="106"/>
    </row>
    <row r="3" spans="3:24" ht="12.75">
      <c r="C3" s="106"/>
      <c r="D3" s="106"/>
      <c r="E3" s="106"/>
      <c r="F3" s="106"/>
      <c r="G3" s="106"/>
      <c r="H3" s="106"/>
      <c r="I3" s="106"/>
      <c r="J3" s="106"/>
      <c r="K3" s="106"/>
      <c r="L3" s="106"/>
      <c r="M3" s="106"/>
      <c r="N3" s="106"/>
      <c r="O3" s="106"/>
      <c r="P3" s="106"/>
      <c r="Q3" s="106"/>
      <c r="R3" s="106"/>
      <c r="S3" s="106"/>
      <c r="T3" s="106"/>
      <c r="U3" s="106"/>
      <c r="V3" s="106"/>
      <c r="W3" s="106"/>
      <c r="X3" s="106"/>
    </row>
    <row r="4" spans="3:24" ht="12.75">
      <c r="C4" s="106"/>
      <c r="D4" s="106"/>
      <c r="E4" s="106"/>
      <c r="F4" s="106"/>
      <c r="G4" s="106"/>
      <c r="H4" s="106"/>
      <c r="I4" s="106"/>
      <c r="J4" s="106"/>
      <c r="K4" s="106"/>
      <c r="L4" s="106"/>
      <c r="M4" s="106"/>
      <c r="N4" s="106"/>
      <c r="O4" s="106"/>
      <c r="P4" s="106"/>
      <c r="Q4" s="106"/>
      <c r="R4" s="106"/>
      <c r="S4" s="106"/>
      <c r="T4" s="106"/>
      <c r="U4" s="106"/>
      <c r="V4" s="106"/>
      <c r="W4" s="106"/>
      <c r="X4" s="106"/>
    </row>
    <row r="5" spans="3:24" ht="12.75">
      <c r="C5" s="106"/>
      <c r="D5" s="106"/>
      <c r="E5" s="106"/>
      <c r="F5" s="106"/>
      <c r="G5" s="106"/>
      <c r="H5" s="106"/>
      <c r="I5" s="106"/>
      <c r="J5" s="106"/>
      <c r="K5" s="106"/>
      <c r="L5" s="106"/>
      <c r="M5" s="106"/>
      <c r="N5" s="106"/>
      <c r="O5" s="106"/>
      <c r="P5" s="106"/>
      <c r="Q5" s="106"/>
      <c r="R5" s="106"/>
      <c r="S5" s="106"/>
      <c r="T5" s="106"/>
      <c r="U5" s="106"/>
      <c r="V5" s="106"/>
      <c r="W5" s="106"/>
      <c r="X5" s="106"/>
    </row>
    <row r="6" spans="3:24" ht="12.75">
      <c r="C6" s="106"/>
      <c r="D6" s="106"/>
      <c r="E6" s="106"/>
      <c r="F6" s="106"/>
      <c r="G6" s="106"/>
      <c r="H6" s="106"/>
      <c r="I6" s="106"/>
      <c r="J6" s="106"/>
      <c r="K6" s="106"/>
      <c r="L6" s="106"/>
      <c r="M6" s="106"/>
      <c r="N6" s="106"/>
      <c r="O6" s="106"/>
      <c r="P6" s="106"/>
      <c r="Q6" s="106"/>
      <c r="R6" s="106"/>
      <c r="S6" s="106"/>
      <c r="T6" s="106"/>
      <c r="U6" s="106"/>
      <c r="V6" s="106"/>
      <c r="W6" s="106"/>
      <c r="X6" s="106"/>
    </row>
    <row r="7" spans="3:24" ht="12.75">
      <c r="C7" s="106"/>
      <c r="D7" s="106"/>
      <c r="E7" s="106"/>
      <c r="F7" s="106"/>
      <c r="G7" s="106"/>
      <c r="H7" s="106"/>
      <c r="I7" s="106"/>
      <c r="J7" s="106"/>
      <c r="K7" s="106"/>
      <c r="L7" s="106"/>
      <c r="M7" s="106"/>
      <c r="N7" s="106"/>
      <c r="O7" s="106"/>
      <c r="P7" s="106"/>
      <c r="Q7" s="106"/>
      <c r="R7" s="106"/>
      <c r="S7" s="106"/>
      <c r="T7" s="106"/>
      <c r="U7" s="106"/>
      <c r="V7" s="106"/>
      <c r="W7" s="106"/>
      <c r="X7" s="106"/>
    </row>
    <row r="8" spans="3:24" ht="12.75">
      <c r="C8" s="106"/>
      <c r="D8" s="106"/>
      <c r="E8" s="106"/>
      <c r="F8" s="106"/>
      <c r="G8" s="106"/>
      <c r="H8" s="106"/>
      <c r="I8" s="106"/>
      <c r="J8" s="106"/>
      <c r="K8" s="106"/>
      <c r="L8" s="106"/>
      <c r="M8" s="106"/>
      <c r="N8" s="106"/>
      <c r="O8" s="106"/>
      <c r="P8" s="106"/>
      <c r="Q8" s="106"/>
      <c r="R8" s="106"/>
      <c r="S8" s="106"/>
      <c r="T8" s="106"/>
      <c r="U8" s="106"/>
      <c r="V8" s="106"/>
      <c r="W8" s="106"/>
      <c r="X8" s="106"/>
    </row>
    <row r="9" spans="3:26" ht="12.75">
      <c r="C9" s="106"/>
      <c r="D9" s="106"/>
      <c r="E9" s="106"/>
      <c r="F9" s="106"/>
      <c r="G9" s="106"/>
      <c r="H9" s="106"/>
      <c r="I9" s="106"/>
      <c r="J9" s="106"/>
      <c r="K9" s="106"/>
      <c r="L9" s="106"/>
      <c r="M9" s="106"/>
      <c r="N9" s="106"/>
      <c r="O9" s="106"/>
      <c r="P9" s="106"/>
      <c r="Q9" s="106"/>
      <c r="R9" s="106"/>
      <c r="S9" s="106"/>
      <c r="T9" s="106"/>
      <c r="U9" s="106"/>
      <c r="V9" s="106"/>
      <c r="W9" s="106"/>
      <c r="X9" s="106"/>
      <c r="Y9" s="122"/>
      <c r="Z9" s="106"/>
    </row>
    <row r="10" spans="3:26" ht="12.75">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row>
    <row r="11" spans="3:26" ht="12.75">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row>
    <row r="12" spans="3:26" ht="12.75">
      <c r="C12" s="106"/>
      <c r="D12" s="106"/>
      <c r="E12" s="106"/>
      <c r="F12" s="106"/>
      <c r="G12" s="106"/>
      <c r="H12" s="106"/>
      <c r="I12" s="106"/>
      <c r="J12" s="106"/>
      <c r="K12" s="106"/>
      <c r="L12" s="106"/>
      <c r="M12" s="106"/>
      <c r="N12" s="106"/>
      <c r="O12" s="106"/>
      <c r="P12" s="106"/>
      <c r="Q12" s="106"/>
      <c r="R12" s="106"/>
      <c r="S12" s="106"/>
      <c r="T12" s="106"/>
      <c r="U12" s="106"/>
      <c r="V12" s="106"/>
      <c r="W12" s="106"/>
      <c r="X12" s="106"/>
      <c r="Y12" s="122"/>
      <c r="Z12" s="106"/>
    </row>
    <row r="13" spans="3:24" ht="12.75">
      <c r="C13" s="106"/>
      <c r="D13" s="106"/>
      <c r="E13" s="106"/>
      <c r="F13" s="106"/>
      <c r="G13" s="106"/>
      <c r="H13" s="106"/>
      <c r="I13" s="106"/>
      <c r="J13" s="106"/>
      <c r="K13" s="106"/>
      <c r="L13" s="106"/>
      <c r="M13" s="106"/>
      <c r="N13" s="106"/>
      <c r="O13" s="106"/>
      <c r="P13" s="106"/>
      <c r="Q13" s="106"/>
      <c r="R13" s="106"/>
      <c r="S13" s="106"/>
      <c r="T13" s="106"/>
      <c r="U13" s="106"/>
      <c r="V13" s="106"/>
      <c r="W13" s="106"/>
      <c r="X13" s="106"/>
    </row>
    <row r="14" spans="3:24" ht="12.75">
      <c r="C14" s="106"/>
      <c r="D14" s="106"/>
      <c r="E14" s="106"/>
      <c r="F14" s="106"/>
      <c r="G14" s="106"/>
      <c r="H14" s="106"/>
      <c r="I14" s="106"/>
      <c r="J14" s="106"/>
      <c r="K14" s="106"/>
      <c r="L14" s="106"/>
      <c r="M14" s="106"/>
      <c r="N14" s="106"/>
      <c r="O14" s="106"/>
      <c r="P14" s="106"/>
      <c r="Q14" s="106"/>
      <c r="R14" s="106"/>
      <c r="S14" s="106"/>
      <c r="T14" s="106"/>
      <c r="U14" s="106"/>
      <c r="V14" s="106"/>
      <c r="W14" s="106"/>
      <c r="X14" s="106"/>
    </row>
    <row r="15" spans="3:24" ht="12.75">
      <c r="C15" s="106"/>
      <c r="D15" s="106"/>
      <c r="E15" s="106"/>
      <c r="F15" s="106"/>
      <c r="G15" s="106"/>
      <c r="H15" s="106"/>
      <c r="I15" s="106"/>
      <c r="J15" s="106"/>
      <c r="K15" s="106"/>
      <c r="L15" s="106"/>
      <c r="M15" s="106"/>
      <c r="N15" s="106"/>
      <c r="O15" s="106"/>
      <c r="P15" s="106"/>
      <c r="Q15" s="106"/>
      <c r="R15" s="106"/>
      <c r="S15" s="106"/>
      <c r="T15" s="106"/>
      <c r="U15" s="106"/>
      <c r="V15" s="106"/>
      <c r="W15" s="106"/>
      <c r="X15" s="106"/>
    </row>
    <row r="16" spans="3:24" ht="12.75">
      <c r="C16" s="106"/>
      <c r="D16" s="106"/>
      <c r="E16" s="106"/>
      <c r="F16" s="106"/>
      <c r="G16" s="106"/>
      <c r="H16" s="106"/>
      <c r="I16" s="106"/>
      <c r="J16" s="106"/>
      <c r="K16" s="106"/>
      <c r="L16" s="106"/>
      <c r="M16" s="106"/>
      <c r="N16" s="106"/>
      <c r="O16" s="106"/>
      <c r="P16" s="106"/>
      <c r="Q16" s="106"/>
      <c r="R16" s="106"/>
      <c r="S16" s="106"/>
      <c r="T16" s="106"/>
      <c r="U16" s="106"/>
      <c r="V16" s="106"/>
      <c r="W16" s="106"/>
      <c r="X16" s="106"/>
    </row>
    <row r="17" spans="3:24" ht="12.75">
      <c r="C17" s="106"/>
      <c r="D17" s="106"/>
      <c r="E17" s="106"/>
      <c r="F17" s="106"/>
      <c r="G17" s="106"/>
      <c r="H17" s="106"/>
      <c r="I17" s="106"/>
      <c r="J17" s="106"/>
      <c r="K17" s="106"/>
      <c r="L17" s="106"/>
      <c r="M17" s="106"/>
      <c r="N17" s="106"/>
      <c r="O17" s="106"/>
      <c r="P17" s="106"/>
      <c r="Q17" s="106"/>
      <c r="R17" s="106"/>
      <c r="S17" s="106"/>
      <c r="T17" s="106"/>
      <c r="U17" s="106"/>
      <c r="V17" s="106"/>
      <c r="W17" s="106"/>
      <c r="X17" s="106"/>
    </row>
    <row r="18" spans="3:24" ht="12.75">
      <c r="C18" s="106"/>
      <c r="D18" s="106"/>
      <c r="E18" s="106"/>
      <c r="F18" s="106"/>
      <c r="G18" s="106"/>
      <c r="H18" s="106"/>
      <c r="I18" s="106"/>
      <c r="J18" s="106"/>
      <c r="K18" s="106"/>
      <c r="L18" s="106"/>
      <c r="M18" s="106"/>
      <c r="N18" s="106"/>
      <c r="O18" s="106"/>
      <c r="P18" s="106"/>
      <c r="Q18" s="106"/>
      <c r="R18" s="106"/>
      <c r="S18" s="106"/>
      <c r="T18" s="106"/>
      <c r="U18" s="106"/>
      <c r="V18" s="106"/>
      <c r="W18" s="106"/>
      <c r="X18" s="106"/>
    </row>
    <row r="19" spans="3:23" ht="24.75" customHeight="1" thickBot="1">
      <c r="C19" s="135"/>
      <c r="D19" s="135"/>
      <c r="E19" s="135"/>
      <c r="F19" s="136"/>
      <c r="G19" s="137"/>
      <c r="H19" s="137"/>
      <c r="I19" s="134"/>
      <c r="J19" s="135"/>
      <c r="K19" s="135"/>
      <c r="L19" s="136" t="str">
        <f>AB75</f>
        <v>Similar to reference</v>
      </c>
      <c r="M19" s="137"/>
      <c r="N19" s="137"/>
      <c r="O19" s="134"/>
      <c r="P19" s="135"/>
      <c r="Q19" s="135"/>
      <c r="R19" s="136"/>
      <c r="S19" s="136"/>
      <c r="T19" s="136"/>
      <c r="U19" s="134"/>
      <c r="V19" s="135"/>
      <c r="W19" s="135"/>
    </row>
    <row r="20" spans="3:23" ht="48" customHeight="1" thickBot="1">
      <c r="C20" s="150" t="str">
        <f>IF(Z69=0,"",Z69)</f>
        <v>&gt;300 MT U feed/Gwyr</v>
      </c>
      <c r="D20" s="151"/>
      <c r="E20" s="152"/>
      <c r="F20" s="150" t="str">
        <f>IF(AA69=0,"",AA69)</f>
        <v>250-300 MT U feed/Gwyr</v>
      </c>
      <c r="G20" s="151"/>
      <c r="H20" s="152"/>
      <c r="I20" s="150" t="str">
        <f>IF(AB69=0,"",AB69)</f>
        <v>200-250 MT U feed/Gwyr</v>
      </c>
      <c r="J20" s="151"/>
      <c r="K20" s="152"/>
      <c r="L20" s="150" t="str">
        <f>IF(AC69=0,"",AC69)</f>
        <v>150-200 MT U feed/Gwyr</v>
      </c>
      <c r="M20" s="151"/>
      <c r="N20" s="152"/>
      <c r="O20" s="150" t="str">
        <f>IF(AD69=0,"",AD69)</f>
        <v>100-150 MT U feed/Gwyr</v>
      </c>
      <c r="P20" s="151"/>
      <c r="Q20" s="152"/>
      <c r="R20" s="150" t="str">
        <f>IF(AE69=0,"",AE69)</f>
        <v>10-100 MT U feed/Gwyr</v>
      </c>
      <c r="S20" s="151"/>
      <c r="T20" s="152"/>
      <c r="U20" s="150" t="str">
        <f>IF(AF69=0,"",AF69)</f>
        <v>&lt;10 MT U feed/Gwyr</v>
      </c>
      <c r="V20" s="151"/>
      <c r="W20" s="152"/>
    </row>
    <row r="21" spans="1:30" ht="12.75">
      <c r="A21" s="2"/>
      <c r="B21" s="3" t="s">
        <v>16</v>
      </c>
      <c r="C21" s="8">
        <f>C35/$X$56</f>
        <v>0</v>
      </c>
      <c r="D21" s="8">
        <f aca="true" t="shared" si="0" ref="D21:W21">D35/$X$56</f>
        <v>0</v>
      </c>
      <c r="E21" s="8">
        <f t="shared" si="0"/>
        <v>0</v>
      </c>
      <c r="F21" s="8">
        <f t="shared" si="0"/>
        <v>0</v>
      </c>
      <c r="G21" s="8">
        <f t="shared" si="0"/>
        <v>0</v>
      </c>
      <c r="H21" s="8">
        <f t="shared" si="0"/>
        <v>0</v>
      </c>
      <c r="I21" s="8">
        <f t="shared" si="0"/>
        <v>0</v>
      </c>
      <c r="J21" s="8">
        <f t="shared" si="0"/>
        <v>0</v>
      </c>
      <c r="K21" s="8">
        <f t="shared" si="0"/>
        <v>0</v>
      </c>
      <c r="L21" s="8">
        <f t="shared" si="0"/>
        <v>0</v>
      </c>
      <c r="M21" s="8">
        <f t="shared" si="0"/>
        <v>0</v>
      </c>
      <c r="N21" s="8">
        <f t="shared" si="0"/>
        <v>0</v>
      </c>
      <c r="O21" s="8">
        <f t="shared" si="0"/>
        <v>0</v>
      </c>
      <c r="P21" s="8">
        <f t="shared" si="0"/>
        <v>0</v>
      </c>
      <c r="Q21" s="8">
        <f t="shared" si="0"/>
        <v>0</v>
      </c>
      <c r="R21" s="8">
        <f t="shared" si="0"/>
        <v>0</v>
      </c>
      <c r="S21" s="8">
        <f t="shared" si="0"/>
        <v>0</v>
      </c>
      <c r="T21" s="8">
        <f t="shared" si="0"/>
        <v>0</v>
      </c>
      <c r="U21" s="8">
        <f t="shared" si="0"/>
        <v>0.22222222222222213</v>
      </c>
      <c r="V21" s="8">
        <f t="shared" si="0"/>
        <v>0.5555555555555551</v>
      </c>
      <c r="W21" s="8">
        <f t="shared" si="0"/>
        <v>0.2222222222222228</v>
      </c>
      <c r="X21" s="2">
        <v>1</v>
      </c>
      <c r="Y21" s="2"/>
      <c r="Z21" s="2">
        <f>SUM(C21:W21)</f>
        <v>1</v>
      </c>
      <c r="AA21" s="2"/>
      <c r="AB21" s="2"/>
      <c r="AC21" s="2"/>
      <c r="AD21" s="2"/>
    </row>
    <row r="22" spans="1:30" ht="12.75">
      <c r="A22" s="2"/>
      <c r="B22" s="3" t="s">
        <v>17</v>
      </c>
      <c r="C22" s="1">
        <v>-1</v>
      </c>
      <c r="D22" s="1">
        <v>-0.9</v>
      </c>
      <c r="E22" s="1">
        <v>-0.8</v>
      </c>
      <c r="F22" s="1">
        <v>-0.7</v>
      </c>
      <c r="G22" s="1">
        <v>-0.6</v>
      </c>
      <c r="H22" s="1">
        <v>-0.5</v>
      </c>
      <c r="I22" s="1">
        <v>-0.4</v>
      </c>
      <c r="J22" s="1">
        <v>-0.3</v>
      </c>
      <c r="K22" s="1">
        <v>-0.2</v>
      </c>
      <c r="L22" s="1">
        <v>-0.1</v>
      </c>
      <c r="M22" s="1">
        <v>0</v>
      </c>
      <c r="N22" s="1">
        <v>0.1</v>
      </c>
      <c r="O22" s="1">
        <v>0.2</v>
      </c>
      <c r="P22" s="1">
        <v>0.3</v>
      </c>
      <c r="Q22" s="1">
        <v>0.4</v>
      </c>
      <c r="R22" s="1">
        <v>0.5</v>
      </c>
      <c r="S22" s="1">
        <v>0.6</v>
      </c>
      <c r="T22" s="1">
        <v>0.7</v>
      </c>
      <c r="U22" s="1">
        <v>0.8</v>
      </c>
      <c r="V22" s="1">
        <v>0.9</v>
      </c>
      <c r="W22" s="1">
        <v>1</v>
      </c>
      <c r="X22" s="2"/>
      <c r="Y22" s="2"/>
      <c r="Z22" s="2"/>
      <c r="AA22" s="2"/>
      <c r="AB22" s="2"/>
      <c r="AC22" s="2"/>
      <c r="AD22" s="2"/>
    </row>
    <row r="23" spans="1:30"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row>
    <row r="24" spans="1:30"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row>
    <row r="25" spans="1:30" ht="12.75">
      <c r="A25" s="2"/>
      <c r="B25" s="2"/>
      <c r="C25" s="2"/>
      <c r="D25" s="2">
        <v>4</v>
      </c>
      <c r="E25" s="2"/>
      <c r="F25" s="2"/>
      <c r="G25" s="2">
        <v>7</v>
      </c>
      <c r="H25" s="2"/>
      <c r="I25" s="2"/>
      <c r="J25" s="2">
        <v>10</v>
      </c>
      <c r="K25" s="2"/>
      <c r="L25" s="2"/>
      <c r="M25" s="2">
        <v>13</v>
      </c>
      <c r="N25" s="2"/>
      <c r="O25" s="2"/>
      <c r="P25" s="2">
        <v>16</v>
      </c>
      <c r="Q25" s="2"/>
      <c r="R25" s="2"/>
      <c r="S25" s="2">
        <v>19</v>
      </c>
      <c r="T25" s="2"/>
      <c r="U25" s="2"/>
      <c r="V25" s="2">
        <v>22</v>
      </c>
      <c r="W25" s="2"/>
      <c r="X25" s="2"/>
      <c r="Y25" s="2"/>
      <c r="Z25" s="2"/>
      <c r="AA25" s="2"/>
      <c r="AB25" s="2"/>
      <c r="AC25" s="2"/>
      <c r="AD25" s="2"/>
    </row>
    <row r="26" spans="1:30" ht="12.75">
      <c r="A26" s="2"/>
      <c r="B26" s="2"/>
      <c r="C26" s="2"/>
      <c r="D26" s="2" t="b">
        <v>0</v>
      </c>
      <c r="E26" s="2"/>
      <c r="F26" s="2"/>
      <c r="G26" s="2" t="b">
        <v>0</v>
      </c>
      <c r="H26" s="2"/>
      <c r="I26" s="2"/>
      <c r="J26" s="2" t="b">
        <v>0</v>
      </c>
      <c r="K26" s="2"/>
      <c r="L26" s="2"/>
      <c r="M26" s="2" t="b">
        <v>0</v>
      </c>
      <c r="N26" s="2"/>
      <c r="O26" s="2"/>
      <c r="P26" s="2" t="b">
        <v>0</v>
      </c>
      <c r="Q26" s="2"/>
      <c r="R26" s="2"/>
      <c r="S26" s="2" t="b">
        <v>0</v>
      </c>
      <c r="T26" s="2"/>
      <c r="U26" s="2"/>
      <c r="V26" s="2" t="b">
        <v>1</v>
      </c>
      <c r="W26" s="2"/>
      <c r="X26" s="2"/>
      <c r="Y26" s="2"/>
      <c r="Z26" s="2"/>
      <c r="AA26" s="2"/>
      <c r="AB26" s="2"/>
      <c r="AC26" s="2"/>
      <c r="AD26" s="2"/>
    </row>
    <row r="27" spans="1:30" ht="12.75">
      <c r="A27" s="2"/>
      <c r="B27" s="2"/>
      <c r="C27" s="1">
        <f>IF(D26,1,0)</f>
        <v>0</v>
      </c>
      <c r="D27" s="1">
        <f>IF(D26,1,0)</f>
        <v>0</v>
      </c>
      <c r="E27" s="1">
        <f>IF(D26,1,0)</f>
        <v>0</v>
      </c>
      <c r="F27" s="1">
        <f>IF(G26,1,0)</f>
        <v>0</v>
      </c>
      <c r="G27" s="1">
        <f>IF(G26,1,0)</f>
        <v>0</v>
      </c>
      <c r="H27" s="1">
        <f>IF(G26,1,0)</f>
        <v>0</v>
      </c>
      <c r="I27" s="1">
        <f>IF(J26,1,0)</f>
        <v>0</v>
      </c>
      <c r="J27" s="1">
        <f>IF(J26,1,0)</f>
        <v>0</v>
      </c>
      <c r="K27" s="1">
        <f>IF(J26,1,0)</f>
        <v>0</v>
      </c>
      <c r="L27" s="1">
        <f>IF(M26,1,0)</f>
        <v>0</v>
      </c>
      <c r="M27" s="1">
        <f>IF(M26,1,0)</f>
        <v>0</v>
      </c>
      <c r="N27" s="1">
        <f>IF(M26,1,0)</f>
        <v>0</v>
      </c>
      <c r="O27" s="1">
        <f>IF(P26,1,0)</f>
        <v>0</v>
      </c>
      <c r="P27" s="1">
        <f>IF(P26,1,0)</f>
        <v>0</v>
      </c>
      <c r="Q27" s="1">
        <f>IF(P26,1,0)</f>
        <v>0</v>
      </c>
      <c r="R27" s="1">
        <f>IF(S26,1,0)</f>
        <v>0</v>
      </c>
      <c r="S27" s="1">
        <f>IF(S26,1,0)</f>
        <v>0</v>
      </c>
      <c r="T27" s="1">
        <f>IF(S26,1,0)</f>
        <v>0</v>
      </c>
      <c r="U27" s="1">
        <f>IF(V26,1,0)</f>
        <v>1</v>
      </c>
      <c r="V27" s="1">
        <f>IF(V26,1,0)</f>
        <v>1</v>
      </c>
      <c r="W27" s="1">
        <f>IF(V26,1,0)</f>
        <v>1</v>
      </c>
      <c r="X27" s="2" t="s">
        <v>18</v>
      </c>
      <c r="Y27" s="2">
        <f>SUM(D27+G27+J27+M27+P27+S27+V27)</f>
        <v>1</v>
      </c>
      <c r="Z27" s="2">
        <f>SUM(C27:W27)</f>
        <v>3</v>
      </c>
      <c r="AA27" s="2"/>
      <c r="AB27" s="2"/>
      <c r="AC27" s="2"/>
      <c r="AD27" s="2"/>
    </row>
    <row r="28" spans="1:30" ht="12.75">
      <c r="A28" s="2"/>
      <c r="B28" s="2"/>
      <c r="C28" s="1">
        <f>IF($D26,C22,"")</f>
      </c>
      <c r="D28" s="1">
        <f>IF($D26,D22,"")</f>
      </c>
      <c r="E28" s="1">
        <f>IF($D26,E22,"")</f>
      </c>
      <c r="F28" s="1">
        <f>IF($G26,F22,"")</f>
      </c>
      <c r="G28" s="1">
        <f>IF($G26,G22,"")</f>
      </c>
      <c r="H28" s="1">
        <f>IF($G26,H22,"")</f>
      </c>
      <c r="I28" s="1">
        <f>IF($J26,I22,"")</f>
      </c>
      <c r="J28" s="1">
        <f>IF($J26,J22,"")</f>
      </c>
      <c r="K28" s="1">
        <f>IF($J26,K22,"")</f>
      </c>
      <c r="L28" s="1">
        <f>IF($M26,L22,"")</f>
      </c>
      <c r="M28" s="1">
        <f>IF($M26,M22,"")</f>
      </c>
      <c r="N28" s="1">
        <f>IF($M26,N22,"")</f>
      </c>
      <c r="O28" s="1">
        <f>IF($P26,O22,"")</f>
      </c>
      <c r="P28" s="1">
        <f>IF($P26,P22,"")</f>
      </c>
      <c r="Q28" s="1">
        <f>IF($P26,Q22,"")</f>
      </c>
      <c r="R28" s="1">
        <f>IF($S26,R22,"")</f>
      </c>
      <c r="S28" s="1">
        <f>IF($S26,S22,"")</f>
      </c>
      <c r="T28" s="1">
        <f>IF($S26,T22,"")</f>
      </c>
      <c r="U28" s="1">
        <f>IF($V26,U22,"")</f>
        <v>0.8</v>
      </c>
      <c r="V28" s="1">
        <f>IF($V26,V22,"")</f>
        <v>0.9</v>
      </c>
      <c r="W28" s="1">
        <f>IF($V26,W22,"")</f>
        <v>1</v>
      </c>
      <c r="X28" s="3" t="s">
        <v>85</v>
      </c>
      <c r="Y28" s="2">
        <f>AVERAGE(C28:W28)</f>
        <v>0.9</v>
      </c>
      <c r="Z28" s="2"/>
      <c r="AA28" s="2"/>
      <c r="AB28" s="2"/>
      <c r="AC28" s="2"/>
      <c r="AD28" s="2"/>
    </row>
    <row r="29" spans="1:30" ht="6" customHeight="1">
      <c r="A29" s="2"/>
      <c r="B29" s="2"/>
      <c r="C29" s="1"/>
      <c r="D29" s="1"/>
      <c r="E29" s="1"/>
      <c r="F29" s="1"/>
      <c r="G29" s="1"/>
      <c r="H29" s="1"/>
      <c r="I29" s="1"/>
      <c r="J29" s="1"/>
      <c r="K29" s="1"/>
      <c r="L29" s="1"/>
      <c r="M29" s="1"/>
      <c r="N29" s="1"/>
      <c r="O29" s="1"/>
      <c r="P29" s="1"/>
      <c r="Q29" s="1"/>
      <c r="R29" s="1"/>
      <c r="S29" s="1"/>
      <c r="T29" s="1"/>
      <c r="U29" s="1"/>
      <c r="V29" s="1"/>
      <c r="W29" s="1"/>
      <c r="X29" s="2"/>
      <c r="Y29" s="2"/>
      <c r="Z29" s="2"/>
      <c r="AA29" s="2"/>
      <c r="AB29" s="2"/>
      <c r="AC29" s="2"/>
      <c r="AD29" s="2"/>
    </row>
    <row r="30" spans="1:30" ht="39.75" customHeight="1">
      <c r="A30" s="23"/>
      <c r="B30" s="94" t="s">
        <v>158</v>
      </c>
      <c r="C30" s="138" t="s">
        <v>340</v>
      </c>
      <c r="D30" s="139"/>
      <c r="E30" s="139"/>
      <c r="F30" s="139"/>
      <c r="G30" s="139"/>
      <c r="H30" s="139"/>
      <c r="I30" s="139"/>
      <c r="J30" s="139"/>
      <c r="K30" s="139"/>
      <c r="L30" s="139"/>
      <c r="M30" s="139"/>
      <c r="N30" s="139"/>
      <c r="O30" s="139"/>
      <c r="P30" s="139"/>
      <c r="Q30" s="139"/>
      <c r="R30" s="139"/>
      <c r="S30" s="139"/>
      <c r="T30" s="139"/>
      <c r="U30" s="139"/>
      <c r="V30" s="139"/>
      <c r="W30" s="140"/>
      <c r="X30" s="2"/>
      <c r="Y30" s="2"/>
      <c r="Z30" s="2"/>
      <c r="AA30" s="2"/>
      <c r="AB30" s="2"/>
      <c r="AC30" s="2"/>
      <c r="AD30" s="2"/>
    </row>
    <row r="31" spans="1:30" ht="69" customHeight="1">
      <c r="A31" s="23"/>
      <c r="B31" s="23"/>
      <c r="C31" s="141"/>
      <c r="D31" s="142"/>
      <c r="E31" s="142"/>
      <c r="F31" s="142"/>
      <c r="G31" s="142"/>
      <c r="H31" s="142"/>
      <c r="I31" s="142"/>
      <c r="J31" s="142"/>
      <c r="K31" s="142"/>
      <c r="L31" s="142"/>
      <c r="M31" s="142"/>
      <c r="N31" s="142"/>
      <c r="O31" s="142"/>
      <c r="P31" s="142"/>
      <c r="Q31" s="142"/>
      <c r="R31" s="142"/>
      <c r="S31" s="142"/>
      <c r="T31" s="142"/>
      <c r="U31" s="142"/>
      <c r="V31" s="142"/>
      <c r="W31" s="143"/>
      <c r="X31" s="2"/>
      <c r="Y31" s="2"/>
      <c r="Z31" s="2"/>
      <c r="AA31" s="2"/>
      <c r="AB31" s="2"/>
      <c r="AC31" s="2"/>
      <c r="AD31" s="2"/>
    </row>
    <row r="32" spans="1:30" ht="51.75" customHeight="1" thickBot="1">
      <c r="A32" s="23"/>
      <c r="B32" s="23"/>
      <c r="C32" s="144"/>
      <c r="D32" s="145"/>
      <c r="E32" s="145"/>
      <c r="F32" s="145"/>
      <c r="G32" s="145"/>
      <c r="H32" s="145"/>
      <c r="I32" s="145"/>
      <c r="J32" s="145"/>
      <c r="K32" s="145"/>
      <c r="L32" s="145"/>
      <c r="M32" s="145"/>
      <c r="N32" s="145"/>
      <c r="O32" s="145"/>
      <c r="P32" s="145"/>
      <c r="Q32" s="145"/>
      <c r="R32" s="145"/>
      <c r="S32" s="145"/>
      <c r="T32" s="145"/>
      <c r="U32" s="145"/>
      <c r="V32" s="145"/>
      <c r="W32" s="146"/>
      <c r="X32" s="2"/>
      <c r="Y32" s="2">
        <f>Y28+1</f>
        <v>1.9</v>
      </c>
      <c r="Z32" s="2"/>
      <c r="AA32" s="2"/>
      <c r="AB32" s="2"/>
      <c r="AC32" s="2"/>
      <c r="AD32" s="2"/>
    </row>
    <row r="33" spans="1:30" ht="33" customHeight="1">
      <c r="A33" s="23"/>
      <c r="B33" s="94" t="s">
        <v>204</v>
      </c>
      <c r="C33" s="141" t="s">
        <v>339</v>
      </c>
      <c r="D33" s="142"/>
      <c r="E33" s="142"/>
      <c r="F33" s="142"/>
      <c r="G33" s="142"/>
      <c r="H33" s="142"/>
      <c r="I33" s="142"/>
      <c r="J33" s="142"/>
      <c r="K33" s="142"/>
      <c r="L33" s="142"/>
      <c r="M33" s="142"/>
      <c r="N33" s="142"/>
      <c r="O33" s="142"/>
      <c r="P33" s="142"/>
      <c r="Q33" s="142"/>
      <c r="R33" s="142"/>
      <c r="S33" s="142"/>
      <c r="T33" s="142"/>
      <c r="U33" s="142"/>
      <c r="V33" s="142"/>
      <c r="W33" s="143"/>
      <c r="X33" s="2"/>
      <c r="Y33" s="2"/>
      <c r="Z33" s="2"/>
      <c r="AA33" s="2"/>
      <c r="AB33" s="2"/>
      <c r="AC33" s="2"/>
      <c r="AD33" s="2"/>
    </row>
    <row r="34" spans="1:30" ht="126.75" customHeight="1">
      <c r="A34" s="23"/>
      <c r="B34" s="23"/>
      <c r="C34" s="147"/>
      <c r="D34" s="148"/>
      <c r="E34" s="148"/>
      <c r="F34" s="148"/>
      <c r="G34" s="148"/>
      <c r="H34" s="148"/>
      <c r="I34" s="148"/>
      <c r="J34" s="148"/>
      <c r="K34" s="148"/>
      <c r="L34" s="148"/>
      <c r="M34" s="148"/>
      <c r="N34" s="148"/>
      <c r="O34" s="148"/>
      <c r="P34" s="148"/>
      <c r="Q34" s="148"/>
      <c r="R34" s="148"/>
      <c r="S34" s="148"/>
      <c r="T34" s="148"/>
      <c r="U34" s="148"/>
      <c r="V34" s="148"/>
      <c r="W34" s="149"/>
      <c r="X34" s="2"/>
      <c r="Y34" s="2"/>
      <c r="Z34" s="2"/>
      <c r="AA34" s="2"/>
      <c r="AB34" s="2"/>
      <c r="AC34" s="2"/>
      <c r="AD34" s="2"/>
    </row>
    <row r="35" spans="1:30" ht="12.75">
      <c r="A35" s="23"/>
      <c r="B35" s="23"/>
      <c r="C35" s="5">
        <f>C56</f>
        <v>0</v>
      </c>
      <c r="D35" s="5">
        <f aca="true" t="shared" si="1" ref="D35:W35">D56</f>
        <v>0</v>
      </c>
      <c r="E35" s="5">
        <f t="shared" si="1"/>
        <v>0</v>
      </c>
      <c r="F35" s="5">
        <f t="shared" si="1"/>
        <v>0</v>
      </c>
      <c r="G35" s="5">
        <f t="shared" si="1"/>
        <v>0</v>
      </c>
      <c r="H35" s="5">
        <f t="shared" si="1"/>
        <v>0</v>
      </c>
      <c r="I35" s="5">
        <f t="shared" si="1"/>
        <v>0</v>
      </c>
      <c r="J35" s="5">
        <f t="shared" si="1"/>
        <v>0</v>
      </c>
      <c r="K35" s="5">
        <f t="shared" si="1"/>
        <v>0</v>
      </c>
      <c r="L35" s="5">
        <f t="shared" si="1"/>
        <v>0</v>
      </c>
      <c r="M35" s="5">
        <f t="shared" si="1"/>
        <v>0</v>
      </c>
      <c r="N35" s="5">
        <f t="shared" si="1"/>
        <v>0</v>
      </c>
      <c r="O35" s="5">
        <f t="shared" si="1"/>
        <v>0</v>
      </c>
      <c r="P35" s="5">
        <f t="shared" si="1"/>
        <v>0</v>
      </c>
      <c r="Q35" s="5">
        <f t="shared" si="1"/>
        <v>0</v>
      </c>
      <c r="R35" s="5">
        <f t="shared" si="1"/>
        <v>0</v>
      </c>
      <c r="S35" s="5">
        <f t="shared" si="1"/>
        <v>0</v>
      </c>
      <c r="T35" s="5">
        <f t="shared" si="1"/>
        <v>0</v>
      </c>
      <c r="U35" s="5">
        <f t="shared" si="1"/>
        <v>0.22222222222222188</v>
      </c>
      <c r="V35" s="5">
        <f t="shared" si="1"/>
        <v>0.5555555555555545</v>
      </c>
      <c r="W35" s="5">
        <f t="shared" si="1"/>
        <v>0.22222222222222254</v>
      </c>
      <c r="X35" s="2"/>
      <c r="Y35" s="2"/>
      <c r="Z35" s="6">
        <f>SUM(C35:W35)</f>
        <v>0.9999999999999989</v>
      </c>
      <c r="AA35" s="2"/>
      <c r="AB35" s="2"/>
      <c r="AC35" s="2"/>
      <c r="AD35" s="2"/>
    </row>
    <row r="36" spans="1:30" ht="12.75">
      <c r="A36" s="2"/>
      <c r="B36" s="2"/>
      <c r="C36" s="13">
        <v>-0.95</v>
      </c>
      <c r="D36" s="13">
        <v>-0.85</v>
      </c>
      <c r="E36" s="13">
        <v>-0.75</v>
      </c>
      <c r="F36" s="13">
        <v>-0.65</v>
      </c>
      <c r="G36" s="13">
        <v>-0.55</v>
      </c>
      <c r="H36" s="13">
        <v>-0.45</v>
      </c>
      <c r="I36" s="13">
        <v>-0.35</v>
      </c>
      <c r="J36" s="13">
        <v>-0.25</v>
      </c>
      <c r="K36" s="13">
        <v>-0.15</v>
      </c>
      <c r="L36" s="13">
        <v>-0.0499999999999999</v>
      </c>
      <c r="M36" s="13">
        <v>0.05</v>
      </c>
      <c r="N36" s="13">
        <v>0.15</v>
      </c>
      <c r="O36" s="13">
        <v>0.25</v>
      </c>
      <c r="P36" s="13">
        <v>0.35</v>
      </c>
      <c r="Q36" s="13">
        <v>0.45</v>
      </c>
      <c r="R36" s="13">
        <v>0.55</v>
      </c>
      <c r="S36" s="13">
        <v>0.65</v>
      </c>
      <c r="T36" s="13">
        <v>0.75</v>
      </c>
      <c r="U36" s="13">
        <v>0.85</v>
      </c>
      <c r="V36" s="13">
        <v>0.95</v>
      </c>
      <c r="W36" s="13">
        <v>1.05</v>
      </c>
      <c r="X36" s="2"/>
      <c r="Y36" s="2"/>
      <c r="Z36" s="2"/>
      <c r="AA36" s="2"/>
      <c r="AB36" s="2" t="s">
        <v>105</v>
      </c>
      <c r="AC36" s="2"/>
      <c r="AD36" s="2"/>
    </row>
    <row r="37" spans="1:30"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1:30"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row>
    <row r="39" spans="1:30"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row>
    <row r="40" spans="1:30"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row>
    <row r="41" spans="1:30" ht="12.75">
      <c r="A41" s="2" t="s">
        <v>15</v>
      </c>
      <c r="B41" s="18">
        <v>1</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row>
    <row r="42" spans="1:30"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ht="12.75">
      <c r="A45" s="2" t="s">
        <v>113</v>
      </c>
      <c r="B45" s="18">
        <v>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ht="12.75">
      <c r="A46" s="2" t="s">
        <v>97</v>
      </c>
      <c r="B46" s="2">
        <f>B45*0.3-1.2</f>
        <v>0.9000000000000001</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ht="12.75">
      <c r="A47" s="2" t="s">
        <v>115</v>
      </c>
      <c r="B47" s="18">
        <v>4</v>
      </c>
      <c r="C47" s="6">
        <f>B47*0.3-1.2</f>
        <v>0</v>
      </c>
      <c r="D47" s="2"/>
      <c r="E47" s="2"/>
      <c r="F47" s="2"/>
      <c r="G47" s="2"/>
      <c r="H47" s="2"/>
      <c r="I47" s="2"/>
      <c r="J47" s="2"/>
      <c r="K47" s="2"/>
      <c r="L47" s="2"/>
      <c r="M47" s="14"/>
      <c r="N47" s="2"/>
      <c r="O47" s="2"/>
      <c r="P47" s="2"/>
      <c r="Q47" s="2"/>
      <c r="R47" s="2"/>
      <c r="S47" s="2"/>
      <c r="T47" s="2"/>
      <c r="U47" s="2"/>
      <c r="V47" s="2"/>
      <c r="W47" s="2"/>
      <c r="X47" s="2"/>
      <c r="Y47" s="2"/>
      <c r="Z47" s="2"/>
      <c r="AA47" s="2"/>
      <c r="AB47" s="2"/>
      <c r="AC47" s="2"/>
      <c r="AD47" s="2"/>
    </row>
    <row r="48" spans="1:30" ht="12.75">
      <c r="A48" s="2" t="s">
        <v>116</v>
      </c>
      <c r="B48" s="18">
        <v>4</v>
      </c>
      <c r="C48" s="6">
        <f>B48*0.3-1.2</f>
        <v>0</v>
      </c>
      <c r="D48" s="2"/>
      <c r="E48" s="2"/>
      <c r="F48" s="2"/>
      <c r="G48" s="2"/>
      <c r="H48" s="2"/>
      <c r="I48" s="2"/>
      <c r="J48" s="2"/>
      <c r="K48" s="2"/>
      <c r="L48" s="2"/>
      <c r="M48" s="14"/>
      <c r="N48" s="2"/>
      <c r="O48" s="2"/>
      <c r="P48" s="2"/>
      <c r="Q48" s="2"/>
      <c r="R48" s="2"/>
      <c r="S48" s="2"/>
      <c r="T48" s="2"/>
      <c r="U48" s="2"/>
      <c r="V48" s="2"/>
      <c r="W48" s="2"/>
      <c r="X48" s="2"/>
      <c r="Y48" s="2"/>
      <c r="Z48" s="2"/>
      <c r="AA48" s="2"/>
      <c r="AB48" s="2"/>
      <c r="AC48" s="2"/>
      <c r="AD48" s="2"/>
    </row>
    <row r="49" spans="1:30" ht="12.75">
      <c r="A49" s="2" t="s">
        <v>49</v>
      </c>
      <c r="B49" s="18">
        <v>5</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1:30" ht="12.75">
      <c r="A50" s="2"/>
      <c r="B50" s="3" t="s">
        <v>114</v>
      </c>
      <c r="C50" s="12">
        <f>IF($B$41=1,IF(OR(C36&lt;$Z$51,C36&gt;$AB$51),0,IF(C36&lt;$AD$51,((C36-$Z$51)^2)/(($AB$51-$Z$51)*($AD$51-$Z$51)),($Z$51*($AB$51-$AD$51)+$AB$51*($AD$51-(2*C36))+C36^2)/(($Z$51-$AB$51)*($AB$51-$AD$51)))),0)</f>
        <v>0</v>
      </c>
      <c r="D50" s="12">
        <f aca="true" t="shared" si="2" ref="D50:W50">IF($B$41=1,IF(OR(D36&lt;$Z$51,D36&gt;$AB$51),0,IF(D36&lt;$AD$51,((D36-$Z$51)^2)/(($AB$51-$Z$51)*($AD$51-$Z$51)),($Z$51*($AB$51-$AD$51)+$AB$51*($AD$51-(2*D36))+D36^2)/(($Z$51-$AB$51)*($AB$51-$AD$51)))),0)</f>
        <v>0</v>
      </c>
      <c r="E50" s="12">
        <f t="shared" si="2"/>
        <v>0</v>
      </c>
      <c r="F50" s="12">
        <f t="shared" si="2"/>
        <v>0</v>
      </c>
      <c r="G50" s="12">
        <f t="shared" si="2"/>
        <v>0</v>
      </c>
      <c r="H50" s="12">
        <f t="shared" si="2"/>
        <v>0</v>
      </c>
      <c r="I50" s="12">
        <f t="shared" si="2"/>
        <v>0</v>
      </c>
      <c r="J50" s="12">
        <f t="shared" si="2"/>
        <v>0</v>
      </c>
      <c r="K50" s="12">
        <f t="shared" si="2"/>
        <v>0</v>
      </c>
      <c r="L50" s="12">
        <f t="shared" si="2"/>
        <v>0</v>
      </c>
      <c r="M50" s="12">
        <f t="shared" si="2"/>
        <v>0</v>
      </c>
      <c r="N50" s="12">
        <f t="shared" si="2"/>
        <v>0</v>
      </c>
      <c r="O50" s="12">
        <f t="shared" si="2"/>
        <v>0</v>
      </c>
      <c r="P50" s="12">
        <f t="shared" si="2"/>
        <v>0</v>
      </c>
      <c r="Q50" s="12">
        <f t="shared" si="2"/>
        <v>0</v>
      </c>
      <c r="R50" s="12">
        <f t="shared" si="2"/>
        <v>0</v>
      </c>
      <c r="S50" s="12">
        <f t="shared" si="2"/>
        <v>0</v>
      </c>
      <c r="T50" s="12">
        <f t="shared" si="2"/>
        <v>0</v>
      </c>
      <c r="U50" s="12">
        <f t="shared" si="2"/>
        <v>0.22222222222222188</v>
      </c>
      <c r="V50" s="12">
        <f t="shared" si="2"/>
        <v>0.7777777777777763</v>
      </c>
      <c r="W50" s="12">
        <f t="shared" si="2"/>
        <v>0.9999999999999989</v>
      </c>
      <c r="X50" s="2"/>
      <c r="Y50" s="2"/>
      <c r="Z50" s="2"/>
      <c r="AA50" s="2"/>
      <c r="AB50" s="2"/>
      <c r="AC50" s="2"/>
      <c r="AD50" s="2"/>
    </row>
    <row r="51" spans="1:30" ht="12.75">
      <c r="A51" s="17" t="s">
        <v>47</v>
      </c>
      <c r="B51" s="2" t="s">
        <v>111</v>
      </c>
      <c r="C51" s="14">
        <f>C50</f>
        <v>0</v>
      </c>
      <c r="D51" s="14">
        <f>IF(D50&lt;&gt;0,D50-C50,D50)</f>
        <v>0</v>
      </c>
      <c r="E51" s="14">
        <f aca="true" t="shared" si="3" ref="E51:W51">IF(E50&lt;&gt;0,E50-D50,E50)</f>
        <v>0</v>
      </c>
      <c r="F51" s="14">
        <f t="shared" si="3"/>
        <v>0</v>
      </c>
      <c r="G51" s="14">
        <f t="shared" si="3"/>
        <v>0</v>
      </c>
      <c r="H51" s="14">
        <f t="shared" si="3"/>
        <v>0</v>
      </c>
      <c r="I51" s="14">
        <f t="shared" si="3"/>
        <v>0</v>
      </c>
      <c r="J51" s="14">
        <f t="shared" si="3"/>
        <v>0</v>
      </c>
      <c r="K51" s="14">
        <f t="shared" si="3"/>
        <v>0</v>
      </c>
      <c r="L51" s="14">
        <f t="shared" si="3"/>
        <v>0</v>
      </c>
      <c r="M51" s="14">
        <f t="shared" si="3"/>
        <v>0</v>
      </c>
      <c r="N51" s="14">
        <f t="shared" si="3"/>
        <v>0</v>
      </c>
      <c r="O51" s="14">
        <f t="shared" si="3"/>
        <v>0</v>
      </c>
      <c r="P51" s="14">
        <f t="shared" si="3"/>
        <v>0</v>
      </c>
      <c r="Q51" s="14">
        <f t="shared" si="3"/>
        <v>0</v>
      </c>
      <c r="R51" s="14">
        <f t="shared" si="3"/>
        <v>0</v>
      </c>
      <c r="S51" s="14">
        <f t="shared" si="3"/>
        <v>0</v>
      </c>
      <c r="T51" s="14">
        <f t="shared" si="3"/>
        <v>0</v>
      </c>
      <c r="U51" s="14">
        <f t="shared" si="3"/>
        <v>0.22222222222222188</v>
      </c>
      <c r="V51" s="14">
        <f t="shared" si="3"/>
        <v>0.5555555555555545</v>
      </c>
      <c r="W51" s="14">
        <f t="shared" si="3"/>
        <v>0.22222222222222254</v>
      </c>
      <c r="X51" s="2"/>
      <c r="Y51" s="3" t="s">
        <v>112</v>
      </c>
      <c r="Z51" s="4">
        <f>MIN(C28:W28)-0.05</f>
        <v>0.75</v>
      </c>
      <c r="AA51" s="3" t="s">
        <v>110</v>
      </c>
      <c r="AB51" s="4">
        <f>MAX(C28:W28)+0.05</f>
        <v>1.05</v>
      </c>
      <c r="AC51" s="3" t="s">
        <v>20</v>
      </c>
      <c r="AD51" s="4">
        <f>B46</f>
        <v>0.9000000000000001</v>
      </c>
    </row>
    <row r="52" spans="1:30" ht="12.75">
      <c r="A52" s="2">
        <f>B49/10</f>
        <v>0.5</v>
      </c>
      <c r="B52" s="2" t="s">
        <v>117</v>
      </c>
      <c r="C52" s="14">
        <f>IF($B$47=$B$48,0,C59)*A52</f>
        <v>0</v>
      </c>
      <c r="D52" s="1">
        <f>IF($B$47=$B$48,0,IF(D59&lt;&gt;0,D59-C59,D59))*$A52</f>
        <v>0</v>
      </c>
      <c r="E52" s="1">
        <f aca="true" t="shared" si="4" ref="E52:W52">IF($B$47=$B$48,0,IF(E59&lt;&gt;0,E59-D59,E59))*$A52</f>
        <v>0</v>
      </c>
      <c r="F52" s="1">
        <f t="shared" si="4"/>
        <v>0</v>
      </c>
      <c r="G52" s="1">
        <f t="shared" si="4"/>
        <v>0</v>
      </c>
      <c r="H52" s="1">
        <f t="shared" si="4"/>
        <v>0</v>
      </c>
      <c r="I52" s="1">
        <f t="shared" si="4"/>
        <v>0</v>
      </c>
      <c r="J52" s="1">
        <f t="shared" si="4"/>
        <v>0</v>
      </c>
      <c r="K52" s="1">
        <f t="shared" si="4"/>
        <v>0</v>
      </c>
      <c r="L52" s="1">
        <f t="shared" si="4"/>
        <v>0</v>
      </c>
      <c r="M52" s="1">
        <f t="shared" si="4"/>
        <v>0</v>
      </c>
      <c r="N52" s="1">
        <f t="shared" si="4"/>
        <v>0</v>
      </c>
      <c r="O52" s="1">
        <f t="shared" si="4"/>
        <v>0</v>
      </c>
      <c r="P52" s="1">
        <f t="shared" si="4"/>
        <v>0</v>
      </c>
      <c r="Q52" s="1">
        <f t="shared" si="4"/>
        <v>0</v>
      </c>
      <c r="R52" s="1">
        <f t="shared" si="4"/>
        <v>0</v>
      </c>
      <c r="S52" s="1">
        <f t="shared" si="4"/>
        <v>0</v>
      </c>
      <c r="T52" s="1">
        <f t="shared" si="4"/>
        <v>0</v>
      </c>
      <c r="U52" s="1">
        <f t="shared" si="4"/>
        <v>0</v>
      </c>
      <c r="V52" s="1">
        <f t="shared" si="4"/>
        <v>0</v>
      </c>
      <c r="W52" s="1">
        <f t="shared" si="4"/>
        <v>0</v>
      </c>
      <c r="X52" s="2"/>
      <c r="Y52" s="3" t="s">
        <v>112</v>
      </c>
      <c r="Z52" s="15">
        <f>C47-0.15</f>
        <v>-0.15</v>
      </c>
      <c r="AA52" s="3" t="s">
        <v>110</v>
      </c>
      <c r="AB52" s="15">
        <f>C47+0.15</f>
        <v>0.15</v>
      </c>
      <c r="AC52" s="3" t="s">
        <v>20</v>
      </c>
      <c r="AD52" s="16">
        <f>C47</f>
        <v>0</v>
      </c>
    </row>
    <row r="53" spans="1:30" ht="12.75">
      <c r="A53" s="2">
        <f>1-A52</f>
        <v>0.5</v>
      </c>
      <c r="B53" s="2" t="s">
        <v>118</v>
      </c>
      <c r="C53" s="14">
        <f>IF($B$47=$B$48,0,C60)*A53</f>
        <v>0</v>
      </c>
      <c r="D53" s="1">
        <f>IF($B$47=$B$48,0,IF(D60&lt;&gt;0,D60-C60,D60))*$A53</f>
        <v>0</v>
      </c>
      <c r="E53" s="1">
        <f aca="true" t="shared" si="5" ref="E53:W53">IF($B$47=$B$48,0,IF(E60&lt;&gt;0,E60-D60,E60))*$A53</f>
        <v>0</v>
      </c>
      <c r="F53" s="1">
        <f t="shared" si="5"/>
        <v>0</v>
      </c>
      <c r="G53" s="1">
        <f t="shared" si="5"/>
        <v>0</v>
      </c>
      <c r="H53" s="1">
        <f t="shared" si="5"/>
        <v>0</v>
      </c>
      <c r="I53" s="1">
        <f t="shared" si="5"/>
        <v>0</v>
      </c>
      <c r="J53" s="1">
        <f t="shared" si="5"/>
        <v>0</v>
      </c>
      <c r="K53" s="1">
        <f t="shared" si="5"/>
        <v>0</v>
      </c>
      <c r="L53" s="1">
        <f t="shared" si="5"/>
        <v>0</v>
      </c>
      <c r="M53" s="1">
        <f t="shared" si="5"/>
        <v>0</v>
      </c>
      <c r="N53" s="1">
        <f t="shared" si="5"/>
        <v>0</v>
      </c>
      <c r="O53" s="1">
        <f t="shared" si="5"/>
        <v>0</v>
      </c>
      <c r="P53" s="1">
        <f t="shared" si="5"/>
        <v>0</v>
      </c>
      <c r="Q53" s="1">
        <f t="shared" si="5"/>
        <v>0</v>
      </c>
      <c r="R53" s="1">
        <f t="shared" si="5"/>
        <v>0</v>
      </c>
      <c r="S53" s="1">
        <f t="shared" si="5"/>
        <v>0</v>
      </c>
      <c r="T53" s="1">
        <f t="shared" si="5"/>
        <v>0</v>
      </c>
      <c r="U53" s="1">
        <f t="shared" si="5"/>
        <v>0</v>
      </c>
      <c r="V53" s="1">
        <f t="shared" si="5"/>
        <v>0</v>
      </c>
      <c r="W53" s="1">
        <f t="shared" si="5"/>
        <v>0</v>
      </c>
      <c r="X53" s="2"/>
      <c r="Y53" s="3" t="s">
        <v>112</v>
      </c>
      <c r="Z53" s="15">
        <f>C48-0.15</f>
        <v>-0.15</v>
      </c>
      <c r="AA53" s="3" t="s">
        <v>110</v>
      </c>
      <c r="AB53" s="15">
        <f>C48+0.15</f>
        <v>0.15</v>
      </c>
      <c r="AC53" s="3" t="s">
        <v>20</v>
      </c>
      <c r="AD53" s="16">
        <f>C48</f>
        <v>0</v>
      </c>
    </row>
    <row r="54" spans="1:30" ht="12.75">
      <c r="A54" s="2"/>
      <c r="B54" s="2" t="s">
        <v>46</v>
      </c>
      <c r="C54" s="1">
        <f>IF($B$41=2,IF(AND($B$47=1,$B$48=1),C61,0),0)</f>
        <v>0</v>
      </c>
      <c r="D54" s="1">
        <f>IF($B$41=2,IF(AND($B$47=1,$B$48=1),D61,0),0)</f>
        <v>0</v>
      </c>
      <c r="E54" s="1">
        <f>IF($B$41=2,IF(AND($B$47=1,$B$48=1),E61,0),0)</f>
        <v>0</v>
      </c>
      <c r="F54" s="1">
        <f>IF($B$41=2,IF(AND($B$47=2,$B$48=2),F61,0),0)</f>
        <v>0</v>
      </c>
      <c r="G54" s="1">
        <f>IF($B$41=2,IF(AND($B$47=2,$B$48=2),G61,0),0)</f>
        <v>0</v>
      </c>
      <c r="H54" s="1">
        <f>IF($B$41=2,IF(AND($B$47=2,$B$48=2),H61,0),0)</f>
        <v>0</v>
      </c>
      <c r="I54" s="1">
        <f>IF($B$41=2,IF(AND($B$47=3,$B$48=3),I61,0),0)</f>
        <v>0</v>
      </c>
      <c r="J54" s="1">
        <f>IF($B$41=2,IF(AND($B$47=3,$B$48=3),J61,0),0)</f>
        <v>0</v>
      </c>
      <c r="K54" s="1">
        <f>IF($B$41=2,IF(AND($B$47=3,$B$48=3),K61,0),0)</f>
        <v>0</v>
      </c>
      <c r="L54" s="1">
        <f>IF($B$41=2,IF(AND($B$47=4,$B$48=4),L61,0),0)</f>
        <v>0</v>
      </c>
      <c r="M54" s="1">
        <f>IF($B$41=2,IF(AND($B$47=4,$B$48=4),M61,0),0)</f>
        <v>0</v>
      </c>
      <c r="N54" s="1">
        <f>IF($B$41=2,IF(AND($B$47=4,$B$48=4),N61,0),0)</f>
        <v>0</v>
      </c>
      <c r="O54" s="1">
        <f>IF($B$41=2,IF(AND($B$47=5,$B$48=5),O61,0),0)</f>
        <v>0</v>
      </c>
      <c r="P54" s="1">
        <f>IF($B$41=2,IF(AND($B$47=5,$B$48=5),P61,0),0)</f>
        <v>0</v>
      </c>
      <c r="Q54" s="1">
        <f>IF($B$41=2,IF(AND($B$47=5,$B$48=5),Q61,0),0)</f>
        <v>0</v>
      </c>
      <c r="R54" s="1">
        <f>IF($B$41=2,IF(AND($B$47=6,$B$48=6),R61,0),0)</f>
        <v>0</v>
      </c>
      <c r="S54" s="1">
        <f>IF($B$41=2,IF(AND($B$47=6,$B$48=6),S61,0),0)</f>
        <v>0</v>
      </c>
      <c r="T54" s="1">
        <f>IF($B$41=2,IF(AND($B$47=6,$B$48=6),T61,0),0)</f>
        <v>0</v>
      </c>
      <c r="U54" s="1">
        <f>IF($B$41=2,IF(AND($B$47=7,$B$48=7),U61,0),0)</f>
        <v>0</v>
      </c>
      <c r="V54" s="1">
        <f>IF($B$41=2,IF(AND($B$47=7,$B$48=7),V61,0),0)</f>
        <v>0</v>
      </c>
      <c r="W54" s="1">
        <f>IF($B$41=2,IF(AND($B$47=7,$B$48=7),W61,0),0)</f>
        <v>0</v>
      </c>
      <c r="X54" s="9"/>
      <c r="Y54" s="10"/>
      <c r="Z54" s="11"/>
      <c r="AA54" s="10"/>
      <c r="AB54" s="11"/>
      <c r="AC54" s="9"/>
      <c r="AD54" s="2"/>
    </row>
    <row r="55" spans="1:30" ht="12.75">
      <c r="A55" s="2"/>
      <c r="B55" s="2" t="s">
        <v>14</v>
      </c>
      <c r="C55" s="1">
        <f>IF($B$41=3,1/(($Y$27*3))*C27,0)</f>
        <v>0</v>
      </c>
      <c r="D55" s="1">
        <f aca="true" t="shared" si="6" ref="D55:W55">IF($B$41=3,1/(($Y$27*3))*D27,0)</f>
        <v>0</v>
      </c>
      <c r="E55" s="1">
        <f t="shared" si="6"/>
        <v>0</v>
      </c>
      <c r="F55" s="1">
        <f t="shared" si="6"/>
        <v>0</v>
      </c>
      <c r="G55" s="1">
        <f t="shared" si="6"/>
        <v>0</v>
      </c>
      <c r="H55" s="1">
        <f t="shared" si="6"/>
        <v>0</v>
      </c>
      <c r="I55" s="1">
        <f t="shared" si="6"/>
        <v>0</v>
      </c>
      <c r="J55" s="1">
        <f t="shared" si="6"/>
        <v>0</v>
      </c>
      <c r="K55" s="1">
        <f t="shared" si="6"/>
        <v>0</v>
      </c>
      <c r="L55" s="1">
        <f t="shared" si="6"/>
        <v>0</v>
      </c>
      <c r="M55" s="1">
        <f t="shared" si="6"/>
        <v>0</v>
      </c>
      <c r="N55" s="1">
        <f t="shared" si="6"/>
        <v>0</v>
      </c>
      <c r="O55" s="1">
        <f t="shared" si="6"/>
        <v>0</v>
      </c>
      <c r="P55" s="1">
        <f t="shared" si="6"/>
        <v>0</v>
      </c>
      <c r="Q55" s="1">
        <f t="shared" si="6"/>
        <v>0</v>
      </c>
      <c r="R55" s="1">
        <f t="shared" si="6"/>
        <v>0</v>
      </c>
      <c r="S55" s="1">
        <f t="shared" si="6"/>
        <v>0</v>
      </c>
      <c r="T55" s="1">
        <f t="shared" si="6"/>
        <v>0</v>
      </c>
      <c r="U55" s="1">
        <f t="shared" si="6"/>
        <v>0</v>
      </c>
      <c r="V55" s="1">
        <f t="shared" si="6"/>
        <v>0</v>
      </c>
      <c r="W55" s="1">
        <f t="shared" si="6"/>
        <v>0</v>
      </c>
      <c r="X55" s="2"/>
      <c r="Y55" s="2"/>
      <c r="Z55" s="2"/>
      <c r="AA55" s="2"/>
      <c r="AB55" s="2"/>
      <c r="AC55" s="2"/>
      <c r="AD55" s="2"/>
    </row>
    <row r="56" spans="1:30" ht="12.75">
      <c r="A56" s="2"/>
      <c r="B56" s="3" t="s">
        <v>19</v>
      </c>
      <c r="C56" s="1">
        <f>SUM(C51:C55)</f>
        <v>0</v>
      </c>
      <c r="D56" s="1">
        <f aca="true" t="shared" si="7" ref="D56:W56">SUM(D51:D55)</f>
        <v>0</v>
      </c>
      <c r="E56" s="1">
        <f t="shared" si="7"/>
        <v>0</v>
      </c>
      <c r="F56" s="1">
        <f t="shared" si="7"/>
        <v>0</v>
      </c>
      <c r="G56" s="1">
        <f t="shared" si="7"/>
        <v>0</v>
      </c>
      <c r="H56" s="1">
        <f t="shared" si="7"/>
        <v>0</v>
      </c>
      <c r="I56" s="1">
        <f t="shared" si="7"/>
        <v>0</v>
      </c>
      <c r="J56" s="1">
        <f t="shared" si="7"/>
        <v>0</v>
      </c>
      <c r="K56" s="1">
        <f t="shared" si="7"/>
        <v>0</v>
      </c>
      <c r="L56" s="1">
        <f t="shared" si="7"/>
        <v>0</v>
      </c>
      <c r="M56" s="1">
        <f t="shared" si="7"/>
        <v>0</v>
      </c>
      <c r="N56" s="1">
        <f t="shared" si="7"/>
        <v>0</v>
      </c>
      <c r="O56" s="1">
        <f t="shared" si="7"/>
        <v>0</v>
      </c>
      <c r="P56" s="1">
        <f t="shared" si="7"/>
        <v>0</v>
      </c>
      <c r="Q56" s="1">
        <f t="shared" si="7"/>
        <v>0</v>
      </c>
      <c r="R56" s="1">
        <f t="shared" si="7"/>
        <v>0</v>
      </c>
      <c r="S56" s="1">
        <f t="shared" si="7"/>
        <v>0</v>
      </c>
      <c r="T56" s="1">
        <f t="shared" si="7"/>
        <v>0</v>
      </c>
      <c r="U56" s="1">
        <f t="shared" si="7"/>
        <v>0.22222222222222188</v>
      </c>
      <c r="V56" s="1">
        <f t="shared" si="7"/>
        <v>0.5555555555555545</v>
      </c>
      <c r="W56" s="1">
        <f t="shared" si="7"/>
        <v>0.22222222222222254</v>
      </c>
      <c r="X56" s="7">
        <f>SUM(C56:W56)</f>
        <v>0.9999999999999989</v>
      </c>
      <c r="Y56" s="2"/>
      <c r="Z56" s="2"/>
      <c r="AA56" s="2"/>
      <c r="AB56" s="2"/>
      <c r="AC56" s="2"/>
      <c r="AD56" s="2"/>
    </row>
    <row r="57" spans="1:30" ht="12.75">
      <c r="A57" s="2"/>
      <c r="B57" s="2"/>
      <c r="C57" s="1"/>
      <c r="D57" s="1"/>
      <c r="E57" s="1"/>
      <c r="F57" s="1"/>
      <c r="G57" s="1"/>
      <c r="H57" s="1"/>
      <c r="I57" s="1"/>
      <c r="J57" s="1"/>
      <c r="K57" s="1"/>
      <c r="L57" s="1"/>
      <c r="M57" s="1"/>
      <c r="N57" s="1"/>
      <c r="O57" s="1"/>
      <c r="P57" s="1"/>
      <c r="Q57" s="1"/>
      <c r="R57" s="1"/>
      <c r="S57" s="1"/>
      <c r="T57" s="1"/>
      <c r="U57" s="1"/>
      <c r="V57" s="1"/>
      <c r="W57" s="1"/>
      <c r="X57" s="2"/>
      <c r="Y57" s="2"/>
      <c r="Z57" s="2"/>
      <c r="AA57" s="2"/>
      <c r="AB57" s="2"/>
      <c r="AC57" s="2"/>
      <c r="AD57" s="2"/>
    </row>
    <row r="58" spans="1:30"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1:30" ht="12.75">
      <c r="A59" s="2"/>
      <c r="B59" s="2" t="s">
        <v>119</v>
      </c>
      <c r="C59" s="2">
        <f>IF($B$41=2,IF(OR(C36&lt;$Z$52,C36&gt;$AB$52),0,IF(C36&lt;$AD$52,((C36-$Z$52)^2)/(($AB$52-$Z$52)*($AD$52-$Z$52)),($Z$52*($AB$52-$AD$52)+$AB$52*($AD$52-(2*C36))+C36^2)/(($Z$52-$AB$52)*($AB$52-$AD$52)))),0)</f>
        <v>0</v>
      </c>
      <c r="D59" s="2">
        <f aca="true" t="shared" si="8" ref="D59:W59">IF($B$41=2,IF(OR(D36&lt;$Z$52,D36&gt;$AB$52),0,IF(D36&lt;$AD$52,((D36-$Z$52)^2)/(($AB$52-$Z$52)*($AD$52-$Z$52)),($Z$52*($AB$52-$AD$52)+$AB$52*($AD$52-(2*D36))+D36^2)/(($Z$52-$AB$52)*($AB$52-$AD$52)))),0)</f>
        <v>0</v>
      </c>
      <c r="E59" s="2">
        <f t="shared" si="8"/>
        <v>0</v>
      </c>
      <c r="F59" s="2">
        <f t="shared" si="8"/>
        <v>0</v>
      </c>
      <c r="G59" s="2">
        <f t="shared" si="8"/>
        <v>0</v>
      </c>
      <c r="H59" s="2">
        <f t="shared" si="8"/>
        <v>0</v>
      </c>
      <c r="I59" s="2">
        <f t="shared" si="8"/>
        <v>0</v>
      </c>
      <c r="J59" s="2">
        <f t="shared" si="8"/>
        <v>0</v>
      </c>
      <c r="K59" s="2">
        <f t="shared" si="8"/>
        <v>0</v>
      </c>
      <c r="L59" s="2">
        <f t="shared" si="8"/>
        <v>0</v>
      </c>
      <c r="M59" s="2">
        <f t="shared" si="8"/>
        <v>0</v>
      </c>
      <c r="N59" s="2">
        <f t="shared" si="8"/>
        <v>0</v>
      </c>
      <c r="O59" s="2">
        <f t="shared" si="8"/>
        <v>0</v>
      </c>
      <c r="P59" s="2">
        <f t="shared" si="8"/>
        <v>0</v>
      </c>
      <c r="Q59" s="2">
        <f t="shared" si="8"/>
        <v>0</v>
      </c>
      <c r="R59" s="2">
        <f t="shared" si="8"/>
        <v>0</v>
      </c>
      <c r="S59" s="2">
        <f t="shared" si="8"/>
        <v>0</v>
      </c>
      <c r="T59" s="2">
        <f t="shared" si="8"/>
        <v>0</v>
      </c>
      <c r="U59" s="2">
        <f t="shared" si="8"/>
        <v>0</v>
      </c>
      <c r="V59" s="2">
        <f t="shared" si="8"/>
        <v>0</v>
      </c>
      <c r="W59" s="2">
        <f t="shared" si="8"/>
        <v>0</v>
      </c>
      <c r="X59" s="2"/>
      <c r="Y59" s="2"/>
      <c r="Z59" s="2"/>
      <c r="AA59" s="2"/>
      <c r="AB59" s="2"/>
      <c r="AC59" s="2"/>
      <c r="AD59" s="2"/>
    </row>
    <row r="60" spans="1:30" ht="12.75">
      <c r="A60" s="2"/>
      <c r="B60" s="2" t="s">
        <v>120</v>
      </c>
      <c r="C60" s="2">
        <f>IF($B$41=2,IF(OR(C36&lt;$Z$53,C36&gt;$AB$53),0,IF(C36&lt;$AD$53,((C36-$Z$53)^2)/(($AB$53-$Z$53)*($AD$53-$Z$53)),($Z$53*($AB$53-$AD$53)+$AB$53*($AD$53-(2*C36))+C36^2)/(($Z$53-$AB$53)*($AB$53-$AD$53)))),0)</f>
        <v>0</v>
      </c>
      <c r="D60" s="2">
        <f aca="true" t="shared" si="9" ref="D60:W60">IF($B$41=2,IF(OR(D36&lt;$Z$53,D36&gt;$AB$53),0,IF(D36&lt;$AD$53,((D36-$Z$53)^2)/(($AB$53-$Z$53)*($AD$53-$Z$53)),($Z$53*($AB$53-$AD$53)+$AB$53*($AD$53-(2*D36))+D36^2)/(($Z$53-$AB$53)*($AB$53-$AD$53)))),0)</f>
        <v>0</v>
      </c>
      <c r="E60" s="2">
        <f t="shared" si="9"/>
        <v>0</v>
      </c>
      <c r="F60" s="2">
        <f t="shared" si="9"/>
        <v>0</v>
      </c>
      <c r="G60" s="2">
        <f t="shared" si="9"/>
        <v>0</v>
      </c>
      <c r="H60" s="2">
        <f t="shared" si="9"/>
        <v>0</v>
      </c>
      <c r="I60" s="2">
        <f t="shared" si="9"/>
        <v>0</v>
      </c>
      <c r="J60" s="2">
        <f t="shared" si="9"/>
        <v>0</v>
      </c>
      <c r="K60" s="2">
        <f t="shared" si="9"/>
        <v>0</v>
      </c>
      <c r="L60" s="2">
        <f t="shared" si="9"/>
        <v>0</v>
      </c>
      <c r="M60" s="2">
        <f t="shared" si="9"/>
        <v>0</v>
      </c>
      <c r="N60" s="2">
        <f t="shared" si="9"/>
        <v>0</v>
      </c>
      <c r="O60" s="2">
        <f t="shared" si="9"/>
        <v>0</v>
      </c>
      <c r="P60" s="2">
        <f t="shared" si="9"/>
        <v>0</v>
      </c>
      <c r="Q60" s="2">
        <f t="shared" si="9"/>
        <v>0</v>
      </c>
      <c r="R60" s="2">
        <f t="shared" si="9"/>
        <v>0</v>
      </c>
      <c r="S60" s="2">
        <f t="shared" si="9"/>
        <v>0</v>
      </c>
      <c r="T60" s="2">
        <f t="shared" si="9"/>
        <v>0</v>
      </c>
      <c r="U60" s="2">
        <f t="shared" si="9"/>
        <v>0</v>
      </c>
      <c r="V60" s="2">
        <f t="shared" si="9"/>
        <v>0</v>
      </c>
      <c r="W60" s="2">
        <f t="shared" si="9"/>
        <v>0</v>
      </c>
      <c r="X60" s="2"/>
      <c r="Y60" s="2"/>
      <c r="Z60" s="2"/>
      <c r="AA60" s="2"/>
      <c r="AB60" s="2"/>
      <c r="AC60" s="2"/>
      <c r="AD60" s="2"/>
    </row>
    <row r="61" spans="1:30" ht="13.5" thickBot="1">
      <c r="A61" s="2"/>
      <c r="B61" s="2"/>
      <c r="C61" s="2">
        <f>$A$52</f>
        <v>0.5</v>
      </c>
      <c r="D61" s="2">
        <v>0</v>
      </c>
      <c r="E61" s="2">
        <f>$A$53</f>
        <v>0.5</v>
      </c>
      <c r="F61" s="2">
        <f>$A$52</f>
        <v>0.5</v>
      </c>
      <c r="G61" s="2">
        <v>0</v>
      </c>
      <c r="H61" s="2">
        <f>$A$53</f>
        <v>0.5</v>
      </c>
      <c r="I61" s="2">
        <f>$A$52</f>
        <v>0.5</v>
      </c>
      <c r="J61" s="2">
        <v>0</v>
      </c>
      <c r="K61" s="2">
        <f>$A$53</f>
        <v>0.5</v>
      </c>
      <c r="L61" s="2">
        <f>$A$52</f>
        <v>0.5</v>
      </c>
      <c r="M61" s="2">
        <v>0</v>
      </c>
      <c r="N61" s="2">
        <f>$A$53</f>
        <v>0.5</v>
      </c>
      <c r="O61" s="2">
        <f>$A$52</f>
        <v>0.5</v>
      </c>
      <c r="P61" s="2">
        <v>0</v>
      </c>
      <c r="Q61" s="2">
        <f>$A$53</f>
        <v>0.5</v>
      </c>
      <c r="R61" s="2">
        <f>$A$52</f>
        <v>0.5</v>
      </c>
      <c r="S61" s="2">
        <v>0</v>
      </c>
      <c r="T61" s="2">
        <f>$A$53</f>
        <v>0.5</v>
      </c>
      <c r="U61" s="2">
        <f>$A$52</f>
        <v>0.5</v>
      </c>
      <c r="V61" s="2">
        <v>0</v>
      </c>
      <c r="W61" s="2">
        <f>$A$53</f>
        <v>0.5</v>
      </c>
      <c r="X61" s="2"/>
      <c r="Y61" s="2"/>
      <c r="Z61" s="2"/>
      <c r="AA61" s="2"/>
      <c r="AB61" s="2"/>
      <c r="AC61" s="2"/>
      <c r="AD61" s="2"/>
    </row>
    <row r="62" spans="1:30" ht="13.5" thickBot="1">
      <c r="A62" s="2"/>
      <c r="B62" s="2"/>
      <c r="C62" s="2"/>
      <c r="D62" s="2"/>
      <c r="E62" s="2"/>
      <c r="F62" s="2"/>
      <c r="G62" s="2"/>
      <c r="H62" s="2"/>
      <c r="I62" s="2"/>
      <c r="J62" s="2"/>
      <c r="K62" s="2"/>
      <c r="L62" s="2"/>
      <c r="M62" s="2"/>
      <c r="N62" s="2"/>
      <c r="O62" s="2"/>
      <c r="P62" s="2"/>
      <c r="Q62" s="2"/>
      <c r="R62" s="2"/>
      <c r="S62" s="2"/>
      <c r="T62" s="2"/>
      <c r="U62" s="2"/>
      <c r="V62" s="2"/>
      <c r="W62" s="2"/>
      <c r="X62" s="44" t="s">
        <v>140</v>
      </c>
      <c r="Y62" s="2"/>
      <c r="Z62" s="2"/>
      <c r="AA62" s="2"/>
      <c r="AB62" s="2"/>
      <c r="AC62" s="2"/>
      <c r="AD62" s="2"/>
    </row>
    <row r="63" spans="1:38" ht="12.75">
      <c r="A63" s="2"/>
      <c r="B63" s="2"/>
      <c r="C63" s="2"/>
      <c r="D63" s="2"/>
      <c r="E63" s="2"/>
      <c r="F63" s="2"/>
      <c r="G63" s="2"/>
      <c r="H63" s="2"/>
      <c r="I63" s="2"/>
      <c r="J63" s="2"/>
      <c r="K63" s="2"/>
      <c r="L63" s="2"/>
      <c r="M63" s="2"/>
      <c r="N63" s="2"/>
      <c r="O63" s="2"/>
      <c r="P63" s="2"/>
      <c r="Q63" s="2"/>
      <c r="R63" s="2"/>
      <c r="S63" s="2"/>
      <c r="T63" s="2"/>
      <c r="U63" s="2"/>
      <c r="V63" s="2"/>
      <c r="W63" s="2"/>
      <c r="X63" s="17" t="s">
        <v>150</v>
      </c>
      <c r="Y63" s="20" t="s">
        <v>15</v>
      </c>
      <c r="Z63" s="20" t="s">
        <v>205</v>
      </c>
      <c r="AA63" s="20" t="s">
        <v>206</v>
      </c>
      <c r="AB63" s="20" t="s">
        <v>207</v>
      </c>
      <c r="AC63" s="20" t="s">
        <v>208</v>
      </c>
      <c r="AD63" s="20" t="s">
        <v>209</v>
      </c>
      <c r="AE63" s="20" t="s">
        <v>210</v>
      </c>
      <c r="AF63" s="20" t="s">
        <v>211</v>
      </c>
      <c r="AG63" s="20" t="s">
        <v>212</v>
      </c>
      <c r="AH63" s="20" t="s">
        <v>115</v>
      </c>
      <c r="AI63" s="20" t="s">
        <v>116</v>
      </c>
      <c r="AJ63" s="20" t="s">
        <v>160</v>
      </c>
      <c r="AK63" s="20" t="s">
        <v>81</v>
      </c>
      <c r="AL63" s="74" t="s">
        <v>157</v>
      </c>
    </row>
    <row r="64" spans="1:60" ht="13.5" thickBot="1">
      <c r="A64" s="2"/>
      <c r="B64" s="2" t="s">
        <v>48</v>
      </c>
      <c r="C64" s="18">
        <v>0.1</v>
      </c>
      <c r="D64" s="2"/>
      <c r="E64" s="2"/>
      <c r="F64" s="2"/>
      <c r="G64" s="2"/>
      <c r="H64" s="2"/>
      <c r="I64" s="2"/>
      <c r="J64" s="2"/>
      <c r="K64" s="2"/>
      <c r="L64" s="2"/>
      <c r="M64" s="2"/>
      <c r="N64" s="2"/>
      <c r="O64" s="2"/>
      <c r="P64" s="2"/>
      <c r="Q64" s="2"/>
      <c r="R64" s="2"/>
      <c r="S64" s="2"/>
      <c r="T64" s="2"/>
      <c r="U64" s="2"/>
      <c r="V64" s="2"/>
      <c r="W64" s="2"/>
      <c r="X64" s="2">
        <v>1</v>
      </c>
      <c r="Y64" s="2">
        <v>1</v>
      </c>
      <c r="Z64" s="2">
        <v>7</v>
      </c>
      <c r="AA64" s="2" t="b">
        <v>0</v>
      </c>
      <c r="AB64" s="2" t="b">
        <v>0</v>
      </c>
      <c r="AC64" s="2" t="b">
        <v>0</v>
      </c>
      <c r="AD64" s="2" t="b">
        <v>0</v>
      </c>
      <c r="AE64" s="2" t="b">
        <v>0</v>
      </c>
      <c r="AF64" s="2" t="b">
        <v>0</v>
      </c>
      <c r="AG64" s="2" t="b">
        <v>1</v>
      </c>
      <c r="AH64" s="2">
        <v>4</v>
      </c>
      <c r="AI64" s="2">
        <v>4</v>
      </c>
      <c r="AJ64" s="2">
        <v>5</v>
      </c>
      <c r="AK64" s="2" t="s">
        <v>339</v>
      </c>
      <c r="AL64" s="2" t="s">
        <v>340</v>
      </c>
      <c r="AM64" s="2"/>
      <c r="AN64" s="2"/>
      <c r="AO64" s="2"/>
      <c r="AP64" s="2"/>
      <c r="AQ64" s="2"/>
      <c r="AR64" s="2"/>
      <c r="AS64" s="2"/>
      <c r="AT64" s="2"/>
      <c r="AU64" s="2"/>
      <c r="AV64" s="2"/>
      <c r="AW64" s="2"/>
      <c r="AX64" s="2"/>
      <c r="AY64" s="2"/>
      <c r="AZ64" s="2"/>
      <c r="BA64" s="2"/>
      <c r="BB64" s="2"/>
      <c r="BC64" s="2"/>
      <c r="BD64" s="2"/>
      <c r="BE64" s="2"/>
      <c r="BF64" s="2"/>
      <c r="BG64" s="2"/>
      <c r="BH64" s="2"/>
    </row>
    <row r="65" spans="2:60" ht="13.5" thickBot="1">
      <c r="B65" s="2"/>
      <c r="C65" s="47">
        <v>0.2</v>
      </c>
      <c r="W65" s="45" t="s">
        <v>106</v>
      </c>
      <c r="X65" s="4">
        <f>Lists!E51</f>
        <v>26</v>
      </c>
      <c r="Y65" s="46" t="s">
        <v>84</v>
      </c>
      <c r="Z65" s="4">
        <f>Concept!AK60</f>
        <v>26</v>
      </c>
      <c r="AA65" s="46" t="s">
        <v>69</v>
      </c>
      <c r="AB65" s="2">
        <v>1</v>
      </c>
      <c r="AC65" s="2" t="str">
        <f>IF(AB65=1,"saved","NOT saved")</f>
        <v>saved</v>
      </c>
      <c r="AD65" s="2"/>
      <c r="AE65" s="44" t="s">
        <v>130</v>
      </c>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row>
    <row r="66" spans="3:60" ht="13.5" thickBot="1">
      <c r="C66" s="18">
        <v>0.3</v>
      </c>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row>
    <row r="67" spans="3:37" ht="13.5" thickBot="1">
      <c r="C67" s="47">
        <v>0.4</v>
      </c>
      <c r="X67" s="44" t="s">
        <v>152</v>
      </c>
      <c r="Y67" s="2"/>
      <c r="Z67" s="2"/>
      <c r="AA67" s="2"/>
      <c r="AB67" s="2"/>
      <c r="AC67" s="2"/>
      <c r="AD67" s="2"/>
      <c r="AE67" s="2"/>
      <c r="AF67" s="2"/>
      <c r="AG67" s="2"/>
      <c r="AH67" s="2"/>
      <c r="AI67" s="2"/>
      <c r="AJ67" s="2"/>
      <c r="AK67" s="2"/>
    </row>
    <row r="68" spans="3:37" ht="12.75">
      <c r="C68" s="18">
        <v>0.5</v>
      </c>
      <c r="X68" s="17" t="s">
        <v>141</v>
      </c>
      <c r="Y68" s="17" t="s">
        <v>90</v>
      </c>
      <c r="Z68" s="17" t="s">
        <v>213</v>
      </c>
      <c r="AA68" s="17" t="s">
        <v>154</v>
      </c>
      <c r="AB68" s="17" t="s">
        <v>86</v>
      </c>
      <c r="AC68" s="17" t="s">
        <v>87</v>
      </c>
      <c r="AD68" s="17" t="s">
        <v>88</v>
      </c>
      <c r="AE68" s="17" t="s">
        <v>67</v>
      </c>
      <c r="AF68" s="17" t="s">
        <v>68</v>
      </c>
      <c r="AG68" s="2"/>
      <c r="AH68" s="2"/>
      <c r="AI68" s="2"/>
      <c r="AJ68" s="2"/>
      <c r="AK68" s="2"/>
    </row>
    <row r="69" spans="3:37" ht="12.75">
      <c r="C69" s="47">
        <v>0.6</v>
      </c>
      <c r="X69" s="2" t="str">
        <f>INDEX((Crit_Table),MATCH($X$64,Crit_Table_Col1,0),2,1)</f>
        <v>SU1-1: Fuel Utilization</v>
      </c>
      <c r="Y69" s="2" t="str">
        <f>INDEX((Crit_Table),MATCH($X$64,Crit_Table_Col1,0),3,1)</f>
        <v>Metric 1: Fuel Utilization</v>
      </c>
      <c r="Z69" s="2" t="str">
        <f>INDEX((Crit_Table),MATCH($X$64,Crit_Table_Col1,0),4,1)</f>
        <v>&gt;300 MT U feed/Gwyr</v>
      </c>
      <c r="AA69" s="2" t="str">
        <f>INDEX((Crit_Table),MATCH($X$64,Crit_Table_Col1,0),5,1)</f>
        <v>250-300 MT U feed/Gwyr</v>
      </c>
      <c r="AB69" s="2" t="str">
        <f>INDEX((Crit_Table),MATCH($X$64,Crit_Table_Col1,0),6,1)</f>
        <v>200-250 MT U feed/Gwyr</v>
      </c>
      <c r="AC69" s="2" t="str">
        <f>INDEX((Crit_Table),MATCH($X$64,Crit_Table_Col1,0),7,1)</f>
        <v>150-200 MT U feed/Gwyr</v>
      </c>
      <c r="AD69" s="2" t="str">
        <f>INDEX((Crit_Table),MATCH($X$64,Crit_Table_Col1,0),8,1)</f>
        <v>100-150 MT U feed/Gwyr</v>
      </c>
      <c r="AE69" s="2" t="str">
        <f>INDEX((Crit_Table),MATCH($X$64,Crit_Table_Col1,0),9,1)</f>
        <v>10-100 MT U feed/Gwyr</v>
      </c>
      <c r="AF69" s="2" t="str">
        <f>INDEX((Crit_Table),MATCH($X$64,Crit_Table_Col1,0),10,1)</f>
        <v>&lt;10 MT U feed/Gwyr</v>
      </c>
      <c r="AG69" s="2"/>
      <c r="AH69" s="2"/>
      <c r="AI69" s="2"/>
      <c r="AJ69" s="2"/>
      <c r="AK69" s="2"/>
    </row>
    <row r="70" spans="3:37" ht="12.75">
      <c r="C70" s="18">
        <v>0.7</v>
      </c>
      <c r="X70" s="2"/>
      <c r="Y70" s="2"/>
      <c r="Z70" s="2"/>
      <c r="AA70" s="2"/>
      <c r="AB70" s="2"/>
      <c r="AC70" s="2"/>
      <c r="AD70" s="2"/>
      <c r="AE70" s="2"/>
      <c r="AF70" s="2"/>
      <c r="AG70" s="2"/>
      <c r="AH70" s="2"/>
      <c r="AI70" s="2"/>
      <c r="AJ70" s="2"/>
      <c r="AK70" s="2"/>
    </row>
    <row r="71" spans="3:37" ht="12.75">
      <c r="C71" s="47">
        <v>0.8</v>
      </c>
      <c r="X71" s="2"/>
      <c r="Y71" s="2"/>
      <c r="Z71" s="2"/>
      <c r="AA71" s="2"/>
      <c r="AB71" s="2"/>
      <c r="AC71" s="2"/>
      <c r="AD71" s="2"/>
      <c r="AE71" s="2"/>
      <c r="AF71" s="2"/>
      <c r="AG71" s="2"/>
      <c r="AH71" s="2"/>
      <c r="AI71" s="2"/>
      <c r="AJ71" s="2"/>
      <c r="AK71" s="2"/>
    </row>
    <row r="72" spans="3:24" ht="12.75">
      <c r="C72" s="18">
        <v>0.9</v>
      </c>
      <c r="X72" t="s">
        <v>96</v>
      </c>
    </row>
    <row r="73" ht="12.75">
      <c r="X73" s="39" t="s">
        <v>338</v>
      </c>
    </row>
    <row r="74" spans="24:27" ht="12.75">
      <c r="X74" s="40" t="s">
        <v>338</v>
      </c>
      <c r="AA74" t="s">
        <v>129</v>
      </c>
    </row>
    <row r="75" spans="24:29" ht="12.75">
      <c r="X75" s="40" t="s">
        <v>338</v>
      </c>
      <c r="AA75" s="96" t="str">
        <f>IF($X$64=27,"Higher Development Cost","Worse than reference")</f>
        <v>Worse than reference</v>
      </c>
      <c r="AB75" s="96" t="str">
        <f>IF($X$64=27,"","Similar to reference")</f>
        <v>Similar to reference</v>
      </c>
      <c r="AC75" s="97" t="str">
        <f>IF($X$64=27,"Lower Development Cost","Better than reference")</f>
        <v>Better than reference</v>
      </c>
    </row>
    <row r="76" ht="12.75">
      <c r="X76" s="40" t="s">
        <v>338</v>
      </c>
    </row>
    <row r="77" spans="2:24" ht="12.75">
      <c r="B77" s="52"/>
      <c r="X77" s="40" t="s">
        <v>338</v>
      </c>
    </row>
    <row r="78" ht="12.75">
      <c r="X78" s="40" t="s">
        <v>338</v>
      </c>
    </row>
    <row r="79" ht="12.75">
      <c r="X79" s="40" t="s">
        <v>338</v>
      </c>
    </row>
    <row r="80" spans="2:24" ht="12.75">
      <c r="B80" s="19"/>
      <c r="X80" s="40" t="s">
        <v>338</v>
      </c>
    </row>
    <row r="81" ht="12.75">
      <c r="X81" s="41" t="s">
        <v>338</v>
      </c>
    </row>
  </sheetData>
  <sheetProtection password="CC7E" sheet="1" objects="1" scenarios="1"/>
  <mergeCells count="16">
    <mergeCell ref="C30:W32"/>
    <mergeCell ref="C33:W34"/>
    <mergeCell ref="C20:E20"/>
    <mergeCell ref="I20:K20"/>
    <mergeCell ref="O20:Q20"/>
    <mergeCell ref="F20:H20"/>
    <mergeCell ref="L20:N20"/>
    <mergeCell ref="R20:T20"/>
    <mergeCell ref="U20:W20"/>
    <mergeCell ref="O19:Q19"/>
    <mergeCell ref="R19:T19"/>
    <mergeCell ref="U19:W19"/>
    <mergeCell ref="C19:E19"/>
    <mergeCell ref="F19:H19"/>
    <mergeCell ref="I19:K19"/>
    <mergeCell ref="L19:N19"/>
  </mergeCells>
  <dataValidations count="1">
    <dataValidation type="decimal" allowBlank="1" showInputMessage="1" showErrorMessage="1" errorTitle="Error" error="Number out of range. Try again. Expecting a value between 100 and 2000 MWe" sqref="Y9 Y12">
      <formula1>1</formula1>
      <formula2>5000</formula2>
    </dataValidation>
  </dataValidations>
  <printOptions/>
  <pageMargins left="0.55" right="0.55" top="0.69" bottom="1" header="0.5" footer="0.5"/>
  <pageSetup fitToHeight="1" fitToWidth="1" horizontalDpi="600" verticalDpi="600" orientation="portrait" scale="89" r:id="rId3"/>
  <headerFooter alignWithMargins="0">
    <oddFooter>&amp;L&amp;F&amp;C02-Oct-2002</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9"/>
  <dimension ref="A1:AL180"/>
  <sheetViews>
    <sheetView workbookViewId="0" topLeftCell="A1">
      <pane ySplit="8925" topLeftCell="BM53" activePane="topLeft" state="split"/>
      <selection pane="topLeft" activeCell="B2" sqref="B2:O2"/>
      <selection pane="bottomLeft" activeCell="P2" sqref="P2:AJ59"/>
    </sheetView>
  </sheetViews>
  <sheetFormatPr defaultColWidth="9.140625" defaultRowHeight="12.75"/>
  <cols>
    <col min="1" max="1" width="14.28125" style="0" customWidth="1"/>
    <col min="2" max="2" width="10.140625" style="0" bestFit="1" customWidth="1"/>
    <col min="3" max="3" width="13.7109375" style="0" bestFit="1" customWidth="1"/>
    <col min="4" max="10" width="6.7109375" style="0" bestFit="1" customWidth="1"/>
    <col min="11" max="12" width="8.7109375" style="0" customWidth="1"/>
    <col min="13" max="13" width="9.28125" style="0" bestFit="1" customWidth="1"/>
    <col min="14" max="14" width="9.28125" style="0" customWidth="1"/>
    <col min="15" max="15" width="10.140625" style="0" bestFit="1" customWidth="1"/>
    <col min="16" max="16384" width="8.7109375" style="0" customWidth="1"/>
  </cols>
  <sheetData>
    <row r="1" spans="1:37" ht="12.75">
      <c r="A1" t="s">
        <v>91</v>
      </c>
      <c r="B1" t="s">
        <v>15</v>
      </c>
      <c r="C1" t="s">
        <v>205</v>
      </c>
      <c r="D1" t="s">
        <v>206</v>
      </c>
      <c r="E1" t="s">
        <v>207</v>
      </c>
      <c r="F1" t="s">
        <v>208</v>
      </c>
      <c r="G1" t="s">
        <v>209</v>
      </c>
      <c r="H1" t="s">
        <v>210</v>
      </c>
      <c r="I1" t="s">
        <v>211</v>
      </c>
      <c r="J1" t="s">
        <v>212</v>
      </c>
      <c r="K1" t="s">
        <v>115</v>
      </c>
      <c r="L1" t="s">
        <v>116</v>
      </c>
      <c r="M1" s="24" t="s">
        <v>160</v>
      </c>
      <c r="N1" s="24" t="s">
        <v>81</v>
      </c>
      <c r="O1" s="22" t="s">
        <v>157</v>
      </c>
      <c r="P1" t="s">
        <v>161</v>
      </c>
      <c r="Q1" t="s">
        <v>162</v>
      </c>
      <c r="R1" t="s">
        <v>23</v>
      </c>
      <c r="S1" t="s">
        <v>24</v>
      </c>
      <c r="T1" t="s">
        <v>25</v>
      </c>
      <c r="U1" t="s">
        <v>26</v>
      </c>
      <c r="V1" t="s">
        <v>27</v>
      </c>
      <c r="W1" t="s">
        <v>28</v>
      </c>
      <c r="X1" t="s">
        <v>29</v>
      </c>
      <c r="Y1" t="s">
        <v>30</v>
      </c>
      <c r="Z1" t="s">
        <v>31</v>
      </c>
      <c r="AA1" t="s">
        <v>32</v>
      </c>
      <c r="AB1" t="s">
        <v>33</v>
      </c>
      <c r="AC1" t="s">
        <v>34</v>
      </c>
      <c r="AD1" t="s">
        <v>35</v>
      </c>
      <c r="AE1" t="s">
        <v>36</v>
      </c>
      <c r="AF1" t="s">
        <v>37</v>
      </c>
      <c r="AG1" t="s">
        <v>38</v>
      </c>
      <c r="AH1" t="s">
        <v>39</v>
      </c>
      <c r="AI1" t="s">
        <v>40</v>
      </c>
      <c r="AJ1" t="s">
        <v>214</v>
      </c>
      <c r="AK1" t="s">
        <v>83</v>
      </c>
    </row>
    <row r="2" spans="1:37" ht="12.75">
      <c r="A2">
        <v>1</v>
      </c>
      <c r="B2">
        <v>1</v>
      </c>
      <c r="C2">
        <v>7</v>
      </c>
      <c r="D2" t="b">
        <v>0</v>
      </c>
      <c r="E2" t="b">
        <v>0</v>
      </c>
      <c r="F2" t="b">
        <v>0</v>
      </c>
      <c r="G2" t="b">
        <v>0</v>
      </c>
      <c r="H2" t="b">
        <v>0</v>
      </c>
      <c r="I2" t="b">
        <v>0</v>
      </c>
      <c r="J2" t="b">
        <v>1</v>
      </c>
      <c r="K2">
        <v>4</v>
      </c>
      <c r="L2">
        <v>4</v>
      </c>
      <c r="M2" s="24">
        <v>5</v>
      </c>
      <c r="N2" s="24" t="s">
        <v>339</v>
      </c>
      <c r="O2" s="22" t="s">
        <v>340</v>
      </c>
      <c r="P2" s="29">
        <v>0</v>
      </c>
      <c r="Q2" s="29">
        <v>0</v>
      </c>
      <c r="R2" s="29">
        <v>0</v>
      </c>
      <c r="S2" s="29">
        <v>0</v>
      </c>
      <c r="T2" s="29">
        <v>0</v>
      </c>
      <c r="U2" s="29">
        <v>0</v>
      </c>
      <c r="V2" s="29">
        <v>0</v>
      </c>
      <c r="W2" s="29">
        <v>0</v>
      </c>
      <c r="X2" s="29">
        <v>0</v>
      </c>
      <c r="Y2" s="29">
        <v>0</v>
      </c>
      <c r="Z2" s="29">
        <v>0</v>
      </c>
      <c r="AA2" s="29">
        <v>0</v>
      </c>
      <c r="AB2" s="29">
        <v>0</v>
      </c>
      <c r="AC2" s="29">
        <v>0</v>
      </c>
      <c r="AD2" s="29">
        <v>0</v>
      </c>
      <c r="AE2" s="29">
        <v>0</v>
      </c>
      <c r="AF2" s="29">
        <v>0</v>
      </c>
      <c r="AG2" s="29">
        <v>0</v>
      </c>
      <c r="AH2" s="29">
        <v>0.22222222222222213</v>
      </c>
      <c r="AI2" s="29">
        <v>0.5555555555555551</v>
      </c>
      <c r="AJ2" s="29">
        <v>0.2222222222222228</v>
      </c>
      <c r="AK2" s="29">
        <v>1</v>
      </c>
    </row>
    <row r="3" spans="1:37" ht="12.75">
      <c r="A3">
        <v>2</v>
      </c>
      <c r="B3">
        <v>1</v>
      </c>
      <c r="C3">
        <v>7</v>
      </c>
      <c r="D3" t="b">
        <v>0</v>
      </c>
      <c r="E3" t="b">
        <v>0</v>
      </c>
      <c r="F3" t="b">
        <v>0</v>
      </c>
      <c r="G3" t="b">
        <v>0</v>
      </c>
      <c r="H3" t="b">
        <v>0</v>
      </c>
      <c r="I3" t="b">
        <v>0</v>
      </c>
      <c r="J3" t="b">
        <v>1</v>
      </c>
      <c r="K3">
        <v>4</v>
      </c>
      <c r="L3">
        <v>4</v>
      </c>
      <c r="M3" s="24">
        <v>5</v>
      </c>
      <c r="N3" s="24" t="s">
        <v>342</v>
      </c>
      <c r="O3" s="22" t="s">
        <v>341</v>
      </c>
      <c r="P3" s="29">
        <v>0</v>
      </c>
      <c r="Q3" s="29">
        <v>0</v>
      </c>
      <c r="R3" s="29">
        <v>0</v>
      </c>
      <c r="S3" s="29">
        <v>0</v>
      </c>
      <c r="T3" s="29">
        <v>0</v>
      </c>
      <c r="U3" s="29">
        <v>0</v>
      </c>
      <c r="V3" s="29">
        <v>0</v>
      </c>
      <c r="W3" s="29">
        <v>0</v>
      </c>
      <c r="X3" s="29">
        <v>0</v>
      </c>
      <c r="Y3" s="29">
        <v>0</v>
      </c>
      <c r="Z3" s="29">
        <v>0</v>
      </c>
      <c r="AA3" s="29">
        <v>0</v>
      </c>
      <c r="AB3" s="29">
        <v>0</v>
      </c>
      <c r="AC3" s="29">
        <v>0</v>
      </c>
      <c r="AD3" s="29">
        <v>0</v>
      </c>
      <c r="AE3" s="29">
        <v>0</v>
      </c>
      <c r="AF3" s="29">
        <v>0</v>
      </c>
      <c r="AG3" s="29">
        <v>0</v>
      </c>
      <c r="AH3" s="29">
        <v>0.22222222222222213</v>
      </c>
      <c r="AI3" s="29">
        <v>0.5555555555555551</v>
      </c>
      <c r="AJ3" s="29">
        <v>0.2222222222222228</v>
      </c>
      <c r="AK3" s="29">
        <v>1</v>
      </c>
    </row>
    <row r="4" spans="1:37" ht="12.75">
      <c r="A4">
        <v>3</v>
      </c>
      <c r="B4">
        <v>3</v>
      </c>
      <c r="C4">
        <v>4</v>
      </c>
      <c r="D4" t="b">
        <v>0</v>
      </c>
      <c r="E4" t="b">
        <v>0</v>
      </c>
      <c r="F4" t="b">
        <v>0</v>
      </c>
      <c r="G4" t="b">
        <v>0</v>
      </c>
      <c r="H4" t="b">
        <v>0</v>
      </c>
      <c r="I4" t="b">
        <v>0</v>
      </c>
      <c r="J4" t="b">
        <v>1</v>
      </c>
      <c r="K4">
        <v>4</v>
      </c>
      <c r="L4">
        <v>4</v>
      </c>
      <c r="M4" s="24">
        <v>5</v>
      </c>
      <c r="N4" s="24" t="s">
        <v>344</v>
      </c>
      <c r="O4" s="22" t="s">
        <v>343</v>
      </c>
      <c r="P4" s="29">
        <v>0</v>
      </c>
      <c r="Q4" s="29">
        <v>0</v>
      </c>
      <c r="R4" s="29">
        <v>0</v>
      </c>
      <c r="S4" s="29">
        <v>0</v>
      </c>
      <c r="T4" s="29">
        <v>0</v>
      </c>
      <c r="U4" s="29">
        <v>0</v>
      </c>
      <c r="V4" s="29">
        <v>0</v>
      </c>
      <c r="W4" s="29">
        <v>0</v>
      </c>
      <c r="X4" s="29">
        <v>0</v>
      </c>
      <c r="Y4" s="29">
        <v>0</v>
      </c>
      <c r="Z4" s="29">
        <v>0</v>
      </c>
      <c r="AA4" s="29">
        <v>0</v>
      </c>
      <c r="AB4" s="29">
        <v>0</v>
      </c>
      <c r="AC4" s="29">
        <v>0</v>
      </c>
      <c r="AD4" s="29">
        <v>0</v>
      </c>
      <c r="AE4" s="29">
        <v>0</v>
      </c>
      <c r="AF4" s="29">
        <v>0</v>
      </c>
      <c r="AG4" s="29">
        <v>0</v>
      </c>
      <c r="AH4" s="29">
        <v>0.3333333333333333</v>
      </c>
      <c r="AI4" s="29">
        <v>0.3333333333333333</v>
      </c>
      <c r="AJ4" s="29">
        <v>0.3333333333333333</v>
      </c>
      <c r="AK4" s="29">
        <v>1</v>
      </c>
    </row>
    <row r="5" spans="1:37" ht="12.75">
      <c r="A5">
        <v>4</v>
      </c>
      <c r="B5">
        <v>1</v>
      </c>
      <c r="C5">
        <v>7</v>
      </c>
      <c r="D5" t="b">
        <v>0</v>
      </c>
      <c r="E5" t="b">
        <v>0</v>
      </c>
      <c r="F5" t="b">
        <v>0</v>
      </c>
      <c r="G5" t="b">
        <v>0</v>
      </c>
      <c r="H5" t="b">
        <v>0</v>
      </c>
      <c r="I5" t="b">
        <v>0</v>
      </c>
      <c r="J5" t="b">
        <v>1</v>
      </c>
      <c r="K5">
        <v>4</v>
      </c>
      <c r="L5">
        <v>4</v>
      </c>
      <c r="M5" s="24">
        <v>5</v>
      </c>
      <c r="N5" s="24"/>
      <c r="O5" s="22" t="s">
        <v>345</v>
      </c>
      <c r="P5" s="29">
        <v>0</v>
      </c>
      <c r="Q5" s="29">
        <v>0</v>
      </c>
      <c r="R5" s="29">
        <v>0</v>
      </c>
      <c r="S5" s="29">
        <v>0</v>
      </c>
      <c r="T5" s="29">
        <v>0</v>
      </c>
      <c r="U5" s="29">
        <v>0</v>
      </c>
      <c r="V5" s="29">
        <v>0</v>
      </c>
      <c r="W5" s="29">
        <v>0</v>
      </c>
      <c r="X5" s="29">
        <v>0</v>
      </c>
      <c r="Y5" s="29">
        <v>0</v>
      </c>
      <c r="Z5" s="29">
        <v>0</v>
      </c>
      <c r="AA5" s="29">
        <v>0</v>
      </c>
      <c r="AB5" s="29">
        <v>0</v>
      </c>
      <c r="AC5" s="29">
        <v>0</v>
      </c>
      <c r="AD5" s="29">
        <v>0</v>
      </c>
      <c r="AE5" s="29">
        <v>0</v>
      </c>
      <c r="AF5" s="29">
        <v>0</v>
      </c>
      <c r="AG5" s="29">
        <v>0</v>
      </c>
      <c r="AH5" s="29">
        <v>0.22222222222222213</v>
      </c>
      <c r="AI5" s="29">
        <v>0.5555555555555551</v>
      </c>
      <c r="AJ5" s="29">
        <v>0.2222222222222228</v>
      </c>
      <c r="AK5" s="29">
        <v>1</v>
      </c>
    </row>
    <row r="6" spans="1:37" ht="12.75">
      <c r="A6">
        <v>5</v>
      </c>
      <c r="B6">
        <v>1</v>
      </c>
      <c r="C6">
        <v>7</v>
      </c>
      <c r="D6" t="b">
        <v>0</v>
      </c>
      <c r="E6" t="b">
        <v>0</v>
      </c>
      <c r="F6" t="b">
        <v>0</v>
      </c>
      <c r="G6" t="b">
        <v>0</v>
      </c>
      <c r="H6" t="b">
        <v>0</v>
      </c>
      <c r="I6" t="b">
        <v>1</v>
      </c>
      <c r="J6" t="b">
        <v>1</v>
      </c>
      <c r="K6">
        <v>4</v>
      </c>
      <c r="L6">
        <v>4</v>
      </c>
      <c r="M6" s="24">
        <v>5</v>
      </c>
      <c r="N6" s="24"/>
      <c r="O6" s="22" t="s">
        <v>346</v>
      </c>
      <c r="P6" s="29">
        <v>0</v>
      </c>
      <c r="Q6" s="29">
        <v>0</v>
      </c>
      <c r="R6" s="29">
        <v>0</v>
      </c>
      <c r="S6" s="29">
        <v>0</v>
      </c>
      <c r="T6" s="29">
        <v>0</v>
      </c>
      <c r="U6" s="29">
        <v>0</v>
      </c>
      <c r="V6" s="29">
        <v>0</v>
      </c>
      <c r="W6" s="29">
        <v>0</v>
      </c>
      <c r="X6" s="29">
        <v>0</v>
      </c>
      <c r="Y6" s="29">
        <v>0</v>
      </c>
      <c r="Z6" s="29">
        <v>0</v>
      </c>
      <c r="AA6" s="29">
        <v>0</v>
      </c>
      <c r="AB6" s="29">
        <v>0</v>
      </c>
      <c r="AC6" s="29">
        <v>0</v>
      </c>
      <c r="AD6" s="29">
        <v>0</v>
      </c>
      <c r="AE6" s="29">
        <v>0.037037037037037</v>
      </c>
      <c r="AF6" s="29">
        <v>0.11111111111111091</v>
      </c>
      <c r="AG6" s="29">
        <v>0.1851851851851848</v>
      </c>
      <c r="AH6" s="29">
        <v>0.25925925925925875</v>
      </c>
      <c r="AI6" s="29">
        <v>0.296296296296295</v>
      </c>
      <c r="AJ6" s="29">
        <v>0.11111111111111356</v>
      </c>
      <c r="AK6" s="29">
        <v>1</v>
      </c>
    </row>
    <row r="7" spans="1:37" ht="12.75">
      <c r="A7">
        <v>6</v>
      </c>
      <c r="B7">
        <v>1</v>
      </c>
      <c r="C7">
        <v>5</v>
      </c>
      <c r="D7" t="b">
        <v>0</v>
      </c>
      <c r="E7" t="b">
        <v>0</v>
      </c>
      <c r="F7" t="b">
        <v>0</v>
      </c>
      <c r="G7" t="b">
        <v>0</v>
      </c>
      <c r="H7" t="b">
        <v>1</v>
      </c>
      <c r="I7" t="b">
        <v>1</v>
      </c>
      <c r="J7" t="b">
        <v>0</v>
      </c>
      <c r="K7">
        <v>4</v>
      </c>
      <c r="L7">
        <v>4</v>
      </c>
      <c r="M7" s="24">
        <v>5</v>
      </c>
      <c r="N7" s="24"/>
      <c r="O7" s="22" t="s">
        <v>328</v>
      </c>
      <c r="P7" s="29">
        <v>0</v>
      </c>
      <c r="Q7" s="29">
        <v>0</v>
      </c>
      <c r="R7" s="29">
        <v>0</v>
      </c>
      <c r="S7" s="29">
        <v>0</v>
      </c>
      <c r="T7" s="29">
        <v>0</v>
      </c>
      <c r="U7" s="29">
        <v>0</v>
      </c>
      <c r="V7" s="29">
        <v>0</v>
      </c>
      <c r="W7" s="29">
        <v>0</v>
      </c>
      <c r="X7" s="29">
        <v>0</v>
      </c>
      <c r="Y7" s="29">
        <v>0</v>
      </c>
      <c r="Z7" s="29">
        <v>0</v>
      </c>
      <c r="AA7" s="29">
        <v>8.559688641721048E-33</v>
      </c>
      <c r="AB7" s="29">
        <v>0.11111111111111108</v>
      </c>
      <c r="AC7" s="29">
        <v>0.2962962962962963</v>
      </c>
      <c r="AD7" s="29">
        <v>0.2592592592592593</v>
      </c>
      <c r="AE7" s="29">
        <v>0.1851851851851856</v>
      </c>
      <c r="AF7" s="29">
        <v>0.11111111111111086</v>
      </c>
      <c r="AG7" s="29">
        <v>0.037037037037036875</v>
      </c>
      <c r="AH7" s="29">
        <v>0</v>
      </c>
      <c r="AI7" s="29">
        <v>0</v>
      </c>
      <c r="AJ7" s="29">
        <v>0</v>
      </c>
      <c r="AK7" s="29">
        <v>1</v>
      </c>
    </row>
    <row r="8" spans="1:37" ht="12.75">
      <c r="A8">
        <v>7</v>
      </c>
      <c r="B8">
        <v>3</v>
      </c>
      <c r="C8">
        <v>4</v>
      </c>
      <c r="D8" t="b">
        <v>0</v>
      </c>
      <c r="E8" t="b">
        <v>0</v>
      </c>
      <c r="F8" t="b">
        <v>0</v>
      </c>
      <c r="G8" t="b">
        <v>1</v>
      </c>
      <c r="H8" t="b">
        <v>0</v>
      </c>
      <c r="I8" t="b">
        <v>0</v>
      </c>
      <c r="J8" t="b">
        <v>0</v>
      </c>
      <c r="K8">
        <v>4</v>
      </c>
      <c r="L8">
        <v>4</v>
      </c>
      <c r="M8" s="24">
        <v>5</v>
      </c>
      <c r="N8" s="24" t="s">
        <v>329</v>
      </c>
      <c r="O8" s="22" t="s">
        <v>347</v>
      </c>
      <c r="P8" s="29">
        <v>0</v>
      </c>
      <c r="Q8" s="29">
        <v>0</v>
      </c>
      <c r="R8" s="29">
        <v>0</v>
      </c>
      <c r="S8" s="29">
        <v>0</v>
      </c>
      <c r="T8" s="29">
        <v>0</v>
      </c>
      <c r="U8" s="29">
        <v>0</v>
      </c>
      <c r="V8" s="29">
        <v>0</v>
      </c>
      <c r="W8" s="29">
        <v>0</v>
      </c>
      <c r="X8" s="29">
        <v>0</v>
      </c>
      <c r="Y8" s="29">
        <v>0.3333333333333333</v>
      </c>
      <c r="Z8" s="29">
        <v>0.3333333333333333</v>
      </c>
      <c r="AA8" s="29">
        <v>0.3333333333333333</v>
      </c>
      <c r="AB8" s="29">
        <v>0</v>
      </c>
      <c r="AC8" s="29">
        <v>0</v>
      </c>
      <c r="AD8" s="29">
        <v>0</v>
      </c>
      <c r="AE8" s="29">
        <v>0</v>
      </c>
      <c r="AF8" s="29">
        <v>0</v>
      </c>
      <c r="AG8" s="29">
        <v>0</v>
      </c>
      <c r="AH8" s="29">
        <v>0</v>
      </c>
      <c r="AI8" s="29">
        <v>0</v>
      </c>
      <c r="AJ8" s="29">
        <v>0</v>
      </c>
      <c r="AK8" s="29">
        <v>1</v>
      </c>
    </row>
    <row r="9" spans="1:37" ht="12.75">
      <c r="A9">
        <v>8</v>
      </c>
      <c r="B9">
        <v>1</v>
      </c>
      <c r="C9">
        <v>5</v>
      </c>
      <c r="D9" t="b">
        <v>0</v>
      </c>
      <c r="E9" t="b">
        <v>0</v>
      </c>
      <c r="F9" t="b">
        <v>0</v>
      </c>
      <c r="G9" t="b">
        <v>0</v>
      </c>
      <c r="H9" t="b">
        <v>1</v>
      </c>
      <c r="I9" t="b">
        <v>0</v>
      </c>
      <c r="J9" t="b">
        <v>0</v>
      </c>
      <c r="K9">
        <v>4</v>
      </c>
      <c r="L9">
        <v>4</v>
      </c>
      <c r="M9" s="24">
        <v>5</v>
      </c>
      <c r="N9" s="24"/>
      <c r="O9" s="22" t="s">
        <v>348</v>
      </c>
      <c r="P9" s="29">
        <v>0</v>
      </c>
      <c r="Q9" s="29">
        <v>0</v>
      </c>
      <c r="R9" s="29">
        <v>0</v>
      </c>
      <c r="S9" s="29">
        <v>0</v>
      </c>
      <c r="T9" s="29">
        <v>0</v>
      </c>
      <c r="U9" s="29">
        <v>0</v>
      </c>
      <c r="V9" s="29">
        <v>0</v>
      </c>
      <c r="W9" s="29">
        <v>0</v>
      </c>
      <c r="X9" s="29">
        <v>0</v>
      </c>
      <c r="Y9" s="29">
        <v>0</v>
      </c>
      <c r="Z9" s="29">
        <v>0</v>
      </c>
      <c r="AA9" s="29">
        <v>1.7119377283442085E-32</v>
      </c>
      <c r="AB9" s="29">
        <v>0.222222222222222</v>
      </c>
      <c r="AC9" s="29">
        <v>0.5555555555555554</v>
      </c>
      <c r="AD9" s="29">
        <v>0.22222222222222265</v>
      </c>
      <c r="AE9" s="29">
        <v>0</v>
      </c>
      <c r="AF9" s="29">
        <v>0</v>
      </c>
      <c r="AG9" s="29">
        <v>0</v>
      </c>
      <c r="AH9" s="29">
        <v>0</v>
      </c>
      <c r="AI9" s="29">
        <v>0</v>
      </c>
      <c r="AJ9" s="29">
        <v>0</v>
      </c>
      <c r="AK9" s="29">
        <v>1</v>
      </c>
    </row>
    <row r="10" spans="1:37" ht="12.75">
      <c r="A10">
        <v>9</v>
      </c>
      <c r="B10">
        <v>3</v>
      </c>
      <c r="C10">
        <v>5</v>
      </c>
      <c r="D10" t="b">
        <v>0</v>
      </c>
      <c r="E10" t="b">
        <v>0</v>
      </c>
      <c r="F10" t="b">
        <v>0</v>
      </c>
      <c r="G10" t="b">
        <v>0</v>
      </c>
      <c r="H10" t="b">
        <v>1</v>
      </c>
      <c r="I10" t="b">
        <v>0</v>
      </c>
      <c r="J10" t="b">
        <v>0</v>
      </c>
      <c r="K10">
        <v>4</v>
      </c>
      <c r="L10">
        <v>4</v>
      </c>
      <c r="M10" s="24">
        <v>5</v>
      </c>
      <c r="N10" s="24"/>
      <c r="O10" s="22" t="s">
        <v>330</v>
      </c>
      <c r="P10" s="29">
        <v>0</v>
      </c>
      <c r="Q10" s="29">
        <v>0</v>
      </c>
      <c r="R10" s="29">
        <v>0</v>
      </c>
      <c r="S10" s="29">
        <v>0</v>
      </c>
      <c r="T10" s="29">
        <v>0</v>
      </c>
      <c r="U10" s="29">
        <v>0</v>
      </c>
      <c r="V10" s="29">
        <v>0</v>
      </c>
      <c r="W10" s="29">
        <v>0</v>
      </c>
      <c r="X10" s="29">
        <v>0</v>
      </c>
      <c r="Y10" s="29">
        <v>0</v>
      </c>
      <c r="Z10" s="29">
        <v>0</v>
      </c>
      <c r="AA10" s="29">
        <v>0</v>
      </c>
      <c r="AB10" s="29">
        <v>0.3333333333333333</v>
      </c>
      <c r="AC10" s="29">
        <v>0.3333333333333333</v>
      </c>
      <c r="AD10" s="29">
        <v>0.3333333333333333</v>
      </c>
      <c r="AE10" s="29">
        <v>0</v>
      </c>
      <c r="AF10" s="29">
        <v>0</v>
      </c>
      <c r="AG10" s="29">
        <v>0</v>
      </c>
      <c r="AH10" s="29">
        <v>0</v>
      </c>
      <c r="AI10" s="29">
        <v>0</v>
      </c>
      <c r="AJ10" s="29">
        <v>0</v>
      </c>
      <c r="AK10" s="29">
        <v>1</v>
      </c>
    </row>
    <row r="11" spans="1:37" ht="12.75">
      <c r="A11">
        <v>10</v>
      </c>
      <c r="B11">
        <v>1</v>
      </c>
      <c r="C11">
        <v>4</v>
      </c>
      <c r="D11" t="b">
        <v>0</v>
      </c>
      <c r="E11" t="b">
        <v>0</v>
      </c>
      <c r="F11" t="b">
        <v>1</v>
      </c>
      <c r="G11" t="b">
        <v>1</v>
      </c>
      <c r="H11" t="b">
        <v>1</v>
      </c>
      <c r="I11" t="b">
        <v>0</v>
      </c>
      <c r="J11" t="b">
        <v>0</v>
      </c>
      <c r="K11">
        <v>4</v>
      </c>
      <c r="L11">
        <v>4</v>
      </c>
      <c r="M11" s="24">
        <v>5</v>
      </c>
      <c r="N11" s="24"/>
      <c r="O11" s="22" t="s">
        <v>349</v>
      </c>
      <c r="P11" s="29">
        <v>0</v>
      </c>
      <c r="Q11" s="29">
        <v>0</v>
      </c>
      <c r="R11" s="29">
        <v>0</v>
      </c>
      <c r="S11" s="29">
        <v>0</v>
      </c>
      <c r="T11" s="29">
        <v>0</v>
      </c>
      <c r="U11" s="29">
        <v>0</v>
      </c>
      <c r="V11" s="29">
        <v>0.024691358024691374</v>
      </c>
      <c r="W11" s="29">
        <v>0.07407407407407407</v>
      </c>
      <c r="X11" s="29">
        <v>0.12345679012345682</v>
      </c>
      <c r="Y11" s="29">
        <v>0.17283950617283972</v>
      </c>
      <c r="Z11" s="29">
        <v>0.2098765432098763</v>
      </c>
      <c r="AA11" s="29">
        <v>0.17283950617283939</v>
      </c>
      <c r="AB11" s="29">
        <v>0.12345679012345678</v>
      </c>
      <c r="AC11" s="29">
        <v>0.07407407407407429</v>
      </c>
      <c r="AD11" s="29">
        <v>0.024691358024691246</v>
      </c>
      <c r="AE11" s="29">
        <v>0</v>
      </c>
      <c r="AF11" s="29">
        <v>0</v>
      </c>
      <c r="AG11" s="29">
        <v>0</v>
      </c>
      <c r="AH11" s="29">
        <v>0</v>
      </c>
      <c r="AI11" s="29">
        <v>0</v>
      </c>
      <c r="AJ11" s="29">
        <v>0</v>
      </c>
      <c r="AK11" s="29">
        <v>1</v>
      </c>
    </row>
    <row r="12" spans="1:37" ht="12.75">
      <c r="A12">
        <v>11</v>
      </c>
      <c r="B12">
        <v>1</v>
      </c>
      <c r="C12">
        <v>5</v>
      </c>
      <c r="D12" t="b">
        <v>0</v>
      </c>
      <c r="E12" t="b">
        <v>0</v>
      </c>
      <c r="F12" t="b">
        <v>0</v>
      </c>
      <c r="G12" t="b">
        <v>0</v>
      </c>
      <c r="H12" t="b">
        <v>1</v>
      </c>
      <c r="I12" t="b">
        <v>1</v>
      </c>
      <c r="J12" t="b">
        <v>0</v>
      </c>
      <c r="K12">
        <v>4</v>
      </c>
      <c r="L12">
        <v>4</v>
      </c>
      <c r="M12" s="24">
        <v>5</v>
      </c>
      <c r="N12" s="24"/>
      <c r="O12" s="22" t="s">
        <v>350</v>
      </c>
      <c r="P12" s="29">
        <v>0</v>
      </c>
      <c r="Q12" s="29">
        <v>0</v>
      </c>
      <c r="R12" s="29">
        <v>0</v>
      </c>
      <c r="S12" s="29">
        <v>0</v>
      </c>
      <c r="T12" s="29">
        <v>0</v>
      </c>
      <c r="U12" s="29">
        <v>0</v>
      </c>
      <c r="V12" s="29">
        <v>0</v>
      </c>
      <c r="W12" s="29">
        <v>0</v>
      </c>
      <c r="X12" s="29">
        <v>0</v>
      </c>
      <c r="Y12" s="29">
        <v>0</v>
      </c>
      <c r="Z12" s="29">
        <v>0</v>
      </c>
      <c r="AA12" s="29">
        <v>8.559688641721048E-33</v>
      </c>
      <c r="AB12" s="29">
        <v>0.11111111111111108</v>
      </c>
      <c r="AC12" s="29">
        <v>0.2962962962962963</v>
      </c>
      <c r="AD12" s="29">
        <v>0.2592592592592593</v>
      </c>
      <c r="AE12" s="29">
        <v>0.1851851851851856</v>
      </c>
      <c r="AF12" s="29">
        <v>0.11111111111111086</v>
      </c>
      <c r="AG12" s="29">
        <v>0.037037037037036875</v>
      </c>
      <c r="AH12" s="29">
        <v>0</v>
      </c>
      <c r="AI12" s="29">
        <v>0</v>
      </c>
      <c r="AJ12" s="29">
        <v>0</v>
      </c>
      <c r="AK12" s="29">
        <v>1</v>
      </c>
    </row>
    <row r="13" spans="1:37" ht="12.75">
      <c r="A13">
        <v>12</v>
      </c>
      <c r="B13">
        <v>1</v>
      </c>
      <c r="C13">
        <v>5</v>
      </c>
      <c r="D13" t="b">
        <v>0</v>
      </c>
      <c r="E13" t="b">
        <v>0</v>
      </c>
      <c r="F13" t="b">
        <v>1</v>
      </c>
      <c r="G13" t="b">
        <v>1</v>
      </c>
      <c r="H13" t="b">
        <v>1</v>
      </c>
      <c r="I13" t="b">
        <v>0</v>
      </c>
      <c r="J13" t="b">
        <v>0</v>
      </c>
      <c r="K13">
        <v>3</v>
      </c>
      <c r="L13">
        <v>5</v>
      </c>
      <c r="M13" s="24">
        <v>2</v>
      </c>
      <c r="N13" s="24"/>
      <c r="O13" s="22" t="s">
        <v>351</v>
      </c>
      <c r="P13" s="29">
        <v>0</v>
      </c>
      <c r="Q13" s="29">
        <v>0</v>
      </c>
      <c r="R13" s="29">
        <v>0</v>
      </c>
      <c r="S13" s="29">
        <v>0</v>
      </c>
      <c r="T13" s="29">
        <v>0</v>
      </c>
      <c r="U13" s="29">
        <v>0</v>
      </c>
      <c r="V13" s="29">
        <v>0.01481481481481482</v>
      </c>
      <c r="W13" s="29">
        <v>0.04444444444444444</v>
      </c>
      <c r="X13" s="29">
        <v>0.07407407407407408</v>
      </c>
      <c r="Y13" s="29">
        <v>0.1037037037037038</v>
      </c>
      <c r="Z13" s="29">
        <v>0.13333333333333314</v>
      </c>
      <c r="AA13" s="29">
        <v>0.16296296296296295</v>
      </c>
      <c r="AB13" s="29">
        <v>0.19259259259259237</v>
      </c>
      <c r="AC13" s="29">
        <v>0.2</v>
      </c>
      <c r="AD13" s="29">
        <v>0.0740740740740745</v>
      </c>
      <c r="AE13" s="29">
        <v>0</v>
      </c>
      <c r="AF13" s="29">
        <v>0</v>
      </c>
      <c r="AG13" s="29">
        <v>0</v>
      </c>
      <c r="AH13" s="29">
        <v>0</v>
      </c>
      <c r="AI13" s="29">
        <v>0</v>
      </c>
      <c r="AJ13" s="29">
        <v>0</v>
      </c>
      <c r="AK13" s="29">
        <v>1</v>
      </c>
    </row>
    <row r="14" spans="1:37" ht="12.75">
      <c r="A14">
        <v>13</v>
      </c>
      <c r="B14">
        <v>1</v>
      </c>
      <c r="C14">
        <v>6</v>
      </c>
      <c r="D14" t="b">
        <v>0</v>
      </c>
      <c r="E14" t="b">
        <v>0</v>
      </c>
      <c r="F14" t="b">
        <v>0</v>
      </c>
      <c r="G14" t="b">
        <v>0</v>
      </c>
      <c r="H14" t="b">
        <v>1</v>
      </c>
      <c r="I14" t="b">
        <v>1</v>
      </c>
      <c r="J14" t="b">
        <v>0</v>
      </c>
      <c r="K14">
        <v>4</v>
      </c>
      <c r="L14">
        <v>4</v>
      </c>
      <c r="M14" s="24">
        <v>5</v>
      </c>
      <c r="N14" s="24" t="s">
        <v>353</v>
      </c>
      <c r="O14" s="22" t="s">
        <v>352</v>
      </c>
      <c r="P14" s="29">
        <v>0</v>
      </c>
      <c r="Q14" s="29">
        <v>0</v>
      </c>
      <c r="R14" s="29">
        <v>0</v>
      </c>
      <c r="S14" s="29">
        <v>0</v>
      </c>
      <c r="T14" s="29">
        <v>0</v>
      </c>
      <c r="U14" s="29">
        <v>0</v>
      </c>
      <c r="V14" s="29">
        <v>0</v>
      </c>
      <c r="W14" s="29">
        <v>0</v>
      </c>
      <c r="X14" s="29">
        <v>0</v>
      </c>
      <c r="Y14" s="29">
        <v>0</v>
      </c>
      <c r="Z14" s="29">
        <v>0</v>
      </c>
      <c r="AA14" s="29">
        <v>2.853229547240354E-33</v>
      </c>
      <c r="AB14" s="29">
        <v>0.03703703703703708</v>
      </c>
      <c r="AC14" s="29">
        <v>0.11111111111111122</v>
      </c>
      <c r="AD14" s="29">
        <v>0.18518518518518554</v>
      </c>
      <c r="AE14" s="29">
        <v>0.2592592592592598</v>
      </c>
      <c r="AF14" s="29">
        <v>0.2962962962962958</v>
      </c>
      <c r="AG14" s="29">
        <v>0.11111111111111063</v>
      </c>
      <c r="AH14" s="29">
        <v>0</v>
      </c>
      <c r="AI14" s="29">
        <v>0</v>
      </c>
      <c r="AJ14" s="29">
        <v>0</v>
      </c>
      <c r="AK14" s="29">
        <v>1</v>
      </c>
    </row>
    <row r="15" spans="1:37" ht="12.75">
      <c r="A15">
        <v>14</v>
      </c>
      <c r="B15">
        <v>3</v>
      </c>
      <c r="C15">
        <v>5</v>
      </c>
      <c r="D15" t="b">
        <v>0</v>
      </c>
      <c r="E15" t="b">
        <v>0</v>
      </c>
      <c r="F15" t="b">
        <v>0</v>
      </c>
      <c r="G15" t="b">
        <v>0</v>
      </c>
      <c r="H15" t="b">
        <v>1</v>
      </c>
      <c r="I15" t="b">
        <v>0</v>
      </c>
      <c r="J15" t="b">
        <v>0</v>
      </c>
      <c r="K15">
        <v>4</v>
      </c>
      <c r="L15">
        <v>4</v>
      </c>
      <c r="M15" s="24">
        <v>5</v>
      </c>
      <c r="N15" s="24"/>
      <c r="O15" s="22" t="s">
        <v>331</v>
      </c>
      <c r="P15" s="29">
        <v>0</v>
      </c>
      <c r="Q15" s="29">
        <v>0</v>
      </c>
      <c r="R15" s="29">
        <v>0</v>
      </c>
      <c r="S15" s="29">
        <v>0</v>
      </c>
      <c r="T15" s="29">
        <v>0</v>
      </c>
      <c r="U15" s="29">
        <v>0</v>
      </c>
      <c r="V15" s="29">
        <v>0</v>
      </c>
      <c r="W15" s="29">
        <v>0</v>
      </c>
      <c r="X15" s="29">
        <v>0</v>
      </c>
      <c r="Y15" s="29">
        <v>0</v>
      </c>
      <c r="Z15" s="29">
        <v>0</v>
      </c>
      <c r="AA15" s="29">
        <v>0</v>
      </c>
      <c r="AB15" s="29">
        <v>0.3333333333333333</v>
      </c>
      <c r="AC15" s="29">
        <v>0.3333333333333333</v>
      </c>
      <c r="AD15" s="29">
        <v>0.3333333333333333</v>
      </c>
      <c r="AE15" s="29">
        <v>0</v>
      </c>
      <c r="AF15" s="29">
        <v>0</v>
      </c>
      <c r="AG15" s="29">
        <v>0</v>
      </c>
      <c r="AH15" s="29">
        <v>0</v>
      </c>
      <c r="AI15" s="29">
        <v>0</v>
      </c>
      <c r="AJ15" s="29">
        <v>0</v>
      </c>
      <c r="AK15" s="29">
        <v>1</v>
      </c>
    </row>
    <row r="16" spans="1:37" ht="12.75">
      <c r="A16">
        <v>15</v>
      </c>
      <c r="B16">
        <v>1</v>
      </c>
      <c r="C16">
        <v>6</v>
      </c>
      <c r="D16" t="b">
        <v>0</v>
      </c>
      <c r="E16" t="b">
        <v>0</v>
      </c>
      <c r="F16" t="b">
        <v>0</v>
      </c>
      <c r="G16" t="b">
        <v>0</v>
      </c>
      <c r="H16" t="b">
        <v>1</v>
      </c>
      <c r="I16" t="b">
        <v>1</v>
      </c>
      <c r="J16" t="b">
        <v>0</v>
      </c>
      <c r="K16">
        <v>4</v>
      </c>
      <c r="L16">
        <v>4</v>
      </c>
      <c r="M16" s="24">
        <v>5</v>
      </c>
      <c r="N16" s="24"/>
      <c r="O16" s="22" t="s">
        <v>332</v>
      </c>
      <c r="P16" s="29">
        <v>0</v>
      </c>
      <c r="Q16" s="29">
        <v>0</v>
      </c>
      <c r="R16" s="29">
        <v>0</v>
      </c>
      <c r="S16" s="29">
        <v>0</v>
      </c>
      <c r="T16" s="29">
        <v>0</v>
      </c>
      <c r="U16" s="29">
        <v>0</v>
      </c>
      <c r="V16" s="29">
        <v>0</v>
      </c>
      <c r="W16" s="29">
        <v>0</v>
      </c>
      <c r="X16" s="29">
        <v>0</v>
      </c>
      <c r="Y16" s="29">
        <v>0</v>
      </c>
      <c r="Z16" s="29">
        <v>0</v>
      </c>
      <c r="AA16" s="29">
        <v>2.853229547240354E-33</v>
      </c>
      <c r="AB16" s="29">
        <v>0.03703703703703708</v>
      </c>
      <c r="AC16" s="29">
        <v>0.11111111111111122</v>
      </c>
      <c r="AD16" s="29">
        <v>0.18518518518518554</v>
      </c>
      <c r="AE16" s="29">
        <v>0.2592592592592598</v>
      </c>
      <c r="AF16" s="29">
        <v>0.2962962962962958</v>
      </c>
      <c r="AG16" s="29">
        <v>0.11111111111111063</v>
      </c>
      <c r="AH16" s="29">
        <v>0</v>
      </c>
      <c r="AI16" s="29">
        <v>0</v>
      </c>
      <c r="AJ16" s="29">
        <v>0</v>
      </c>
      <c r="AK16" s="29">
        <v>1</v>
      </c>
    </row>
    <row r="17" spans="1:37" ht="12.75">
      <c r="A17">
        <v>16</v>
      </c>
      <c r="B17">
        <v>3</v>
      </c>
      <c r="C17">
        <v>4</v>
      </c>
      <c r="D17" t="b">
        <v>0</v>
      </c>
      <c r="E17" t="b">
        <v>0</v>
      </c>
      <c r="F17" t="b">
        <v>0</v>
      </c>
      <c r="G17" t="b">
        <v>0</v>
      </c>
      <c r="H17" t="b">
        <v>0</v>
      </c>
      <c r="I17" t="b">
        <v>1</v>
      </c>
      <c r="J17" t="b">
        <v>0</v>
      </c>
      <c r="K17">
        <v>4</v>
      </c>
      <c r="L17">
        <v>4</v>
      </c>
      <c r="M17" s="24">
        <v>5</v>
      </c>
      <c r="N17" s="24"/>
      <c r="O17" s="22" t="s">
        <v>333</v>
      </c>
      <c r="P17" s="29">
        <v>0</v>
      </c>
      <c r="Q17" s="29">
        <v>0</v>
      </c>
      <c r="R17" s="29">
        <v>0</v>
      </c>
      <c r="S17" s="29">
        <v>0</v>
      </c>
      <c r="T17" s="29">
        <v>0</v>
      </c>
      <c r="U17" s="29">
        <v>0</v>
      </c>
      <c r="V17" s="29">
        <v>0</v>
      </c>
      <c r="W17" s="29">
        <v>0</v>
      </c>
      <c r="X17" s="29">
        <v>0</v>
      </c>
      <c r="Y17" s="29">
        <v>0</v>
      </c>
      <c r="Z17" s="29">
        <v>0</v>
      </c>
      <c r="AA17" s="29">
        <v>0</v>
      </c>
      <c r="AB17" s="29">
        <v>0</v>
      </c>
      <c r="AC17" s="29">
        <v>0</v>
      </c>
      <c r="AD17" s="29">
        <v>0</v>
      </c>
      <c r="AE17" s="29">
        <v>0.3333333333333333</v>
      </c>
      <c r="AF17" s="29">
        <v>0.3333333333333333</v>
      </c>
      <c r="AG17" s="29">
        <v>0.3333333333333333</v>
      </c>
      <c r="AH17" s="29">
        <v>0</v>
      </c>
      <c r="AI17" s="29">
        <v>0</v>
      </c>
      <c r="AJ17" s="29">
        <v>0</v>
      </c>
      <c r="AK17" s="29">
        <v>1</v>
      </c>
    </row>
    <row r="18" spans="1:37" ht="12.75">
      <c r="A18">
        <v>17</v>
      </c>
      <c r="B18">
        <v>1</v>
      </c>
      <c r="C18">
        <v>5</v>
      </c>
      <c r="D18" t="b">
        <v>0</v>
      </c>
      <c r="E18" t="b">
        <v>0</v>
      </c>
      <c r="F18" t="b">
        <v>0</v>
      </c>
      <c r="G18" t="b">
        <v>0</v>
      </c>
      <c r="H18" t="b">
        <v>1</v>
      </c>
      <c r="I18" t="b">
        <v>1</v>
      </c>
      <c r="J18" t="b">
        <v>0</v>
      </c>
      <c r="K18">
        <v>4</v>
      </c>
      <c r="L18">
        <v>4</v>
      </c>
      <c r="M18" s="24">
        <v>5</v>
      </c>
      <c r="N18" s="24"/>
      <c r="O18" s="22" t="s">
        <v>334</v>
      </c>
      <c r="P18" s="29">
        <v>0</v>
      </c>
      <c r="Q18" s="29">
        <v>0</v>
      </c>
      <c r="R18" s="29">
        <v>0</v>
      </c>
      <c r="S18" s="29">
        <v>0</v>
      </c>
      <c r="T18" s="29">
        <v>0</v>
      </c>
      <c r="U18" s="29">
        <v>0</v>
      </c>
      <c r="V18" s="29">
        <v>0</v>
      </c>
      <c r="W18" s="29">
        <v>0</v>
      </c>
      <c r="X18" s="29">
        <v>0</v>
      </c>
      <c r="Y18" s="29">
        <v>0</v>
      </c>
      <c r="Z18" s="29">
        <v>0</v>
      </c>
      <c r="AA18" s="29">
        <v>8.559688641721048E-33</v>
      </c>
      <c r="AB18" s="29">
        <v>0.11111111111111108</v>
      </c>
      <c r="AC18" s="29">
        <v>0.2962962962962963</v>
      </c>
      <c r="AD18" s="29">
        <v>0.2592592592592593</v>
      </c>
      <c r="AE18" s="29">
        <v>0.1851851851851856</v>
      </c>
      <c r="AF18" s="29">
        <v>0.11111111111111086</v>
      </c>
      <c r="AG18" s="29">
        <v>0.037037037037036875</v>
      </c>
      <c r="AH18" s="29">
        <v>0</v>
      </c>
      <c r="AI18" s="29">
        <v>0</v>
      </c>
      <c r="AJ18" s="29">
        <v>0</v>
      </c>
      <c r="AK18" s="29">
        <v>1</v>
      </c>
    </row>
    <row r="19" spans="1:37" ht="12.75">
      <c r="A19">
        <v>18</v>
      </c>
      <c r="B19">
        <v>1</v>
      </c>
      <c r="C19">
        <v>6</v>
      </c>
      <c r="D19" t="b">
        <v>0</v>
      </c>
      <c r="E19" t="b">
        <v>0</v>
      </c>
      <c r="F19" t="b">
        <v>0</v>
      </c>
      <c r="G19" t="b">
        <v>0</v>
      </c>
      <c r="H19" t="b">
        <v>1</v>
      </c>
      <c r="I19" t="b">
        <v>1</v>
      </c>
      <c r="J19" t="b">
        <v>0</v>
      </c>
      <c r="K19">
        <v>4</v>
      </c>
      <c r="L19">
        <v>4</v>
      </c>
      <c r="M19" s="24">
        <v>5</v>
      </c>
      <c r="N19" s="24"/>
      <c r="O19" s="22" t="s">
        <v>354</v>
      </c>
      <c r="P19" s="29">
        <v>0</v>
      </c>
      <c r="Q19" s="29">
        <v>0</v>
      </c>
      <c r="R19" s="29">
        <v>0</v>
      </c>
      <c r="S19" s="29">
        <v>0</v>
      </c>
      <c r="T19" s="29">
        <v>0</v>
      </c>
      <c r="U19" s="29">
        <v>0</v>
      </c>
      <c r="V19" s="29">
        <v>0</v>
      </c>
      <c r="W19" s="29">
        <v>0</v>
      </c>
      <c r="X19" s="29">
        <v>0</v>
      </c>
      <c r="Y19" s="29">
        <v>0</v>
      </c>
      <c r="Z19" s="29">
        <v>0</v>
      </c>
      <c r="AA19" s="29">
        <v>2.853229547240354E-33</v>
      </c>
      <c r="AB19" s="29">
        <v>0.03703703703703708</v>
      </c>
      <c r="AC19" s="29">
        <v>0.11111111111111122</v>
      </c>
      <c r="AD19" s="29">
        <v>0.18518518518518554</v>
      </c>
      <c r="AE19" s="29">
        <v>0.2592592592592598</v>
      </c>
      <c r="AF19" s="29">
        <v>0.2962962962962958</v>
      </c>
      <c r="AG19" s="29">
        <v>0.11111111111111063</v>
      </c>
      <c r="AH19" s="29">
        <v>0</v>
      </c>
      <c r="AI19" s="29">
        <v>0</v>
      </c>
      <c r="AJ19" s="29">
        <v>0</v>
      </c>
      <c r="AK19" s="29">
        <v>1</v>
      </c>
    </row>
    <row r="20" spans="1:37" ht="12.75">
      <c r="A20">
        <v>19</v>
      </c>
      <c r="B20">
        <v>1</v>
      </c>
      <c r="C20">
        <v>6</v>
      </c>
      <c r="D20" t="b">
        <v>0</v>
      </c>
      <c r="E20" t="b">
        <v>0</v>
      </c>
      <c r="F20" t="b">
        <v>0</v>
      </c>
      <c r="G20" t="b">
        <v>0</v>
      </c>
      <c r="H20" t="b">
        <v>1</v>
      </c>
      <c r="I20" t="b">
        <v>1</v>
      </c>
      <c r="J20" t="b">
        <v>0</v>
      </c>
      <c r="K20">
        <v>4</v>
      </c>
      <c r="L20">
        <v>4</v>
      </c>
      <c r="M20" s="24">
        <v>5</v>
      </c>
      <c r="N20" s="24"/>
      <c r="O20" s="22" t="s">
        <v>355</v>
      </c>
      <c r="P20" s="29">
        <v>0</v>
      </c>
      <c r="Q20" s="29">
        <v>0</v>
      </c>
      <c r="R20" s="29">
        <v>0</v>
      </c>
      <c r="S20" s="29">
        <v>0</v>
      </c>
      <c r="T20" s="29">
        <v>0</v>
      </c>
      <c r="U20" s="29">
        <v>0</v>
      </c>
      <c r="V20" s="29">
        <v>0</v>
      </c>
      <c r="W20" s="29">
        <v>0</v>
      </c>
      <c r="X20" s="29">
        <v>0</v>
      </c>
      <c r="Y20" s="29">
        <v>0</v>
      </c>
      <c r="Z20" s="29">
        <v>0</v>
      </c>
      <c r="AA20" s="29">
        <v>2.853229547240354E-33</v>
      </c>
      <c r="AB20" s="29">
        <v>0.03703703703703708</v>
      </c>
      <c r="AC20" s="29">
        <v>0.11111111111111122</v>
      </c>
      <c r="AD20" s="29">
        <v>0.18518518518518554</v>
      </c>
      <c r="AE20" s="29">
        <v>0.2592592592592598</v>
      </c>
      <c r="AF20" s="29">
        <v>0.2962962962962958</v>
      </c>
      <c r="AG20" s="29">
        <v>0.11111111111111063</v>
      </c>
      <c r="AH20" s="29">
        <v>0</v>
      </c>
      <c r="AI20" s="29">
        <v>0</v>
      </c>
      <c r="AJ20" s="29">
        <v>0</v>
      </c>
      <c r="AK20" s="29">
        <v>1</v>
      </c>
    </row>
    <row r="21" spans="1:37" ht="12.75">
      <c r="A21">
        <v>20</v>
      </c>
      <c r="B21">
        <v>1</v>
      </c>
      <c r="C21">
        <v>7</v>
      </c>
      <c r="D21" t="b">
        <v>0</v>
      </c>
      <c r="E21" t="b">
        <v>0</v>
      </c>
      <c r="F21" t="b">
        <v>0</v>
      </c>
      <c r="G21" t="b">
        <v>0</v>
      </c>
      <c r="H21" t="b">
        <v>0</v>
      </c>
      <c r="I21" t="b">
        <v>1</v>
      </c>
      <c r="J21" t="b">
        <v>1</v>
      </c>
      <c r="K21">
        <v>4</v>
      </c>
      <c r="L21">
        <v>4</v>
      </c>
      <c r="M21" s="24">
        <v>5</v>
      </c>
      <c r="N21" s="24"/>
      <c r="O21" s="22" t="s">
        <v>356</v>
      </c>
      <c r="P21" s="29">
        <v>0</v>
      </c>
      <c r="Q21" s="29">
        <v>0</v>
      </c>
      <c r="R21" s="29">
        <v>0</v>
      </c>
      <c r="S21" s="29">
        <v>0</v>
      </c>
      <c r="T21" s="29">
        <v>0</v>
      </c>
      <c r="U21" s="29">
        <v>0</v>
      </c>
      <c r="V21" s="29">
        <v>0</v>
      </c>
      <c r="W21" s="29">
        <v>0</v>
      </c>
      <c r="X21" s="29">
        <v>0</v>
      </c>
      <c r="Y21" s="29">
        <v>0</v>
      </c>
      <c r="Z21" s="29">
        <v>0</v>
      </c>
      <c r="AA21" s="29">
        <v>0</v>
      </c>
      <c r="AB21" s="29">
        <v>0</v>
      </c>
      <c r="AC21" s="29">
        <v>0</v>
      </c>
      <c r="AD21" s="29">
        <v>0</v>
      </c>
      <c r="AE21" s="29">
        <v>0.037037037037037</v>
      </c>
      <c r="AF21" s="29">
        <v>0.11111111111111091</v>
      </c>
      <c r="AG21" s="29">
        <v>0.1851851851851848</v>
      </c>
      <c r="AH21" s="29">
        <v>0.25925925925925875</v>
      </c>
      <c r="AI21" s="29">
        <v>0.296296296296295</v>
      </c>
      <c r="AJ21" s="29">
        <v>0.11111111111111356</v>
      </c>
      <c r="AK21" s="29">
        <v>1</v>
      </c>
    </row>
    <row r="22" spans="1:37" ht="12.75">
      <c r="A22">
        <v>21</v>
      </c>
      <c r="B22">
        <v>3</v>
      </c>
      <c r="C22">
        <v>6</v>
      </c>
      <c r="D22" t="b">
        <v>0</v>
      </c>
      <c r="E22" t="b">
        <v>0</v>
      </c>
      <c r="F22" t="b">
        <v>0</v>
      </c>
      <c r="G22" t="b">
        <v>0</v>
      </c>
      <c r="H22" t="b">
        <v>0</v>
      </c>
      <c r="I22" t="b">
        <v>1</v>
      </c>
      <c r="J22" t="b">
        <v>0</v>
      </c>
      <c r="K22">
        <v>4</v>
      </c>
      <c r="L22">
        <v>4</v>
      </c>
      <c r="M22" s="24">
        <v>5</v>
      </c>
      <c r="N22" s="24"/>
      <c r="O22" s="22" t="s">
        <v>335</v>
      </c>
      <c r="P22" s="29">
        <v>0</v>
      </c>
      <c r="Q22" s="29">
        <v>0</v>
      </c>
      <c r="R22" s="29">
        <v>0</v>
      </c>
      <c r="S22" s="29">
        <v>0</v>
      </c>
      <c r="T22" s="29">
        <v>0</v>
      </c>
      <c r="U22" s="29">
        <v>0</v>
      </c>
      <c r="V22" s="29">
        <v>0</v>
      </c>
      <c r="W22" s="29">
        <v>0</v>
      </c>
      <c r="X22" s="29">
        <v>0</v>
      </c>
      <c r="Y22" s="29">
        <v>0</v>
      </c>
      <c r="Z22" s="29">
        <v>0</v>
      </c>
      <c r="AA22" s="29">
        <v>0</v>
      </c>
      <c r="AB22" s="29">
        <v>0</v>
      </c>
      <c r="AC22" s="29">
        <v>0</v>
      </c>
      <c r="AD22" s="29">
        <v>0</v>
      </c>
      <c r="AE22" s="29">
        <v>0.3333333333333333</v>
      </c>
      <c r="AF22" s="29">
        <v>0.3333333333333333</v>
      </c>
      <c r="AG22" s="29">
        <v>0.3333333333333333</v>
      </c>
      <c r="AH22" s="29">
        <v>0</v>
      </c>
      <c r="AI22" s="29">
        <v>0</v>
      </c>
      <c r="AJ22" s="29">
        <v>0</v>
      </c>
      <c r="AK22" s="29">
        <v>1</v>
      </c>
    </row>
    <row r="23" spans="1:37" ht="12.75">
      <c r="A23">
        <v>22</v>
      </c>
      <c r="B23">
        <v>1</v>
      </c>
      <c r="C23">
        <v>7</v>
      </c>
      <c r="D23" t="b">
        <v>0</v>
      </c>
      <c r="E23" t="b">
        <v>0</v>
      </c>
      <c r="F23" t="b">
        <v>0</v>
      </c>
      <c r="G23" t="b">
        <v>0</v>
      </c>
      <c r="H23" t="b">
        <v>0</v>
      </c>
      <c r="I23" t="b">
        <v>1</v>
      </c>
      <c r="J23" t="b">
        <v>1</v>
      </c>
      <c r="K23">
        <v>4</v>
      </c>
      <c r="L23">
        <v>4</v>
      </c>
      <c r="M23" s="24">
        <v>5</v>
      </c>
      <c r="N23" s="24"/>
      <c r="O23" s="22" t="s">
        <v>358</v>
      </c>
      <c r="P23" s="29">
        <v>0</v>
      </c>
      <c r="Q23" s="29">
        <v>0</v>
      </c>
      <c r="R23" s="29">
        <v>0</v>
      </c>
      <c r="S23" s="29">
        <v>0</v>
      </c>
      <c r="T23" s="29">
        <v>0</v>
      </c>
      <c r="U23" s="29">
        <v>0</v>
      </c>
      <c r="V23" s="29">
        <v>0</v>
      </c>
      <c r="W23" s="29">
        <v>0</v>
      </c>
      <c r="X23" s="29">
        <v>0</v>
      </c>
      <c r="Y23" s="29">
        <v>0</v>
      </c>
      <c r="Z23" s="29">
        <v>0</v>
      </c>
      <c r="AA23" s="29">
        <v>0</v>
      </c>
      <c r="AB23" s="29">
        <v>0</v>
      </c>
      <c r="AC23" s="29">
        <v>0</v>
      </c>
      <c r="AD23" s="29">
        <v>0</v>
      </c>
      <c r="AE23" s="29">
        <v>0.037037037037037</v>
      </c>
      <c r="AF23" s="29">
        <v>0.11111111111111091</v>
      </c>
      <c r="AG23" s="29">
        <v>0.1851851851851848</v>
      </c>
      <c r="AH23" s="29">
        <v>0.25925925925925875</v>
      </c>
      <c r="AI23" s="29">
        <v>0.296296296296295</v>
      </c>
      <c r="AJ23" s="29">
        <v>0.11111111111111356</v>
      </c>
      <c r="AK23" s="29">
        <v>1</v>
      </c>
    </row>
    <row r="24" spans="1:37" ht="12.75">
      <c r="A24">
        <v>23</v>
      </c>
      <c r="B24">
        <v>1</v>
      </c>
      <c r="C24">
        <v>4</v>
      </c>
      <c r="D24" t="b">
        <v>0</v>
      </c>
      <c r="E24" t="b">
        <v>0</v>
      </c>
      <c r="F24" t="b">
        <v>0</v>
      </c>
      <c r="G24" t="b">
        <v>1</v>
      </c>
      <c r="H24" t="b">
        <v>1</v>
      </c>
      <c r="I24" t="b">
        <v>0</v>
      </c>
      <c r="J24" t="b">
        <v>0</v>
      </c>
      <c r="K24">
        <v>4</v>
      </c>
      <c r="L24">
        <v>4</v>
      </c>
      <c r="M24" s="24">
        <v>5</v>
      </c>
      <c r="N24" s="24"/>
      <c r="O24" s="22" t="s">
        <v>357</v>
      </c>
      <c r="P24" s="29">
        <v>0</v>
      </c>
      <c r="Q24" s="29">
        <v>0</v>
      </c>
      <c r="R24" s="29">
        <v>0</v>
      </c>
      <c r="S24" s="29">
        <v>0</v>
      </c>
      <c r="T24" s="29">
        <v>0</v>
      </c>
      <c r="U24" s="29">
        <v>0</v>
      </c>
      <c r="V24" s="29">
        <v>0</v>
      </c>
      <c r="W24" s="29">
        <v>0</v>
      </c>
      <c r="X24" s="29">
        <v>8.559688641721048E-33</v>
      </c>
      <c r="Y24" s="29">
        <v>0.11111111111111135</v>
      </c>
      <c r="Z24" s="29">
        <v>0.29629629629629606</v>
      </c>
      <c r="AA24" s="29">
        <v>0.25925925925925924</v>
      </c>
      <c r="AB24" s="29">
        <v>0.18518518518518526</v>
      </c>
      <c r="AC24" s="29">
        <v>0.11111111111111097</v>
      </c>
      <c r="AD24" s="29">
        <v>0.0370370370370371</v>
      </c>
      <c r="AE24" s="29">
        <v>0</v>
      </c>
      <c r="AF24" s="29">
        <v>0</v>
      </c>
      <c r="AG24" s="29">
        <v>0</v>
      </c>
      <c r="AH24" s="29">
        <v>0</v>
      </c>
      <c r="AI24" s="29">
        <v>0</v>
      </c>
      <c r="AJ24" s="29">
        <v>0</v>
      </c>
      <c r="AK24" s="29">
        <v>1</v>
      </c>
    </row>
    <row r="25" spans="1:37" ht="12.75">
      <c r="A25">
        <v>24</v>
      </c>
      <c r="B25">
        <v>3</v>
      </c>
      <c r="C25">
        <v>4</v>
      </c>
      <c r="D25" t="b">
        <v>0</v>
      </c>
      <c r="E25" t="b">
        <v>0</v>
      </c>
      <c r="F25" t="b">
        <v>0</v>
      </c>
      <c r="G25" t="b">
        <v>1</v>
      </c>
      <c r="H25" t="b">
        <v>0</v>
      </c>
      <c r="I25" t="b">
        <v>0</v>
      </c>
      <c r="J25" t="b">
        <v>0</v>
      </c>
      <c r="K25">
        <v>4</v>
      </c>
      <c r="L25">
        <v>4</v>
      </c>
      <c r="M25" s="24">
        <v>5</v>
      </c>
      <c r="N25" s="24"/>
      <c r="O25" s="22" t="s">
        <v>336</v>
      </c>
      <c r="P25" s="29">
        <v>0</v>
      </c>
      <c r="Q25" s="29">
        <v>0</v>
      </c>
      <c r="R25" s="29">
        <v>0</v>
      </c>
      <c r="S25" s="29">
        <v>0</v>
      </c>
      <c r="T25" s="29">
        <v>0</v>
      </c>
      <c r="U25" s="29">
        <v>0</v>
      </c>
      <c r="V25" s="29">
        <v>0</v>
      </c>
      <c r="W25" s="29">
        <v>0</v>
      </c>
      <c r="X25" s="29">
        <v>0</v>
      </c>
      <c r="Y25" s="29">
        <v>0.3333333333333333</v>
      </c>
      <c r="Z25" s="29">
        <v>0.3333333333333333</v>
      </c>
      <c r="AA25" s="29">
        <v>0.3333333333333333</v>
      </c>
      <c r="AB25" s="29">
        <v>0</v>
      </c>
      <c r="AC25" s="29">
        <v>0</v>
      </c>
      <c r="AD25" s="29">
        <v>0</v>
      </c>
      <c r="AE25" s="29">
        <v>0</v>
      </c>
      <c r="AF25" s="29">
        <v>0</v>
      </c>
      <c r="AG25" s="29">
        <v>0</v>
      </c>
      <c r="AH25" s="29">
        <v>0</v>
      </c>
      <c r="AI25" s="29">
        <v>0</v>
      </c>
      <c r="AJ25" s="29">
        <v>0</v>
      </c>
      <c r="AK25" s="29">
        <v>1</v>
      </c>
    </row>
    <row r="26" spans="1:37" ht="12.75">
      <c r="A26">
        <v>25</v>
      </c>
      <c r="B26">
        <v>3</v>
      </c>
      <c r="C26">
        <v>3</v>
      </c>
      <c r="D26" t="b">
        <v>0</v>
      </c>
      <c r="E26" t="b">
        <v>0</v>
      </c>
      <c r="F26" t="b">
        <v>1</v>
      </c>
      <c r="G26" t="b">
        <v>1</v>
      </c>
      <c r="H26" t="b">
        <v>0</v>
      </c>
      <c r="I26" t="b">
        <v>0</v>
      </c>
      <c r="J26" t="b">
        <v>0</v>
      </c>
      <c r="K26">
        <v>4</v>
      </c>
      <c r="L26">
        <v>4</v>
      </c>
      <c r="M26" s="24">
        <v>5</v>
      </c>
      <c r="N26" s="24"/>
      <c r="O26" s="22" t="s">
        <v>359</v>
      </c>
      <c r="P26" s="29">
        <v>0</v>
      </c>
      <c r="Q26" s="29">
        <v>0</v>
      </c>
      <c r="R26" s="29">
        <v>0</v>
      </c>
      <c r="S26" s="29">
        <v>0</v>
      </c>
      <c r="T26" s="29">
        <v>0</v>
      </c>
      <c r="U26" s="29">
        <v>0</v>
      </c>
      <c r="V26" s="29">
        <v>0.16666666666666669</v>
      </c>
      <c r="W26" s="29">
        <v>0.16666666666666669</v>
      </c>
      <c r="X26" s="29">
        <v>0.16666666666666669</v>
      </c>
      <c r="Y26" s="29">
        <v>0.16666666666666669</v>
      </c>
      <c r="Z26" s="29">
        <v>0.16666666666666669</v>
      </c>
      <c r="AA26" s="29">
        <v>0.16666666666666669</v>
      </c>
      <c r="AB26" s="29">
        <v>0</v>
      </c>
      <c r="AC26" s="29">
        <v>0</v>
      </c>
      <c r="AD26" s="29">
        <v>0</v>
      </c>
      <c r="AE26" s="29">
        <v>0</v>
      </c>
      <c r="AF26" s="29">
        <v>0</v>
      </c>
      <c r="AG26" s="29">
        <v>0</v>
      </c>
      <c r="AH26" s="29">
        <v>0</v>
      </c>
      <c r="AI26" s="29">
        <v>0</v>
      </c>
      <c r="AJ26" s="29">
        <v>0</v>
      </c>
      <c r="AK26" s="29">
        <v>1</v>
      </c>
    </row>
    <row r="27" spans="1:37" ht="12.75">
      <c r="A27">
        <v>26</v>
      </c>
      <c r="B27">
        <v>3</v>
      </c>
      <c r="C27">
        <v>4</v>
      </c>
      <c r="D27" t="b">
        <v>0</v>
      </c>
      <c r="E27" t="b">
        <v>0</v>
      </c>
      <c r="F27" t="b">
        <v>1</v>
      </c>
      <c r="G27" t="b">
        <v>0</v>
      </c>
      <c r="H27" t="b">
        <v>0</v>
      </c>
      <c r="I27" t="b">
        <v>0</v>
      </c>
      <c r="J27" t="b">
        <v>0</v>
      </c>
      <c r="K27">
        <v>4</v>
      </c>
      <c r="L27">
        <v>4</v>
      </c>
      <c r="M27" s="24">
        <v>5</v>
      </c>
      <c r="N27" s="24"/>
      <c r="O27" s="22" t="s">
        <v>360</v>
      </c>
      <c r="P27" s="29">
        <v>0</v>
      </c>
      <c r="Q27" s="29">
        <v>0</v>
      </c>
      <c r="R27" s="29">
        <v>0</v>
      </c>
      <c r="S27" s="29">
        <v>0</v>
      </c>
      <c r="T27" s="29">
        <v>0</v>
      </c>
      <c r="U27" s="29">
        <v>0</v>
      </c>
      <c r="V27" s="29">
        <v>0.3333333333333333</v>
      </c>
      <c r="W27" s="29">
        <v>0.3333333333333333</v>
      </c>
      <c r="X27" s="29">
        <v>0.3333333333333333</v>
      </c>
      <c r="Y27" s="29">
        <v>0</v>
      </c>
      <c r="Z27" s="29">
        <v>0</v>
      </c>
      <c r="AA27" s="29">
        <v>0</v>
      </c>
      <c r="AB27" s="29">
        <v>0</v>
      </c>
      <c r="AC27" s="29">
        <v>0</v>
      </c>
      <c r="AD27" s="29">
        <v>0</v>
      </c>
      <c r="AE27" s="29">
        <v>0</v>
      </c>
      <c r="AF27" s="29">
        <v>0</v>
      </c>
      <c r="AG27" s="29">
        <v>0</v>
      </c>
      <c r="AH27" s="29">
        <v>0</v>
      </c>
      <c r="AI27" s="29">
        <v>0</v>
      </c>
      <c r="AJ27" s="29">
        <v>0</v>
      </c>
      <c r="AK27" s="29">
        <v>1</v>
      </c>
    </row>
    <row r="28" spans="13:37" ht="12.75">
      <c r="M28" s="24"/>
      <c r="N28" s="24"/>
      <c r="O28" s="22"/>
      <c r="P28" s="29"/>
      <c r="Q28" s="29"/>
      <c r="R28" s="29"/>
      <c r="S28" s="29"/>
      <c r="T28" s="29"/>
      <c r="U28" s="29"/>
      <c r="V28" s="29"/>
      <c r="W28" s="29"/>
      <c r="X28" s="29"/>
      <c r="Y28" s="29"/>
      <c r="Z28" s="29"/>
      <c r="AA28" s="29"/>
      <c r="AB28" s="29"/>
      <c r="AC28" s="29"/>
      <c r="AD28" s="29"/>
      <c r="AE28" s="29"/>
      <c r="AF28" s="29"/>
      <c r="AG28" s="29"/>
      <c r="AH28" s="29"/>
      <c r="AI28" s="29"/>
      <c r="AJ28" s="29"/>
      <c r="AK28" s="29"/>
    </row>
    <row r="29" spans="13:37" ht="12.75">
      <c r="M29" s="24"/>
      <c r="N29" s="24"/>
      <c r="O29" s="22"/>
      <c r="P29" s="29"/>
      <c r="Q29" s="29"/>
      <c r="R29" s="29"/>
      <c r="S29" s="29"/>
      <c r="T29" s="29"/>
      <c r="U29" s="29"/>
      <c r="V29" s="29"/>
      <c r="W29" s="29"/>
      <c r="X29" s="29"/>
      <c r="Y29" s="29"/>
      <c r="Z29" s="29"/>
      <c r="AA29" s="29"/>
      <c r="AB29" s="29"/>
      <c r="AC29" s="29"/>
      <c r="AD29" s="29"/>
      <c r="AE29" s="29"/>
      <c r="AF29" s="29"/>
      <c r="AG29" s="29"/>
      <c r="AH29" s="29"/>
      <c r="AI29" s="29"/>
      <c r="AJ29" s="29"/>
      <c r="AK29" s="29"/>
    </row>
    <row r="30" spans="13:37" ht="12.75">
      <c r="M30" s="24"/>
      <c r="N30" s="24"/>
      <c r="O30" s="22"/>
      <c r="P30" s="29"/>
      <c r="Q30" s="29"/>
      <c r="R30" s="29"/>
      <c r="S30" s="29"/>
      <c r="T30" s="29"/>
      <c r="U30" s="29"/>
      <c r="V30" s="29"/>
      <c r="W30" s="29"/>
      <c r="X30" s="29"/>
      <c r="Y30" s="29"/>
      <c r="Z30" s="29"/>
      <c r="AA30" s="29"/>
      <c r="AB30" s="29"/>
      <c r="AC30" s="29"/>
      <c r="AD30" s="29"/>
      <c r="AE30" s="29"/>
      <c r="AF30" s="29"/>
      <c r="AG30" s="29"/>
      <c r="AH30" s="29"/>
      <c r="AI30" s="29"/>
      <c r="AJ30" s="29"/>
      <c r="AK30" s="29"/>
    </row>
    <row r="31" spans="13:37" ht="12.75">
      <c r="M31" s="24"/>
      <c r="N31" s="24"/>
      <c r="O31" s="22"/>
      <c r="P31" s="29"/>
      <c r="Q31" s="29"/>
      <c r="R31" s="29"/>
      <c r="S31" s="29"/>
      <c r="T31" s="29"/>
      <c r="U31" s="29"/>
      <c r="V31" s="29"/>
      <c r="W31" s="29"/>
      <c r="X31" s="29"/>
      <c r="Y31" s="29"/>
      <c r="Z31" s="29"/>
      <c r="AA31" s="29"/>
      <c r="AB31" s="29"/>
      <c r="AC31" s="29"/>
      <c r="AD31" s="29"/>
      <c r="AE31" s="29"/>
      <c r="AF31" s="29"/>
      <c r="AG31" s="29"/>
      <c r="AH31" s="29"/>
      <c r="AI31" s="29"/>
      <c r="AJ31" s="29"/>
      <c r="AK31" s="29"/>
    </row>
    <row r="32" spans="13:15" ht="12.75">
      <c r="M32" s="24"/>
      <c r="N32" s="24"/>
      <c r="O32" s="22"/>
    </row>
    <row r="33" spans="13:15" ht="12.75">
      <c r="M33" s="24"/>
      <c r="N33" s="24"/>
      <c r="O33" s="22"/>
    </row>
    <row r="34" spans="13:15" ht="12.75">
      <c r="M34" s="24"/>
      <c r="N34" s="24"/>
      <c r="O34" s="22"/>
    </row>
    <row r="35" spans="13:15" ht="12.75">
      <c r="M35" s="24"/>
      <c r="N35" s="24"/>
      <c r="O35" s="22"/>
    </row>
    <row r="36" spans="13:15" ht="12.75">
      <c r="M36" s="24"/>
      <c r="N36" s="24"/>
      <c r="O36" s="22"/>
    </row>
    <row r="37" spans="13:15" ht="12.75">
      <c r="M37" s="24"/>
      <c r="N37" s="24"/>
      <c r="O37" s="22"/>
    </row>
    <row r="38" spans="13:15" ht="12.75">
      <c r="M38" s="24"/>
      <c r="N38" s="24"/>
      <c r="O38" s="22"/>
    </row>
    <row r="39" spans="13:15" ht="12.75">
      <c r="M39" s="24"/>
      <c r="N39" s="24"/>
      <c r="O39" s="22"/>
    </row>
    <row r="40" spans="13:15" ht="12.75">
      <c r="M40" s="24"/>
      <c r="N40" s="24"/>
      <c r="O40" s="22"/>
    </row>
    <row r="41" spans="13:15" ht="12.75">
      <c r="M41" s="24"/>
      <c r="N41" s="24"/>
      <c r="O41" s="22"/>
    </row>
    <row r="42" spans="13:15" ht="12.75">
      <c r="M42" s="24"/>
      <c r="N42" s="24"/>
      <c r="O42" s="22"/>
    </row>
    <row r="43" spans="13:15" ht="12.75">
      <c r="M43" s="24"/>
      <c r="N43" s="24"/>
      <c r="O43" s="22"/>
    </row>
    <row r="44" spans="13:15" ht="12.75">
      <c r="M44" s="24"/>
      <c r="N44" s="24"/>
      <c r="O44" s="22"/>
    </row>
    <row r="45" spans="13:15" ht="12.75">
      <c r="M45" s="24"/>
      <c r="N45" s="24"/>
      <c r="O45" s="22"/>
    </row>
    <row r="46" spans="13:15" ht="12.75">
      <c r="M46" s="24"/>
      <c r="N46" s="24"/>
      <c r="O46" s="22"/>
    </row>
    <row r="47" spans="13:15" ht="12.75">
      <c r="M47" s="24"/>
      <c r="N47" s="24"/>
      <c r="O47" s="22"/>
    </row>
    <row r="48" spans="13:15" ht="12.75">
      <c r="M48" s="24"/>
      <c r="N48" s="24"/>
      <c r="O48" s="22"/>
    </row>
    <row r="49" spans="13:15" ht="12.75">
      <c r="M49" s="24"/>
      <c r="N49" s="24"/>
      <c r="O49" s="22"/>
    </row>
    <row r="50" spans="13:15" ht="12.75">
      <c r="M50" s="24"/>
      <c r="N50" s="24"/>
      <c r="O50" s="22"/>
    </row>
    <row r="51" spans="13:15" ht="12.75">
      <c r="M51" s="24"/>
      <c r="N51" s="24"/>
      <c r="O51" s="22"/>
    </row>
    <row r="52" spans="13:15" ht="12.75">
      <c r="M52" s="24"/>
      <c r="N52" s="24"/>
      <c r="O52" s="22"/>
    </row>
    <row r="53" spans="13:15" ht="12.75">
      <c r="M53" s="24"/>
      <c r="N53" s="24"/>
      <c r="O53" s="22"/>
    </row>
    <row r="54" spans="13:15" ht="12.75">
      <c r="M54" s="24"/>
      <c r="N54" s="24"/>
      <c r="O54" s="22"/>
    </row>
    <row r="55" spans="13:15" ht="12.75">
      <c r="M55" s="24"/>
      <c r="N55" s="24"/>
      <c r="O55" s="22"/>
    </row>
    <row r="56" spans="13:15" ht="12.75">
      <c r="M56" s="24"/>
      <c r="N56" s="24"/>
      <c r="O56" s="22"/>
    </row>
    <row r="57" spans="13:15" ht="12.75">
      <c r="M57" s="24"/>
      <c r="N57" s="24"/>
      <c r="O57" s="22"/>
    </row>
    <row r="58" spans="13:15" ht="12.75">
      <c r="M58" s="24"/>
      <c r="N58" s="24"/>
      <c r="O58" s="22"/>
    </row>
    <row r="59" s="20" customFormat="1" ht="12.75">
      <c r="O59" s="25"/>
    </row>
    <row r="60" spans="1:37" ht="12.75">
      <c r="A60" t="s">
        <v>173</v>
      </c>
      <c r="B60">
        <f>SUM(D61:D118)</f>
        <v>9</v>
      </c>
      <c r="D60" t="s">
        <v>14</v>
      </c>
      <c r="E60" t="s">
        <v>176</v>
      </c>
      <c r="F60" t="s">
        <v>177</v>
      </c>
      <c r="AK60">
        <f>SUM(AK2:AK59)</f>
        <v>26</v>
      </c>
    </row>
    <row r="61" spans="1:36" ht="12.75">
      <c r="A61" t="s">
        <v>174</v>
      </c>
      <c r="B61">
        <f>SUM(E61:E118)</f>
        <v>17</v>
      </c>
      <c r="D61">
        <f>IF(B2=3,1,0)</f>
        <v>0</v>
      </c>
      <c r="E61">
        <f>IF(B2=1,1,0)</f>
        <v>1</v>
      </c>
      <c r="F61">
        <f>IF(B2=2,1,0)</f>
        <v>0</v>
      </c>
      <c r="AJ61" s="20" t="s">
        <v>95</v>
      </c>
    </row>
    <row r="62" spans="1:38" ht="12.75">
      <c r="A62" t="s">
        <v>175</v>
      </c>
      <c r="B62">
        <f>SUM(F61:F118)</f>
        <v>0</v>
      </c>
      <c r="D62">
        <f aca="true" t="shared" si="0" ref="D62:D118">IF(B3=3,1,0)</f>
        <v>0</v>
      </c>
      <c r="E62">
        <f aca="true" t="shared" si="1" ref="E62:E118">IF(B3=1,1,0)</f>
        <v>1</v>
      </c>
      <c r="F62">
        <f aca="true" t="shared" si="2" ref="F62:F118">IF(B3=2,1,0)</f>
        <v>0</v>
      </c>
      <c r="AJ62" s="38">
        <v>1</v>
      </c>
      <c r="AK62">
        <f>SUM(AK2:AK2)</f>
        <v>1</v>
      </c>
      <c r="AL62" t="str">
        <f>IF(AK62=Lists!T2,"Complete","Incomplete")</f>
        <v>Complete</v>
      </c>
    </row>
    <row r="63" spans="4:38" ht="12.75">
      <c r="D63">
        <f t="shared" si="0"/>
        <v>1</v>
      </c>
      <c r="E63">
        <f t="shared" si="1"/>
        <v>0</v>
      </c>
      <c r="F63">
        <f t="shared" si="2"/>
        <v>0</v>
      </c>
      <c r="AJ63" s="38">
        <v>2</v>
      </c>
      <c r="AK63">
        <f>SUM(AK3:AK7)</f>
        <v>5</v>
      </c>
      <c r="AL63" t="str">
        <f>IF(AK63=Lists!T3,"Complete","Incomplete")</f>
        <v>Complete</v>
      </c>
    </row>
    <row r="64" spans="4:38" ht="12.75">
      <c r="D64">
        <f t="shared" si="0"/>
        <v>0</v>
      </c>
      <c r="E64">
        <f t="shared" si="1"/>
        <v>1</v>
      </c>
      <c r="F64">
        <f t="shared" si="2"/>
        <v>0</v>
      </c>
      <c r="AJ64" s="38">
        <v>3</v>
      </c>
      <c r="AK64">
        <f>SUM(AK8:AK10)</f>
        <v>3</v>
      </c>
      <c r="AL64" t="str">
        <f>IF(AK64=Lists!T4,"Complete","Incomplete")</f>
        <v>Complete</v>
      </c>
    </row>
    <row r="65" spans="4:38" ht="12.75">
      <c r="D65">
        <f t="shared" si="0"/>
        <v>0</v>
      </c>
      <c r="E65">
        <f t="shared" si="1"/>
        <v>1</v>
      </c>
      <c r="F65">
        <f t="shared" si="2"/>
        <v>0</v>
      </c>
      <c r="AJ65" s="38">
        <v>4</v>
      </c>
      <c r="AK65">
        <f>SUM(AK11:AK13)</f>
        <v>3</v>
      </c>
      <c r="AL65" t="str">
        <f>IF(AK65=Lists!T5,"Complete","Incomplete")</f>
        <v>Complete</v>
      </c>
    </row>
    <row r="66" spans="4:38" ht="12.75">
      <c r="D66">
        <f t="shared" si="0"/>
        <v>0</v>
      </c>
      <c r="E66">
        <f t="shared" si="1"/>
        <v>1</v>
      </c>
      <c r="F66">
        <f t="shared" si="2"/>
        <v>0</v>
      </c>
      <c r="AJ66" s="38">
        <v>5</v>
      </c>
      <c r="AK66">
        <f>SUM(AK14:AK18)</f>
        <v>5</v>
      </c>
      <c r="AL66" t="str">
        <f>IF(AK66=Lists!T6,"Complete","Incomplete")</f>
        <v>Complete</v>
      </c>
    </row>
    <row r="67" spans="4:38" ht="12.75">
      <c r="D67">
        <f t="shared" si="0"/>
        <v>1</v>
      </c>
      <c r="E67">
        <f t="shared" si="1"/>
        <v>0</v>
      </c>
      <c r="F67">
        <f t="shared" si="2"/>
        <v>0</v>
      </c>
      <c r="AJ67" s="38">
        <v>6</v>
      </c>
      <c r="AK67">
        <f>SUM(AK19:AK22)</f>
        <v>4</v>
      </c>
      <c r="AL67" t="str">
        <f>IF(AK67=Lists!T7,"Complete","Incomplete")</f>
        <v>Complete</v>
      </c>
    </row>
    <row r="68" spans="4:38" ht="12.75">
      <c r="D68">
        <f t="shared" si="0"/>
        <v>0</v>
      </c>
      <c r="E68">
        <f t="shared" si="1"/>
        <v>1</v>
      </c>
      <c r="F68">
        <f t="shared" si="2"/>
        <v>0</v>
      </c>
      <c r="AJ68" s="38" t="s">
        <v>286</v>
      </c>
      <c r="AK68">
        <f>SUM(AK23:AK25)</f>
        <v>3</v>
      </c>
      <c r="AL68" t="str">
        <f>IF(AK68=Lists!T8,"Complete","Incomplete")</f>
        <v>Complete</v>
      </c>
    </row>
    <row r="69" spans="4:38" ht="12.75">
      <c r="D69">
        <f t="shared" si="0"/>
        <v>1</v>
      </c>
      <c r="E69">
        <f t="shared" si="1"/>
        <v>0</v>
      </c>
      <c r="F69">
        <f t="shared" si="2"/>
        <v>0</v>
      </c>
      <c r="AJ69" s="38">
        <v>9</v>
      </c>
      <c r="AK69">
        <f>AK26</f>
        <v>1</v>
      </c>
      <c r="AL69" t="str">
        <f>IF(AK69=Lists!T9,"Complete","Incomplete")</f>
        <v>Complete</v>
      </c>
    </row>
    <row r="70" spans="4:38" ht="12.75">
      <c r="D70">
        <f t="shared" si="0"/>
        <v>0</v>
      </c>
      <c r="E70">
        <f t="shared" si="1"/>
        <v>1</v>
      </c>
      <c r="F70">
        <f t="shared" si="2"/>
        <v>0</v>
      </c>
      <c r="AJ70" s="38">
        <v>10</v>
      </c>
      <c r="AK70">
        <f>AK27</f>
        <v>1</v>
      </c>
      <c r="AL70" t="str">
        <f>IF(AK70=Lists!T10,"Complete","Incomplete")</f>
        <v>Complete</v>
      </c>
    </row>
    <row r="71" spans="4:6" ht="12.75">
      <c r="D71">
        <f t="shared" si="0"/>
        <v>0</v>
      </c>
      <c r="E71">
        <f t="shared" si="1"/>
        <v>1</v>
      </c>
      <c r="F71">
        <f t="shared" si="2"/>
        <v>0</v>
      </c>
    </row>
    <row r="72" spans="4:6" ht="12.75">
      <c r="D72">
        <f t="shared" si="0"/>
        <v>0</v>
      </c>
      <c r="E72">
        <f t="shared" si="1"/>
        <v>1</v>
      </c>
      <c r="F72">
        <f t="shared" si="2"/>
        <v>0</v>
      </c>
    </row>
    <row r="73" spans="4:6" ht="12.75">
      <c r="D73">
        <f t="shared" si="0"/>
        <v>0</v>
      </c>
      <c r="E73">
        <f t="shared" si="1"/>
        <v>1</v>
      </c>
      <c r="F73">
        <f t="shared" si="2"/>
        <v>0</v>
      </c>
    </row>
    <row r="74" spans="4:6" ht="12.75">
      <c r="D74">
        <f t="shared" si="0"/>
        <v>1</v>
      </c>
      <c r="E74">
        <f t="shared" si="1"/>
        <v>0</v>
      </c>
      <c r="F74">
        <f t="shared" si="2"/>
        <v>0</v>
      </c>
    </row>
    <row r="75" spans="4:6" ht="12.75">
      <c r="D75">
        <f t="shared" si="0"/>
        <v>0</v>
      </c>
      <c r="E75">
        <f t="shared" si="1"/>
        <v>1</v>
      </c>
      <c r="F75">
        <f t="shared" si="2"/>
        <v>0</v>
      </c>
    </row>
    <row r="76" spans="4:6" ht="12.75">
      <c r="D76">
        <f t="shared" si="0"/>
        <v>1</v>
      </c>
      <c r="E76">
        <f t="shared" si="1"/>
        <v>0</v>
      </c>
      <c r="F76">
        <f t="shared" si="2"/>
        <v>0</v>
      </c>
    </row>
    <row r="77" spans="4:6" ht="12.75">
      <c r="D77">
        <f t="shared" si="0"/>
        <v>0</v>
      </c>
      <c r="E77">
        <f t="shared" si="1"/>
        <v>1</v>
      </c>
      <c r="F77">
        <f t="shared" si="2"/>
        <v>0</v>
      </c>
    </row>
    <row r="78" spans="4:6" ht="12.75">
      <c r="D78">
        <f t="shared" si="0"/>
        <v>0</v>
      </c>
      <c r="E78">
        <f t="shared" si="1"/>
        <v>1</v>
      </c>
      <c r="F78">
        <f t="shared" si="2"/>
        <v>0</v>
      </c>
    </row>
    <row r="79" spans="4:6" ht="12.75">
      <c r="D79">
        <f t="shared" si="0"/>
        <v>0</v>
      </c>
      <c r="E79">
        <f t="shared" si="1"/>
        <v>1</v>
      </c>
      <c r="F79">
        <f t="shared" si="2"/>
        <v>0</v>
      </c>
    </row>
    <row r="80" spans="4:6" ht="12.75">
      <c r="D80">
        <f t="shared" si="0"/>
        <v>0</v>
      </c>
      <c r="E80">
        <f t="shared" si="1"/>
        <v>1</v>
      </c>
      <c r="F80">
        <f t="shared" si="2"/>
        <v>0</v>
      </c>
    </row>
    <row r="81" spans="4:6" ht="12.75">
      <c r="D81">
        <f t="shared" si="0"/>
        <v>1</v>
      </c>
      <c r="E81">
        <f t="shared" si="1"/>
        <v>0</v>
      </c>
      <c r="F81">
        <f t="shared" si="2"/>
        <v>0</v>
      </c>
    </row>
    <row r="82" spans="4:6" ht="12.75">
      <c r="D82">
        <f t="shared" si="0"/>
        <v>0</v>
      </c>
      <c r="E82">
        <f t="shared" si="1"/>
        <v>1</v>
      </c>
      <c r="F82">
        <f t="shared" si="2"/>
        <v>0</v>
      </c>
    </row>
    <row r="83" spans="4:6" ht="12.75">
      <c r="D83">
        <f t="shared" si="0"/>
        <v>0</v>
      </c>
      <c r="E83">
        <f t="shared" si="1"/>
        <v>1</v>
      </c>
      <c r="F83">
        <f t="shared" si="2"/>
        <v>0</v>
      </c>
    </row>
    <row r="84" spans="4:6" ht="12.75">
      <c r="D84">
        <f t="shared" si="0"/>
        <v>1</v>
      </c>
      <c r="E84">
        <f t="shared" si="1"/>
        <v>0</v>
      </c>
      <c r="F84">
        <f t="shared" si="2"/>
        <v>0</v>
      </c>
    </row>
    <row r="85" spans="4:6" ht="12.75">
      <c r="D85">
        <f t="shared" si="0"/>
        <v>1</v>
      </c>
      <c r="E85">
        <f t="shared" si="1"/>
        <v>0</v>
      </c>
      <c r="F85">
        <f t="shared" si="2"/>
        <v>0</v>
      </c>
    </row>
    <row r="86" spans="4:6" ht="12.75">
      <c r="D86">
        <f t="shared" si="0"/>
        <v>1</v>
      </c>
      <c r="E86">
        <f t="shared" si="1"/>
        <v>0</v>
      </c>
      <c r="F86">
        <f t="shared" si="2"/>
        <v>0</v>
      </c>
    </row>
    <row r="87" spans="4:6" ht="12.75">
      <c r="D87">
        <f t="shared" si="0"/>
        <v>0</v>
      </c>
      <c r="E87">
        <f t="shared" si="1"/>
        <v>0</v>
      </c>
      <c r="F87">
        <f t="shared" si="2"/>
        <v>0</v>
      </c>
    </row>
    <row r="88" spans="4:6" ht="12.75">
      <c r="D88">
        <f t="shared" si="0"/>
        <v>0</v>
      </c>
      <c r="E88">
        <f t="shared" si="1"/>
        <v>0</v>
      </c>
      <c r="F88">
        <f t="shared" si="2"/>
        <v>0</v>
      </c>
    </row>
    <row r="89" spans="4:6" ht="12.75">
      <c r="D89">
        <f t="shared" si="0"/>
        <v>0</v>
      </c>
      <c r="E89">
        <f t="shared" si="1"/>
        <v>0</v>
      </c>
      <c r="F89">
        <f t="shared" si="2"/>
        <v>0</v>
      </c>
    </row>
    <row r="90" spans="4:6" ht="12.75">
      <c r="D90">
        <f t="shared" si="0"/>
        <v>0</v>
      </c>
      <c r="E90">
        <f t="shared" si="1"/>
        <v>0</v>
      </c>
      <c r="F90">
        <f t="shared" si="2"/>
        <v>0</v>
      </c>
    </row>
    <row r="91" spans="4:6" ht="12.75">
      <c r="D91">
        <f t="shared" si="0"/>
        <v>0</v>
      </c>
      <c r="E91">
        <f t="shared" si="1"/>
        <v>0</v>
      </c>
      <c r="F91">
        <f t="shared" si="2"/>
        <v>0</v>
      </c>
    </row>
    <row r="92" spans="4:6" ht="12.75">
      <c r="D92">
        <f t="shared" si="0"/>
        <v>0</v>
      </c>
      <c r="E92">
        <f t="shared" si="1"/>
        <v>0</v>
      </c>
      <c r="F92">
        <f t="shared" si="2"/>
        <v>0</v>
      </c>
    </row>
    <row r="93" spans="4:6" ht="12.75">
      <c r="D93">
        <f t="shared" si="0"/>
        <v>0</v>
      </c>
      <c r="E93">
        <f t="shared" si="1"/>
        <v>0</v>
      </c>
      <c r="F93">
        <f t="shared" si="2"/>
        <v>0</v>
      </c>
    </row>
    <row r="94" spans="4:6" ht="12.75">
      <c r="D94">
        <f t="shared" si="0"/>
        <v>0</v>
      </c>
      <c r="E94">
        <f t="shared" si="1"/>
        <v>0</v>
      </c>
      <c r="F94">
        <f t="shared" si="2"/>
        <v>0</v>
      </c>
    </row>
    <row r="95" spans="4:6" ht="12.75">
      <c r="D95">
        <f t="shared" si="0"/>
        <v>0</v>
      </c>
      <c r="E95">
        <f t="shared" si="1"/>
        <v>0</v>
      </c>
      <c r="F95">
        <f t="shared" si="2"/>
        <v>0</v>
      </c>
    </row>
    <row r="96" spans="4:6" ht="12.75">
      <c r="D96">
        <f t="shared" si="0"/>
        <v>0</v>
      </c>
      <c r="E96">
        <f t="shared" si="1"/>
        <v>0</v>
      </c>
      <c r="F96">
        <f t="shared" si="2"/>
        <v>0</v>
      </c>
    </row>
    <row r="97" spans="4:6" ht="12.75">
      <c r="D97">
        <f t="shared" si="0"/>
        <v>0</v>
      </c>
      <c r="E97">
        <f t="shared" si="1"/>
        <v>0</v>
      </c>
      <c r="F97">
        <f t="shared" si="2"/>
        <v>0</v>
      </c>
    </row>
    <row r="98" spans="4:6" ht="12.75">
      <c r="D98">
        <f t="shared" si="0"/>
        <v>0</v>
      </c>
      <c r="E98">
        <f t="shared" si="1"/>
        <v>0</v>
      </c>
      <c r="F98">
        <f t="shared" si="2"/>
        <v>0</v>
      </c>
    </row>
    <row r="99" spans="4:6" ht="12.75">
      <c r="D99">
        <f t="shared" si="0"/>
        <v>0</v>
      </c>
      <c r="E99">
        <f t="shared" si="1"/>
        <v>0</v>
      </c>
      <c r="F99">
        <f t="shared" si="2"/>
        <v>0</v>
      </c>
    </row>
    <row r="100" spans="4:6" ht="12.75">
      <c r="D100">
        <f t="shared" si="0"/>
        <v>0</v>
      </c>
      <c r="E100">
        <f t="shared" si="1"/>
        <v>0</v>
      </c>
      <c r="F100">
        <f t="shared" si="2"/>
        <v>0</v>
      </c>
    </row>
    <row r="101" spans="4:6" ht="12.75">
      <c r="D101">
        <f t="shared" si="0"/>
        <v>0</v>
      </c>
      <c r="E101">
        <f t="shared" si="1"/>
        <v>0</v>
      </c>
      <c r="F101">
        <f t="shared" si="2"/>
        <v>0</v>
      </c>
    </row>
    <row r="102" spans="4:6" ht="12.75">
      <c r="D102">
        <f t="shared" si="0"/>
        <v>0</v>
      </c>
      <c r="E102">
        <f t="shared" si="1"/>
        <v>0</v>
      </c>
      <c r="F102">
        <f t="shared" si="2"/>
        <v>0</v>
      </c>
    </row>
    <row r="103" spans="4:6" ht="12.75">
      <c r="D103">
        <f t="shared" si="0"/>
        <v>0</v>
      </c>
      <c r="E103">
        <f t="shared" si="1"/>
        <v>0</v>
      </c>
      <c r="F103">
        <f t="shared" si="2"/>
        <v>0</v>
      </c>
    </row>
    <row r="104" spans="4:6" ht="12.75">
      <c r="D104">
        <f t="shared" si="0"/>
        <v>0</v>
      </c>
      <c r="E104">
        <f t="shared" si="1"/>
        <v>0</v>
      </c>
      <c r="F104">
        <f t="shared" si="2"/>
        <v>0</v>
      </c>
    </row>
    <row r="105" spans="4:6" ht="12.75">
      <c r="D105">
        <f t="shared" si="0"/>
        <v>0</v>
      </c>
      <c r="E105">
        <f t="shared" si="1"/>
        <v>0</v>
      </c>
      <c r="F105">
        <f t="shared" si="2"/>
        <v>0</v>
      </c>
    </row>
    <row r="106" spans="4:6" ht="12.75">
      <c r="D106">
        <f t="shared" si="0"/>
        <v>0</v>
      </c>
      <c r="E106">
        <f t="shared" si="1"/>
        <v>0</v>
      </c>
      <c r="F106">
        <f t="shared" si="2"/>
        <v>0</v>
      </c>
    </row>
    <row r="107" spans="4:6" ht="12.75">
      <c r="D107">
        <f t="shared" si="0"/>
        <v>0</v>
      </c>
      <c r="E107">
        <f t="shared" si="1"/>
        <v>0</v>
      </c>
      <c r="F107">
        <f t="shared" si="2"/>
        <v>0</v>
      </c>
    </row>
    <row r="108" spans="4:6" ht="12.75">
      <c r="D108">
        <f t="shared" si="0"/>
        <v>0</v>
      </c>
      <c r="E108">
        <f t="shared" si="1"/>
        <v>0</v>
      </c>
      <c r="F108">
        <f t="shared" si="2"/>
        <v>0</v>
      </c>
    </row>
    <row r="109" spans="4:6" ht="12.75">
      <c r="D109">
        <f t="shared" si="0"/>
        <v>0</v>
      </c>
      <c r="E109">
        <f t="shared" si="1"/>
        <v>0</v>
      </c>
      <c r="F109">
        <f t="shared" si="2"/>
        <v>0</v>
      </c>
    </row>
    <row r="110" spans="4:6" ht="12.75">
      <c r="D110">
        <f t="shared" si="0"/>
        <v>0</v>
      </c>
      <c r="E110">
        <f t="shared" si="1"/>
        <v>0</v>
      </c>
      <c r="F110">
        <f t="shared" si="2"/>
        <v>0</v>
      </c>
    </row>
    <row r="111" spans="4:6" ht="12.75">
      <c r="D111">
        <f t="shared" si="0"/>
        <v>0</v>
      </c>
      <c r="E111">
        <f t="shared" si="1"/>
        <v>0</v>
      </c>
      <c r="F111">
        <f t="shared" si="2"/>
        <v>0</v>
      </c>
    </row>
    <row r="112" spans="4:6" ht="12.75">
      <c r="D112">
        <f t="shared" si="0"/>
        <v>0</v>
      </c>
      <c r="E112">
        <f t="shared" si="1"/>
        <v>0</v>
      </c>
      <c r="F112">
        <f t="shared" si="2"/>
        <v>0</v>
      </c>
    </row>
    <row r="113" spans="4:6" ht="12.75">
      <c r="D113">
        <f t="shared" si="0"/>
        <v>0</v>
      </c>
      <c r="E113">
        <f t="shared" si="1"/>
        <v>0</v>
      </c>
      <c r="F113">
        <f t="shared" si="2"/>
        <v>0</v>
      </c>
    </row>
    <row r="114" spans="4:6" ht="12.75">
      <c r="D114">
        <f t="shared" si="0"/>
        <v>0</v>
      </c>
      <c r="E114">
        <f t="shared" si="1"/>
        <v>0</v>
      </c>
      <c r="F114">
        <f t="shared" si="2"/>
        <v>0</v>
      </c>
    </row>
    <row r="115" spans="4:6" ht="12.75">
      <c r="D115">
        <f t="shared" si="0"/>
        <v>0</v>
      </c>
      <c r="E115">
        <f t="shared" si="1"/>
        <v>0</v>
      </c>
      <c r="F115">
        <f t="shared" si="2"/>
        <v>0</v>
      </c>
    </row>
    <row r="116" spans="4:6" ht="12.75">
      <c r="D116">
        <f t="shared" si="0"/>
        <v>0</v>
      </c>
      <c r="E116">
        <f t="shared" si="1"/>
        <v>0</v>
      </c>
      <c r="F116">
        <f t="shared" si="2"/>
        <v>0</v>
      </c>
    </row>
    <row r="117" spans="4:6" ht="12.75">
      <c r="D117">
        <f t="shared" si="0"/>
        <v>0</v>
      </c>
      <c r="E117">
        <f t="shared" si="1"/>
        <v>0</v>
      </c>
      <c r="F117">
        <f t="shared" si="2"/>
        <v>0</v>
      </c>
    </row>
    <row r="118" spans="4:6" ht="12.75">
      <c r="D118" s="20">
        <f t="shared" si="0"/>
        <v>0</v>
      </c>
      <c r="E118" s="20">
        <f t="shared" si="1"/>
        <v>0</v>
      </c>
      <c r="F118" s="20">
        <f t="shared" si="2"/>
        <v>0</v>
      </c>
    </row>
    <row r="120" ht="12.75">
      <c r="K120" t="s">
        <v>179</v>
      </c>
    </row>
    <row r="121" spans="11:17" ht="13.5" thickBot="1">
      <c r="K121" s="24">
        <v>1</v>
      </c>
      <c r="L121" s="24">
        <v>2</v>
      </c>
      <c r="M121" s="24">
        <v>3</v>
      </c>
      <c r="N121" s="24">
        <v>4</v>
      </c>
      <c r="O121" s="24">
        <v>5</v>
      </c>
      <c r="P121" s="24">
        <v>6</v>
      </c>
      <c r="Q121" s="24">
        <v>7</v>
      </c>
    </row>
    <row r="122" spans="4:17" ht="12.75">
      <c r="D122" s="84">
        <f aca="true" t="shared" si="3" ref="D122:D179">IF($B2=2,IF(OR($K2=1,$L2=1),1,0),IF(D2,1,0))</f>
        <v>0</v>
      </c>
      <c r="E122" s="85">
        <f aca="true" t="shared" si="4" ref="E122:E179">IF($B2=2,IF(OR($K2=2,$L2=2,AND($K2&lt;2,$L2&gt;2),AND($K2&gt;2,$L2&lt;2)),1,0),IF(E2,1,0))</f>
        <v>0</v>
      </c>
      <c r="F122" s="85">
        <f aca="true" t="shared" si="5" ref="F122:F179">IF($B2=2,IF(OR($K2=3,$L2=3,AND($K2&lt;3,$L2&gt;3),AND($K2&gt;3,$L2&lt;3)),1,0),IF(F2,1,0))</f>
        <v>0</v>
      </c>
      <c r="G122" s="85">
        <f aca="true" t="shared" si="6" ref="G122:G179">IF($B2=2,IF(OR($K2=4,$L2=4,AND($K2&lt;4,$L2&gt;4),AND($K2&gt;4,$L2&lt;4)),1,0),IF(G2,1,0))</f>
        <v>0</v>
      </c>
      <c r="H122" s="85">
        <f aca="true" t="shared" si="7" ref="H122:H179">IF($B2=2,IF(OR($K2=5,$L2=5,AND($K2&lt;5,$L2&gt;5),AND($K2&gt;5,$L2&lt;5)),1,0),IF(H2,1,0))</f>
        <v>0</v>
      </c>
      <c r="I122" s="85">
        <f aca="true" t="shared" si="8" ref="I122:I179">IF($B2=2,IF(OR($K2=6,$L2=6,AND($K2&lt;6,$L2&gt;6),AND($K2&gt;6,$L2&lt;6)),1,0),IF(I2,1,0))</f>
        <v>0</v>
      </c>
      <c r="J122" s="86">
        <f aca="true" t="shared" si="9" ref="J122:J179">IF($B2=2,IF(OR($K2=7,$L2=7),1,0),IF(J2,1,0))</f>
        <v>1</v>
      </c>
      <c r="K122" s="75">
        <f>IF(SUM($D122:$J122)=$K$121,1,0)</f>
        <v>1</v>
      </c>
      <c r="L122" s="76">
        <f>IF(SUM($D122:$J122)=$L$121,1,0)</f>
        <v>0</v>
      </c>
      <c r="M122" s="76">
        <f>IF(SUM($D122:$J122)=$M$121,1,0)</f>
        <v>0</v>
      </c>
      <c r="N122" s="76">
        <f>IF(SUM($D122:$J122)=$N$121,1,0)</f>
        <v>0</v>
      </c>
      <c r="O122" s="76">
        <f>IF(SUM($D122:$J122)=$O$121,1,0)</f>
        <v>0</v>
      </c>
      <c r="P122" s="76">
        <f>IF(SUM($D122:$J122)=$P$121,1,0)</f>
        <v>0</v>
      </c>
      <c r="Q122" s="77">
        <f>IF(SUM($D122:$J122)=$Q$121,1,0)</f>
        <v>0</v>
      </c>
    </row>
    <row r="123" spans="4:17" ht="12.75">
      <c r="D123" s="87">
        <f t="shared" si="3"/>
        <v>0</v>
      </c>
      <c r="E123" s="24">
        <f t="shared" si="4"/>
        <v>0</v>
      </c>
      <c r="F123" s="24">
        <f t="shared" si="5"/>
        <v>0</v>
      </c>
      <c r="G123" s="24">
        <f t="shared" si="6"/>
        <v>0</v>
      </c>
      <c r="H123" s="24">
        <f t="shared" si="7"/>
        <v>0</v>
      </c>
      <c r="I123" s="24">
        <f t="shared" si="8"/>
        <v>0</v>
      </c>
      <c r="J123" s="88">
        <f t="shared" si="9"/>
        <v>1</v>
      </c>
      <c r="K123" s="78">
        <f aca="true" t="shared" si="10" ref="K123:K179">IF(SUM($D123:$J123)=$K$121,1,0)</f>
        <v>1</v>
      </c>
      <c r="L123" s="54">
        <f aca="true" t="shared" si="11" ref="L123:L179">IF(SUM($D123:$J123)=$L$121,1,0)</f>
        <v>0</v>
      </c>
      <c r="M123" s="54">
        <f aca="true" t="shared" si="12" ref="M123:M179">IF(SUM($D123:$J123)=$M$121,1,0)</f>
        <v>0</v>
      </c>
      <c r="N123" s="54">
        <f aca="true" t="shared" si="13" ref="N123:N179">IF(SUM($D123:$J123)=$N$121,1,0)</f>
        <v>0</v>
      </c>
      <c r="O123" s="54">
        <f aca="true" t="shared" si="14" ref="O123:O179">IF(SUM($D123:$J123)=$O$121,1,0)</f>
        <v>0</v>
      </c>
      <c r="P123" s="54">
        <f aca="true" t="shared" si="15" ref="P123:P179">IF(SUM($D123:$J123)=$P$121,1,0)</f>
        <v>0</v>
      </c>
      <c r="Q123" s="79">
        <f aca="true" t="shared" si="16" ref="Q123:Q179">IF(SUM($D123:$J123)=$Q$121,1,0)</f>
        <v>0</v>
      </c>
    </row>
    <row r="124" spans="4:17" ht="12.75">
      <c r="D124" s="87">
        <f t="shared" si="3"/>
        <v>0</v>
      </c>
      <c r="E124" s="24">
        <f t="shared" si="4"/>
        <v>0</v>
      </c>
      <c r="F124" s="24">
        <f t="shared" si="5"/>
        <v>0</v>
      </c>
      <c r="G124" s="24">
        <f t="shared" si="6"/>
        <v>0</v>
      </c>
      <c r="H124" s="24">
        <f t="shared" si="7"/>
        <v>0</v>
      </c>
      <c r="I124" s="24">
        <f t="shared" si="8"/>
        <v>0</v>
      </c>
      <c r="J124" s="88">
        <f t="shared" si="9"/>
        <v>1</v>
      </c>
      <c r="K124" s="78">
        <f t="shared" si="10"/>
        <v>1</v>
      </c>
      <c r="L124" s="54">
        <f t="shared" si="11"/>
        <v>0</v>
      </c>
      <c r="M124" s="54">
        <f t="shared" si="12"/>
        <v>0</v>
      </c>
      <c r="N124" s="54">
        <f t="shared" si="13"/>
        <v>0</v>
      </c>
      <c r="O124" s="54">
        <f t="shared" si="14"/>
        <v>0</v>
      </c>
      <c r="P124" s="54">
        <f t="shared" si="15"/>
        <v>0</v>
      </c>
      <c r="Q124" s="79">
        <f t="shared" si="16"/>
        <v>0</v>
      </c>
    </row>
    <row r="125" spans="4:17" ht="12.75">
      <c r="D125" s="87">
        <f t="shared" si="3"/>
        <v>0</v>
      </c>
      <c r="E125" s="24">
        <f t="shared" si="4"/>
        <v>0</v>
      </c>
      <c r="F125" s="24">
        <f t="shared" si="5"/>
        <v>0</v>
      </c>
      <c r="G125" s="24">
        <f t="shared" si="6"/>
        <v>0</v>
      </c>
      <c r="H125" s="24">
        <f t="shared" si="7"/>
        <v>0</v>
      </c>
      <c r="I125" s="24">
        <f t="shared" si="8"/>
        <v>0</v>
      </c>
      <c r="J125" s="88">
        <f t="shared" si="9"/>
        <v>1</v>
      </c>
      <c r="K125" s="78">
        <f t="shared" si="10"/>
        <v>1</v>
      </c>
      <c r="L125" s="54">
        <f t="shared" si="11"/>
        <v>0</v>
      </c>
      <c r="M125" s="54">
        <f t="shared" si="12"/>
        <v>0</v>
      </c>
      <c r="N125" s="54">
        <f t="shared" si="13"/>
        <v>0</v>
      </c>
      <c r="O125" s="54">
        <f t="shared" si="14"/>
        <v>0</v>
      </c>
      <c r="P125" s="54">
        <f t="shared" si="15"/>
        <v>0</v>
      </c>
      <c r="Q125" s="79">
        <f t="shared" si="16"/>
        <v>0</v>
      </c>
    </row>
    <row r="126" spans="4:17" ht="12.75">
      <c r="D126" s="87">
        <f t="shared" si="3"/>
        <v>0</v>
      </c>
      <c r="E126" s="24">
        <f t="shared" si="4"/>
        <v>0</v>
      </c>
      <c r="F126" s="24">
        <f t="shared" si="5"/>
        <v>0</v>
      </c>
      <c r="G126" s="24">
        <f t="shared" si="6"/>
        <v>0</v>
      </c>
      <c r="H126" s="24">
        <f t="shared" si="7"/>
        <v>0</v>
      </c>
      <c r="I126" s="24">
        <f t="shared" si="8"/>
        <v>1</v>
      </c>
      <c r="J126" s="88">
        <f t="shared" si="9"/>
        <v>1</v>
      </c>
      <c r="K126" s="78">
        <f t="shared" si="10"/>
        <v>0</v>
      </c>
      <c r="L126" s="54">
        <f t="shared" si="11"/>
        <v>1</v>
      </c>
      <c r="M126" s="54">
        <f t="shared" si="12"/>
        <v>0</v>
      </c>
      <c r="N126" s="54">
        <f t="shared" si="13"/>
        <v>0</v>
      </c>
      <c r="O126" s="54">
        <f t="shared" si="14"/>
        <v>0</v>
      </c>
      <c r="P126" s="54">
        <f t="shared" si="15"/>
        <v>0</v>
      </c>
      <c r="Q126" s="79">
        <f t="shared" si="16"/>
        <v>0</v>
      </c>
    </row>
    <row r="127" spans="4:17" ht="12.75">
      <c r="D127" s="87">
        <f t="shared" si="3"/>
        <v>0</v>
      </c>
      <c r="E127" s="24">
        <f t="shared" si="4"/>
        <v>0</v>
      </c>
      <c r="F127" s="24">
        <f t="shared" si="5"/>
        <v>0</v>
      </c>
      <c r="G127" s="24">
        <f t="shared" si="6"/>
        <v>0</v>
      </c>
      <c r="H127" s="24">
        <f t="shared" si="7"/>
        <v>1</v>
      </c>
      <c r="I127" s="24">
        <f t="shared" si="8"/>
        <v>1</v>
      </c>
      <c r="J127" s="88">
        <f t="shared" si="9"/>
        <v>0</v>
      </c>
      <c r="K127" s="78">
        <f t="shared" si="10"/>
        <v>0</v>
      </c>
      <c r="L127" s="54">
        <f t="shared" si="11"/>
        <v>1</v>
      </c>
      <c r="M127" s="54">
        <f t="shared" si="12"/>
        <v>0</v>
      </c>
      <c r="N127" s="54">
        <f t="shared" si="13"/>
        <v>0</v>
      </c>
      <c r="O127" s="54">
        <f t="shared" si="14"/>
        <v>0</v>
      </c>
      <c r="P127" s="54">
        <f t="shared" si="15"/>
        <v>0</v>
      </c>
      <c r="Q127" s="79">
        <f t="shared" si="16"/>
        <v>0</v>
      </c>
    </row>
    <row r="128" spans="4:17" ht="12.75">
      <c r="D128" s="87">
        <f t="shared" si="3"/>
        <v>0</v>
      </c>
      <c r="E128" s="24">
        <f t="shared" si="4"/>
        <v>0</v>
      </c>
      <c r="F128" s="24">
        <f t="shared" si="5"/>
        <v>0</v>
      </c>
      <c r="G128" s="24">
        <f t="shared" si="6"/>
        <v>1</v>
      </c>
      <c r="H128" s="24">
        <f t="shared" si="7"/>
        <v>0</v>
      </c>
      <c r="I128" s="24">
        <f t="shared" si="8"/>
        <v>0</v>
      </c>
      <c r="J128" s="88">
        <f t="shared" si="9"/>
        <v>0</v>
      </c>
      <c r="K128" s="78">
        <f t="shared" si="10"/>
        <v>1</v>
      </c>
      <c r="L128" s="54">
        <f t="shared" si="11"/>
        <v>0</v>
      </c>
      <c r="M128" s="54">
        <f t="shared" si="12"/>
        <v>0</v>
      </c>
      <c r="N128" s="54">
        <f t="shared" si="13"/>
        <v>0</v>
      </c>
      <c r="O128" s="54">
        <f t="shared" si="14"/>
        <v>0</v>
      </c>
      <c r="P128" s="54">
        <f t="shared" si="15"/>
        <v>0</v>
      </c>
      <c r="Q128" s="79">
        <f t="shared" si="16"/>
        <v>0</v>
      </c>
    </row>
    <row r="129" spans="4:17" ht="12.75">
      <c r="D129" s="87">
        <f t="shared" si="3"/>
        <v>0</v>
      </c>
      <c r="E129" s="24">
        <f t="shared" si="4"/>
        <v>0</v>
      </c>
      <c r="F129" s="24">
        <f t="shared" si="5"/>
        <v>0</v>
      </c>
      <c r="G129" s="24">
        <f t="shared" si="6"/>
        <v>0</v>
      </c>
      <c r="H129" s="24">
        <f t="shared" si="7"/>
        <v>1</v>
      </c>
      <c r="I129" s="24">
        <f t="shared" si="8"/>
        <v>0</v>
      </c>
      <c r="J129" s="88">
        <f t="shared" si="9"/>
        <v>0</v>
      </c>
      <c r="K129" s="78">
        <f t="shared" si="10"/>
        <v>1</v>
      </c>
      <c r="L129" s="54">
        <f t="shared" si="11"/>
        <v>0</v>
      </c>
      <c r="M129" s="54">
        <f t="shared" si="12"/>
        <v>0</v>
      </c>
      <c r="N129" s="54">
        <f t="shared" si="13"/>
        <v>0</v>
      </c>
      <c r="O129" s="54">
        <f t="shared" si="14"/>
        <v>0</v>
      </c>
      <c r="P129" s="54">
        <f t="shared" si="15"/>
        <v>0</v>
      </c>
      <c r="Q129" s="79">
        <f t="shared" si="16"/>
        <v>0</v>
      </c>
    </row>
    <row r="130" spans="4:17" ht="12.75">
      <c r="D130" s="87">
        <f t="shared" si="3"/>
        <v>0</v>
      </c>
      <c r="E130" s="24">
        <f t="shared" si="4"/>
        <v>0</v>
      </c>
      <c r="F130" s="24">
        <f t="shared" si="5"/>
        <v>0</v>
      </c>
      <c r="G130" s="24">
        <f t="shared" si="6"/>
        <v>0</v>
      </c>
      <c r="H130" s="24">
        <f t="shared" si="7"/>
        <v>1</v>
      </c>
      <c r="I130" s="24">
        <f t="shared" si="8"/>
        <v>0</v>
      </c>
      <c r="J130" s="88">
        <f t="shared" si="9"/>
        <v>0</v>
      </c>
      <c r="K130" s="78">
        <f t="shared" si="10"/>
        <v>1</v>
      </c>
      <c r="L130" s="54">
        <f t="shared" si="11"/>
        <v>0</v>
      </c>
      <c r="M130" s="54">
        <f t="shared" si="12"/>
        <v>0</v>
      </c>
      <c r="N130" s="54">
        <f t="shared" si="13"/>
        <v>0</v>
      </c>
      <c r="O130" s="54">
        <f t="shared" si="14"/>
        <v>0</v>
      </c>
      <c r="P130" s="54">
        <f t="shared" si="15"/>
        <v>0</v>
      </c>
      <c r="Q130" s="79">
        <f t="shared" si="16"/>
        <v>0</v>
      </c>
    </row>
    <row r="131" spans="4:17" ht="12.75">
      <c r="D131" s="87">
        <f t="shared" si="3"/>
        <v>0</v>
      </c>
      <c r="E131" s="24">
        <f t="shared" si="4"/>
        <v>0</v>
      </c>
      <c r="F131" s="24">
        <f t="shared" si="5"/>
        <v>1</v>
      </c>
      <c r="G131" s="24">
        <f t="shared" si="6"/>
        <v>1</v>
      </c>
      <c r="H131" s="24">
        <f t="shared" si="7"/>
        <v>1</v>
      </c>
      <c r="I131" s="24">
        <f t="shared" si="8"/>
        <v>0</v>
      </c>
      <c r="J131" s="88">
        <f t="shared" si="9"/>
        <v>0</v>
      </c>
      <c r="K131" s="78">
        <f t="shared" si="10"/>
        <v>0</v>
      </c>
      <c r="L131" s="54">
        <f t="shared" si="11"/>
        <v>0</v>
      </c>
      <c r="M131" s="54">
        <f t="shared" si="12"/>
        <v>1</v>
      </c>
      <c r="N131" s="54">
        <f t="shared" si="13"/>
        <v>0</v>
      </c>
      <c r="O131" s="54">
        <f t="shared" si="14"/>
        <v>0</v>
      </c>
      <c r="P131" s="54">
        <f t="shared" si="15"/>
        <v>0</v>
      </c>
      <c r="Q131" s="79">
        <f t="shared" si="16"/>
        <v>0</v>
      </c>
    </row>
    <row r="132" spans="4:17" ht="12.75">
      <c r="D132" s="87">
        <f t="shared" si="3"/>
        <v>0</v>
      </c>
      <c r="E132" s="24">
        <f t="shared" si="4"/>
        <v>0</v>
      </c>
      <c r="F132" s="24">
        <f t="shared" si="5"/>
        <v>0</v>
      </c>
      <c r="G132" s="24">
        <f t="shared" si="6"/>
        <v>0</v>
      </c>
      <c r="H132" s="24">
        <f t="shared" si="7"/>
        <v>1</v>
      </c>
      <c r="I132" s="24">
        <f t="shared" si="8"/>
        <v>1</v>
      </c>
      <c r="J132" s="88">
        <f t="shared" si="9"/>
        <v>0</v>
      </c>
      <c r="K132" s="78">
        <f t="shared" si="10"/>
        <v>0</v>
      </c>
      <c r="L132" s="54">
        <f t="shared" si="11"/>
        <v>1</v>
      </c>
      <c r="M132" s="54">
        <f t="shared" si="12"/>
        <v>0</v>
      </c>
      <c r="N132" s="54">
        <f t="shared" si="13"/>
        <v>0</v>
      </c>
      <c r="O132" s="54">
        <f t="shared" si="14"/>
        <v>0</v>
      </c>
      <c r="P132" s="54">
        <f t="shared" si="15"/>
        <v>0</v>
      </c>
      <c r="Q132" s="79">
        <f t="shared" si="16"/>
        <v>0</v>
      </c>
    </row>
    <row r="133" spans="4:17" ht="12.75">
      <c r="D133" s="87">
        <f t="shared" si="3"/>
        <v>0</v>
      </c>
      <c r="E133" s="24">
        <f t="shared" si="4"/>
        <v>0</v>
      </c>
      <c r="F133" s="24">
        <f t="shared" si="5"/>
        <v>1</v>
      </c>
      <c r="G133" s="24">
        <f t="shared" si="6"/>
        <v>1</v>
      </c>
      <c r="H133" s="24">
        <f t="shared" si="7"/>
        <v>1</v>
      </c>
      <c r="I133" s="24">
        <f t="shared" si="8"/>
        <v>0</v>
      </c>
      <c r="J133" s="88">
        <f t="shared" si="9"/>
        <v>0</v>
      </c>
      <c r="K133" s="78">
        <f t="shared" si="10"/>
        <v>0</v>
      </c>
      <c r="L133" s="54">
        <f t="shared" si="11"/>
        <v>0</v>
      </c>
      <c r="M133" s="54">
        <f t="shared" si="12"/>
        <v>1</v>
      </c>
      <c r="N133" s="54">
        <f t="shared" si="13"/>
        <v>0</v>
      </c>
      <c r="O133" s="54">
        <f t="shared" si="14"/>
        <v>0</v>
      </c>
      <c r="P133" s="54">
        <f t="shared" si="15"/>
        <v>0</v>
      </c>
      <c r="Q133" s="79">
        <f t="shared" si="16"/>
        <v>0</v>
      </c>
    </row>
    <row r="134" spans="4:17" ht="12.75">
      <c r="D134" s="87">
        <f t="shared" si="3"/>
        <v>0</v>
      </c>
      <c r="E134" s="24">
        <f t="shared" si="4"/>
        <v>0</v>
      </c>
      <c r="F134" s="24">
        <f t="shared" si="5"/>
        <v>0</v>
      </c>
      <c r="G134" s="24">
        <f t="shared" si="6"/>
        <v>0</v>
      </c>
      <c r="H134" s="24">
        <f t="shared" si="7"/>
        <v>1</v>
      </c>
      <c r="I134" s="24">
        <f t="shared" si="8"/>
        <v>1</v>
      </c>
      <c r="J134" s="88">
        <f t="shared" si="9"/>
        <v>0</v>
      </c>
      <c r="K134" s="78">
        <f t="shared" si="10"/>
        <v>0</v>
      </c>
      <c r="L134" s="54">
        <f t="shared" si="11"/>
        <v>1</v>
      </c>
      <c r="M134" s="54">
        <f t="shared" si="12"/>
        <v>0</v>
      </c>
      <c r="N134" s="54">
        <f t="shared" si="13"/>
        <v>0</v>
      </c>
      <c r="O134" s="54">
        <f t="shared" si="14"/>
        <v>0</v>
      </c>
      <c r="P134" s="54">
        <f t="shared" si="15"/>
        <v>0</v>
      </c>
      <c r="Q134" s="79">
        <f t="shared" si="16"/>
        <v>0</v>
      </c>
    </row>
    <row r="135" spans="4:17" ht="12.75">
      <c r="D135" s="87">
        <f t="shared" si="3"/>
        <v>0</v>
      </c>
      <c r="E135" s="24">
        <f t="shared" si="4"/>
        <v>0</v>
      </c>
      <c r="F135" s="24">
        <f t="shared" si="5"/>
        <v>0</v>
      </c>
      <c r="G135" s="24">
        <f t="shared" si="6"/>
        <v>0</v>
      </c>
      <c r="H135" s="24">
        <f t="shared" si="7"/>
        <v>1</v>
      </c>
      <c r="I135" s="24">
        <f t="shared" si="8"/>
        <v>0</v>
      </c>
      <c r="J135" s="88">
        <f t="shared" si="9"/>
        <v>0</v>
      </c>
      <c r="K135" s="78">
        <f t="shared" si="10"/>
        <v>1</v>
      </c>
      <c r="L135" s="54">
        <f t="shared" si="11"/>
        <v>0</v>
      </c>
      <c r="M135" s="54">
        <f t="shared" si="12"/>
        <v>0</v>
      </c>
      <c r="N135" s="54">
        <f t="shared" si="13"/>
        <v>0</v>
      </c>
      <c r="O135" s="54">
        <f t="shared" si="14"/>
        <v>0</v>
      </c>
      <c r="P135" s="54">
        <f t="shared" si="15"/>
        <v>0</v>
      </c>
      <c r="Q135" s="79">
        <f t="shared" si="16"/>
        <v>0</v>
      </c>
    </row>
    <row r="136" spans="4:17" ht="12.75">
      <c r="D136" s="87">
        <f t="shared" si="3"/>
        <v>0</v>
      </c>
      <c r="E136" s="24">
        <f t="shared" si="4"/>
        <v>0</v>
      </c>
      <c r="F136" s="24">
        <f t="shared" si="5"/>
        <v>0</v>
      </c>
      <c r="G136" s="24">
        <f t="shared" si="6"/>
        <v>0</v>
      </c>
      <c r="H136" s="24">
        <f t="shared" si="7"/>
        <v>1</v>
      </c>
      <c r="I136" s="24">
        <f t="shared" si="8"/>
        <v>1</v>
      </c>
      <c r="J136" s="88">
        <f t="shared" si="9"/>
        <v>0</v>
      </c>
      <c r="K136" s="78">
        <f t="shared" si="10"/>
        <v>0</v>
      </c>
      <c r="L136" s="54">
        <f t="shared" si="11"/>
        <v>1</v>
      </c>
      <c r="M136" s="54">
        <f t="shared" si="12"/>
        <v>0</v>
      </c>
      <c r="N136" s="54">
        <f t="shared" si="13"/>
        <v>0</v>
      </c>
      <c r="O136" s="54">
        <f t="shared" si="14"/>
        <v>0</v>
      </c>
      <c r="P136" s="54">
        <f t="shared" si="15"/>
        <v>0</v>
      </c>
      <c r="Q136" s="79">
        <f t="shared" si="16"/>
        <v>0</v>
      </c>
    </row>
    <row r="137" spans="4:17" ht="12.75">
      <c r="D137" s="87">
        <f t="shared" si="3"/>
        <v>0</v>
      </c>
      <c r="E137" s="24">
        <f t="shared" si="4"/>
        <v>0</v>
      </c>
      <c r="F137" s="24">
        <f t="shared" si="5"/>
        <v>0</v>
      </c>
      <c r="G137" s="24">
        <f t="shared" si="6"/>
        <v>0</v>
      </c>
      <c r="H137" s="24">
        <f t="shared" si="7"/>
        <v>0</v>
      </c>
      <c r="I137" s="24">
        <f t="shared" si="8"/>
        <v>1</v>
      </c>
      <c r="J137" s="88">
        <f t="shared" si="9"/>
        <v>0</v>
      </c>
      <c r="K137" s="78">
        <f t="shared" si="10"/>
        <v>1</v>
      </c>
      <c r="L137" s="54">
        <f t="shared" si="11"/>
        <v>0</v>
      </c>
      <c r="M137" s="54">
        <f t="shared" si="12"/>
        <v>0</v>
      </c>
      <c r="N137" s="54">
        <f t="shared" si="13"/>
        <v>0</v>
      </c>
      <c r="O137" s="54">
        <f t="shared" si="14"/>
        <v>0</v>
      </c>
      <c r="P137" s="54">
        <f t="shared" si="15"/>
        <v>0</v>
      </c>
      <c r="Q137" s="79">
        <f t="shared" si="16"/>
        <v>0</v>
      </c>
    </row>
    <row r="138" spans="4:17" ht="12.75">
      <c r="D138" s="87">
        <f t="shared" si="3"/>
        <v>0</v>
      </c>
      <c r="E138" s="24">
        <f t="shared" si="4"/>
        <v>0</v>
      </c>
      <c r="F138" s="24">
        <f t="shared" si="5"/>
        <v>0</v>
      </c>
      <c r="G138" s="24">
        <f t="shared" si="6"/>
        <v>0</v>
      </c>
      <c r="H138" s="24">
        <f t="shared" si="7"/>
        <v>1</v>
      </c>
      <c r="I138" s="24">
        <f t="shared" si="8"/>
        <v>1</v>
      </c>
      <c r="J138" s="88">
        <f t="shared" si="9"/>
        <v>0</v>
      </c>
      <c r="K138" s="78">
        <f t="shared" si="10"/>
        <v>0</v>
      </c>
      <c r="L138" s="54">
        <f t="shared" si="11"/>
        <v>1</v>
      </c>
      <c r="M138" s="54">
        <f t="shared" si="12"/>
        <v>0</v>
      </c>
      <c r="N138" s="54">
        <f t="shared" si="13"/>
        <v>0</v>
      </c>
      <c r="O138" s="54">
        <f t="shared" si="14"/>
        <v>0</v>
      </c>
      <c r="P138" s="54">
        <f t="shared" si="15"/>
        <v>0</v>
      </c>
      <c r="Q138" s="79">
        <f t="shared" si="16"/>
        <v>0</v>
      </c>
    </row>
    <row r="139" spans="4:17" ht="12.75">
      <c r="D139" s="87">
        <f t="shared" si="3"/>
        <v>0</v>
      </c>
      <c r="E139" s="24">
        <f t="shared" si="4"/>
        <v>0</v>
      </c>
      <c r="F139" s="24">
        <f t="shared" si="5"/>
        <v>0</v>
      </c>
      <c r="G139" s="24">
        <f t="shared" si="6"/>
        <v>0</v>
      </c>
      <c r="H139" s="24">
        <f t="shared" si="7"/>
        <v>1</v>
      </c>
      <c r="I139" s="24">
        <f t="shared" si="8"/>
        <v>1</v>
      </c>
      <c r="J139" s="88">
        <f t="shared" si="9"/>
        <v>0</v>
      </c>
      <c r="K139" s="78">
        <f t="shared" si="10"/>
        <v>0</v>
      </c>
      <c r="L139" s="54">
        <f t="shared" si="11"/>
        <v>1</v>
      </c>
      <c r="M139" s="54">
        <f t="shared" si="12"/>
        <v>0</v>
      </c>
      <c r="N139" s="54">
        <f t="shared" si="13"/>
        <v>0</v>
      </c>
      <c r="O139" s="54">
        <f t="shared" si="14"/>
        <v>0</v>
      </c>
      <c r="P139" s="54">
        <f t="shared" si="15"/>
        <v>0</v>
      </c>
      <c r="Q139" s="79">
        <f t="shared" si="16"/>
        <v>0</v>
      </c>
    </row>
    <row r="140" spans="4:17" ht="12.75">
      <c r="D140" s="87">
        <f t="shared" si="3"/>
        <v>0</v>
      </c>
      <c r="E140" s="24">
        <f t="shared" si="4"/>
        <v>0</v>
      </c>
      <c r="F140" s="24">
        <f t="shared" si="5"/>
        <v>0</v>
      </c>
      <c r="G140" s="24">
        <f t="shared" si="6"/>
        <v>0</v>
      </c>
      <c r="H140" s="24">
        <f t="shared" si="7"/>
        <v>1</v>
      </c>
      <c r="I140" s="24">
        <f t="shared" si="8"/>
        <v>1</v>
      </c>
      <c r="J140" s="88">
        <f t="shared" si="9"/>
        <v>0</v>
      </c>
      <c r="K140" s="78">
        <f t="shared" si="10"/>
        <v>0</v>
      </c>
      <c r="L140" s="54">
        <f t="shared" si="11"/>
        <v>1</v>
      </c>
      <c r="M140" s="54">
        <f t="shared" si="12"/>
        <v>0</v>
      </c>
      <c r="N140" s="54">
        <f t="shared" si="13"/>
        <v>0</v>
      </c>
      <c r="O140" s="54">
        <f t="shared" si="14"/>
        <v>0</v>
      </c>
      <c r="P140" s="54">
        <f t="shared" si="15"/>
        <v>0</v>
      </c>
      <c r="Q140" s="79">
        <f t="shared" si="16"/>
        <v>0</v>
      </c>
    </row>
    <row r="141" spans="4:17" ht="12.75">
      <c r="D141" s="87">
        <f t="shared" si="3"/>
        <v>0</v>
      </c>
      <c r="E141" s="24">
        <f t="shared" si="4"/>
        <v>0</v>
      </c>
      <c r="F141" s="24">
        <f t="shared" si="5"/>
        <v>0</v>
      </c>
      <c r="G141" s="24">
        <f t="shared" si="6"/>
        <v>0</v>
      </c>
      <c r="H141" s="24">
        <f t="shared" si="7"/>
        <v>0</v>
      </c>
      <c r="I141" s="24">
        <f t="shared" si="8"/>
        <v>1</v>
      </c>
      <c r="J141" s="88">
        <f t="shared" si="9"/>
        <v>1</v>
      </c>
      <c r="K141" s="78">
        <f t="shared" si="10"/>
        <v>0</v>
      </c>
      <c r="L141" s="54">
        <f t="shared" si="11"/>
        <v>1</v>
      </c>
      <c r="M141" s="54">
        <f t="shared" si="12"/>
        <v>0</v>
      </c>
      <c r="N141" s="54">
        <f t="shared" si="13"/>
        <v>0</v>
      </c>
      <c r="O141" s="54">
        <f t="shared" si="14"/>
        <v>0</v>
      </c>
      <c r="P141" s="54">
        <f t="shared" si="15"/>
        <v>0</v>
      </c>
      <c r="Q141" s="79">
        <f t="shared" si="16"/>
        <v>0</v>
      </c>
    </row>
    <row r="142" spans="4:17" ht="12.75">
      <c r="D142" s="87">
        <f t="shared" si="3"/>
        <v>0</v>
      </c>
      <c r="E142" s="24">
        <f t="shared" si="4"/>
        <v>0</v>
      </c>
      <c r="F142" s="24">
        <f t="shared" si="5"/>
        <v>0</v>
      </c>
      <c r="G142" s="24">
        <f t="shared" si="6"/>
        <v>0</v>
      </c>
      <c r="H142" s="24">
        <f t="shared" si="7"/>
        <v>0</v>
      </c>
      <c r="I142" s="24">
        <f t="shared" si="8"/>
        <v>1</v>
      </c>
      <c r="J142" s="88">
        <f t="shared" si="9"/>
        <v>0</v>
      </c>
      <c r="K142" s="78">
        <f t="shared" si="10"/>
        <v>1</v>
      </c>
      <c r="L142" s="54">
        <f t="shared" si="11"/>
        <v>0</v>
      </c>
      <c r="M142" s="54">
        <f t="shared" si="12"/>
        <v>0</v>
      </c>
      <c r="N142" s="54">
        <f t="shared" si="13"/>
        <v>0</v>
      </c>
      <c r="O142" s="54">
        <f t="shared" si="14"/>
        <v>0</v>
      </c>
      <c r="P142" s="54">
        <f t="shared" si="15"/>
        <v>0</v>
      </c>
      <c r="Q142" s="79">
        <f t="shared" si="16"/>
        <v>0</v>
      </c>
    </row>
    <row r="143" spans="4:17" ht="12.75">
      <c r="D143" s="87">
        <f t="shared" si="3"/>
        <v>0</v>
      </c>
      <c r="E143" s="24">
        <f t="shared" si="4"/>
        <v>0</v>
      </c>
      <c r="F143" s="24">
        <f t="shared" si="5"/>
        <v>0</v>
      </c>
      <c r="G143" s="24">
        <f t="shared" si="6"/>
        <v>0</v>
      </c>
      <c r="H143" s="24">
        <f t="shared" si="7"/>
        <v>0</v>
      </c>
      <c r="I143" s="24">
        <f t="shared" si="8"/>
        <v>1</v>
      </c>
      <c r="J143" s="88">
        <f t="shared" si="9"/>
        <v>1</v>
      </c>
      <c r="K143" s="78">
        <f t="shared" si="10"/>
        <v>0</v>
      </c>
      <c r="L143" s="54">
        <f t="shared" si="11"/>
        <v>1</v>
      </c>
      <c r="M143" s="54">
        <f t="shared" si="12"/>
        <v>0</v>
      </c>
      <c r="N143" s="54">
        <f t="shared" si="13"/>
        <v>0</v>
      </c>
      <c r="O143" s="54">
        <f t="shared" si="14"/>
        <v>0</v>
      </c>
      <c r="P143" s="54">
        <f t="shared" si="15"/>
        <v>0</v>
      </c>
      <c r="Q143" s="79">
        <f t="shared" si="16"/>
        <v>0</v>
      </c>
    </row>
    <row r="144" spans="4:17" ht="12.75">
      <c r="D144" s="87">
        <f t="shared" si="3"/>
        <v>0</v>
      </c>
      <c r="E144" s="24">
        <f t="shared" si="4"/>
        <v>0</v>
      </c>
      <c r="F144" s="24">
        <f t="shared" si="5"/>
        <v>0</v>
      </c>
      <c r="G144" s="24">
        <f t="shared" si="6"/>
        <v>1</v>
      </c>
      <c r="H144" s="24">
        <f t="shared" si="7"/>
        <v>1</v>
      </c>
      <c r="I144" s="24">
        <f t="shared" si="8"/>
        <v>0</v>
      </c>
      <c r="J144" s="88">
        <f t="shared" si="9"/>
        <v>0</v>
      </c>
      <c r="K144" s="78">
        <f t="shared" si="10"/>
        <v>0</v>
      </c>
      <c r="L144" s="54">
        <f t="shared" si="11"/>
        <v>1</v>
      </c>
      <c r="M144" s="54">
        <f t="shared" si="12"/>
        <v>0</v>
      </c>
      <c r="N144" s="54">
        <f t="shared" si="13"/>
        <v>0</v>
      </c>
      <c r="O144" s="54">
        <f t="shared" si="14"/>
        <v>0</v>
      </c>
      <c r="P144" s="54">
        <f t="shared" si="15"/>
        <v>0</v>
      </c>
      <c r="Q144" s="79">
        <f t="shared" si="16"/>
        <v>0</v>
      </c>
    </row>
    <row r="145" spans="4:17" ht="12.75">
      <c r="D145" s="87">
        <f t="shared" si="3"/>
        <v>0</v>
      </c>
      <c r="E145" s="24">
        <f t="shared" si="4"/>
        <v>0</v>
      </c>
      <c r="F145" s="24">
        <f t="shared" si="5"/>
        <v>0</v>
      </c>
      <c r="G145" s="24">
        <f t="shared" si="6"/>
        <v>1</v>
      </c>
      <c r="H145" s="24">
        <f t="shared" si="7"/>
        <v>0</v>
      </c>
      <c r="I145" s="24">
        <f t="shared" si="8"/>
        <v>0</v>
      </c>
      <c r="J145" s="88">
        <f t="shared" si="9"/>
        <v>0</v>
      </c>
      <c r="K145" s="78">
        <f t="shared" si="10"/>
        <v>1</v>
      </c>
      <c r="L145" s="54">
        <f t="shared" si="11"/>
        <v>0</v>
      </c>
      <c r="M145" s="54">
        <f t="shared" si="12"/>
        <v>0</v>
      </c>
      <c r="N145" s="54">
        <f t="shared" si="13"/>
        <v>0</v>
      </c>
      <c r="O145" s="54">
        <f t="shared" si="14"/>
        <v>0</v>
      </c>
      <c r="P145" s="54">
        <f t="shared" si="15"/>
        <v>0</v>
      </c>
      <c r="Q145" s="79">
        <f t="shared" si="16"/>
        <v>0</v>
      </c>
    </row>
    <row r="146" spans="4:17" ht="12.75">
      <c r="D146" s="87">
        <f t="shared" si="3"/>
        <v>0</v>
      </c>
      <c r="E146" s="24">
        <f t="shared" si="4"/>
        <v>0</v>
      </c>
      <c r="F146" s="24">
        <f t="shared" si="5"/>
        <v>1</v>
      </c>
      <c r="G146" s="24">
        <f t="shared" si="6"/>
        <v>1</v>
      </c>
      <c r="H146" s="24">
        <f t="shared" si="7"/>
        <v>0</v>
      </c>
      <c r="I146" s="24">
        <f t="shared" si="8"/>
        <v>0</v>
      </c>
      <c r="J146" s="88">
        <f t="shared" si="9"/>
        <v>0</v>
      </c>
      <c r="K146" s="78">
        <f t="shared" si="10"/>
        <v>0</v>
      </c>
      <c r="L146" s="54">
        <f t="shared" si="11"/>
        <v>1</v>
      </c>
      <c r="M146" s="54">
        <f t="shared" si="12"/>
        <v>0</v>
      </c>
      <c r="N146" s="54">
        <f t="shared" si="13"/>
        <v>0</v>
      </c>
      <c r="O146" s="54">
        <f t="shared" si="14"/>
        <v>0</v>
      </c>
      <c r="P146" s="54">
        <f t="shared" si="15"/>
        <v>0</v>
      </c>
      <c r="Q146" s="79">
        <f t="shared" si="16"/>
        <v>0</v>
      </c>
    </row>
    <row r="147" spans="4:17" ht="12.75">
      <c r="D147" s="87">
        <f t="shared" si="3"/>
        <v>0</v>
      </c>
      <c r="E147" s="24">
        <f t="shared" si="4"/>
        <v>0</v>
      </c>
      <c r="F147" s="24">
        <f t="shared" si="5"/>
        <v>1</v>
      </c>
      <c r="G147" s="24">
        <f t="shared" si="6"/>
        <v>0</v>
      </c>
      <c r="H147" s="24">
        <f t="shared" si="7"/>
        <v>0</v>
      </c>
      <c r="I147" s="24">
        <f t="shared" si="8"/>
        <v>0</v>
      </c>
      <c r="J147" s="88">
        <f t="shared" si="9"/>
        <v>0</v>
      </c>
      <c r="K147" s="78">
        <f t="shared" si="10"/>
        <v>1</v>
      </c>
      <c r="L147" s="54">
        <f t="shared" si="11"/>
        <v>0</v>
      </c>
      <c r="M147" s="54">
        <f t="shared" si="12"/>
        <v>0</v>
      </c>
      <c r="N147" s="54">
        <f t="shared" si="13"/>
        <v>0</v>
      </c>
      <c r="O147" s="54">
        <f t="shared" si="14"/>
        <v>0</v>
      </c>
      <c r="P147" s="54">
        <f t="shared" si="15"/>
        <v>0</v>
      </c>
      <c r="Q147" s="79">
        <f t="shared" si="16"/>
        <v>0</v>
      </c>
    </row>
    <row r="148" spans="4:17" ht="12.75">
      <c r="D148" s="87">
        <f t="shared" si="3"/>
        <v>0</v>
      </c>
      <c r="E148" s="24">
        <f t="shared" si="4"/>
        <v>0</v>
      </c>
      <c r="F148" s="24">
        <f t="shared" si="5"/>
        <v>0</v>
      </c>
      <c r="G148" s="24">
        <f t="shared" si="6"/>
        <v>0</v>
      </c>
      <c r="H148" s="24">
        <f t="shared" si="7"/>
        <v>0</v>
      </c>
      <c r="I148" s="24">
        <f t="shared" si="8"/>
        <v>0</v>
      </c>
      <c r="J148" s="88">
        <f t="shared" si="9"/>
        <v>0</v>
      </c>
      <c r="K148" s="78">
        <f t="shared" si="10"/>
        <v>0</v>
      </c>
      <c r="L148" s="54">
        <f t="shared" si="11"/>
        <v>0</v>
      </c>
      <c r="M148" s="54">
        <f t="shared" si="12"/>
        <v>0</v>
      </c>
      <c r="N148" s="54">
        <f t="shared" si="13"/>
        <v>0</v>
      </c>
      <c r="O148" s="54">
        <f t="shared" si="14"/>
        <v>0</v>
      </c>
      <c r="P148" s="54">
        <f t="shared" si="15"/>
        <v>0</v>
      </c>
      <c r="Q148" s="79">
        <f t="shared" si="16"/>
        <v>0</v>
      </c>
    </row>
    <row r="149" spans="4:17" ht="12.75">
      <c r="D149" s="87">
        <f t="shared" si="3"/>
        <v>0</v>
      </c>
      <c r="E149" s="24">
        <f t="shared" si="4"/>
        <v>0</v>
      </c>
      <c r="F149" s="24">
        <f t="shared" si="5"/>
        <v>0</v>
      </c>
      <c r="G149" s="24">
        <f t="shared" si="6"/>
        <v>0</v>
      </c>
      <c r="H149" s="24">
        <f t="shared" si="7"/>
        <v>0</v>
      </c>
      <c r="I149" s="24">
        <f t="shared" si="8"/>
        <v>0</v>
      </c>
      <c r="J149" s="88">
        <f t="shared" si="9"/>
        <v>0</v>
      </c>
      <c r="K149" s="78">
        <f t="shared" si="10"/>
        <v>0</v>
      </c>
      <c r="L149" s="54">
        <f t="shared" si="11"/>
        <v>0</v>
      </c>
      <c r="M149" s="54">
        <f t="shared" si="12"/>
        <v>0</v>
      </c>
      <c r="N149" s="54">
        <f t="shared" si="13"/>
        <v>0</v>
      </c>
      <c r="O149" s="54">
        <f t="shared" si="14"/>
        <v>0</v>
      </c>
      <c r="P149" s="54">
        <f t="shared" si="15"/>
        <v>0</v>
      </c>
      <c r="Q149" s="79">
        <f t="shared" si="16"/>
        <v>0</v>
      </c>
    </row>
    <row r="150" spans="4:17" ht="12.75">
      <c r="D150" s="87">
        <f t="shared" si="3"/>
        <v>0</v>
      </c>
      <c r="E150" s="24">
        <f t="shared" si="4"/>
        <v>0</v>
      </c>
      <c r="F150" s="24">
        <f t="shared" si="5"/>
        <v>0</v>
      </c>
      <c r="G150" s="24">
        <f t="shared" si="6"/>
        <v>0</v>
      </c>
      <c r="H150" s="24">
        <f t="shared" si="7"/>
        <v>0</v>
      </c>
      <c r="I150" s="24">
        <f t="shared" si="8"/>
        <v>0</v>
      </c>
      <c r="J150" s="88">
        <f t="shared" si="9"/>
        <v>0</v>
      </c>
      <c r="K150" s="78">
        <f t="shared" si="10"/>
        <v>0</v>
      </c>
      <c r="L150" s="54">
        <f t="shared" si="11"/>
        <v>0</v>
      </c>
      <c r="M150" s="54">
        <f t="shared" si="12"/>
        <v>0</v>
      </c>
      <c r="N150" s="54">
        <f t="shared" si="13"/>
        <v>0</v>
      </c>
      <c r="O150" s="54">
        <f t="shared" si="14"/>
        <v>0</v>
      </c>
      <c r="P150" s="54">
        <f t="shared" si="15"/>
        <v>0</v>
      </c>
      <c r="Q150" s="79">
        <f t="shared" si="16"/>
        <v>0</v>
      </c>
    </row>
    <row r="151" spans="4:17" ht="12.75">
      <c r="D151" s="87">
        <f t="shared" si="3"/>
        <v>0</v>
      </c>
      <c r="E151" s="24">
        <f t="shared" si="4"/>
        <v>0</v>
      </c>
      <c r="F151" s="24">
        <f t="shared" si="5"/>
        <v>0</v>
      </c>
      <c r="G151" s="24">
        <f t="shared" si="6"/>
        <v>0</v>
      </c>
      <c r="H151" s="24">
        <f t="shared" si="7"/>
        <v>0</v>
      </c>
      <c r="I151" s="24">
        <f t="shared" si="8"/>
        <v>0</v>
      </c>
      <c r="J151" s="88">
        <f t="shared" si="9"/>
        <v>0</v>
      </c>
      <c r="K151" s="78">
        <f t="shared" si="10"/>
        <v>0</v>
      </c>
      <c r="L151" s="54">
        <f t="shared" si="11"/>
        <v>0</v>
      </c>
      <c r="M151" s="54">
        <f t="shared" si="12"/>
        <v>0</v>
      </c>
      <c r="N151" s="54">
        <f t="shared" si="13"/>
        <v>0</v>
      </c>
      <c r="O151" s="54">
        <f t="shared" si="14"/>
        <v>0</v>
      </c>
      <c r="P151" s="54">
        <f t="shared" si="15"/>
        <v>0</v>
      </c>
      <c r="Q151" s="79">
        <f t="shared" si="16"/>
        <v>0</v>
      </c>
    </row>
    <row r="152" spans="4:17" ht="12.75">
      <c r="D152" s="87">
        <f t="shared" si="3"/>
        <v>0</v>
      </c>
      <c r="E152" s="24">
        <f t="shared" si="4"/>
        <v>0</v>
      </c>
      <c r="F152" s="24">
        <f t="shared" si="5"/>
        <v>0</v>
      </c>
      <c r="G152" s="24">
        <f t="shared" si="6"/>
        <v>0</v>
      </c>
      <c r="H152" s="24">
        <f t="shared" si="7"/>
        <v>0</v>
      </c>
      <c r="I152" s="24">
        <f t="shared" si="8"/>
        <v>0</v>
      </c>
      <c r="J152" s="88">
        <f t="shared" si="9"/>
        <v>0</v>
      </c>
      <c r="K152" s="78">
        <f t="shared" si="10"/>
        <v>0</v>
      </c>
      <c r="L152" s="54">
        <f t="shared" si="11"/>
        <v>0</v>
      </c>
      <c r="M152" s="54">
        <f t="shared" si="12"/>
        <v>0</v>
      </c>
      <c r="N152" s="54">
        <f t="shared" si="13"/>
        <v>0</v>
      </c>
      <c r="O152" s="54">
        <f t="shared" si="14"/>
        <v>0</v>
      </c>
      <c r="P152" s="54">
        <f t="shared" si="15"/>
        <v>0</v>
      </c>
      <c r="Q152" s="79">
        <f t="shared" si="16"/>
        <v>0</v>
      </c>
    </row>
    <row r="153" spans="4:17" ht="12.75">
      <c r="D153" s="87">
        <f t="shared" si="3"/>
        <v>0</v>
      </c>
      <c r="E153" s="24">
        <f t="shared" si="4"/>
        <v>0</v>
      </c>
      <c r="F153" s="24">
        <f t="shared" si="5"/>
        <v>0</v>
      </c>
      <c r="G153" s="24">
        <f t="shared" si="6"/>
        <v>0</v>
      </c>
      <c r="H153" s="24">
        <f t="shared" si="7"/>
        <v>0</v>
      </c>
      <c r="I153" s="24">
        <f t="shared" si="8"/>
        <v>0</v>
      </c>
      <c r="J153" s="88">
        <f t="shared" si="9"/>
        <v>0</v>
      </c>
      <c r="K153" s="78">
        <f t="shared" si="10"/>
        <v>0</v>
      </c>
      <c r="L153" s="54">
        <f t="shared" si="11"/>
        <v>0</v>
      </c>
      <c r="M153" s="54">
        <f t="shared" si="12"/>
        <v>0</v>
      </c>
      <c r="N153" s="54">
        <f t="shared" si="13"/>
        <v>0</v>
      </c>
      <c r="O153" s="54">
        <f t="shared" si="14"/>
        <v>0</v>
      </c>
      <c r="P153" s="54">
        <f t="shared" si="15"/>
        <v>0</v>
      </c>
      <c r="Q153" s="79">
        <f t="shared" si="16"/>
        <v>0</v>
      </c>
    </row>
    <row r="154" spans="4:17" ht="12.75">
      <c r="D154" s="87">
        <f t="shared" si="3"/>
        <v>0</v>
      </c>
      <c r="E154" s="24">
        <f t="shared" si="4"/>
        <v>0</v>
      </c>
      <c r="F154" s="24">
        <f t="shared" si="5"/>
        <v>0</v>
      </c>
      <c r="G154" s="24">
        <f t="shared" si="6"/>
        <v>0</v>
      </c>
      <c r="H154" s="24">
        <f t="shared" si="7"/>
        <v>0</v>
      </c>
      <c r="I154" s="24">
        <f t="shared" si="8"/>
        <v>0</v>
      </c>
      <c r="J154" s="88">
        <f t="shared" si="9"/>
        <v>0</v>
      </c>
      <c r="K154" s="78">
        <f t="shared" si="10"/>
        <v>0</v>
      </c>
      <c r="L154" s="54">
        <f t="shared" si="11"/>
        <v>0</v>
      </c>
      <c r="M154" s="54">
        <f t="shared" si="12"/>
        <v>0</v>
      </c>
      <c r="N154" s="54">
        <f t="shared" si="13"/>
        <v>0</v>
      </c>
      <c r="O154" s="54">
        <f t="shared" si="14"/>
        <v>0</v>
      </c>
      <c r="P154" s="54">
        <f t="shared" si="15"/>
        <v>0</v>
      </c>
      <c r="Q154" s="79">
        <f t="shared" si="16"/>
        <v>0</v>
      </c>
    </row>
    <row r="155" spans="4:17" ht="12.75">
      <c r="D155" s="87">
        <f t="shared" si="3"/>
        <v>0</v>
      </c>
      <c r="E155" s="24">
        <f t="shared" si="4"/>
        <v>0</v>
      </c>
      <c r="F155" s="24">
        <f t="shared" si="5"/>
        <v>0</v>
      </c>
      <c r="G155" s="24">
        <f t="shared" si="6"/>
        <v>0</v>
      </c>
      <c r="H155" s="24">
        <f t="shared" si="7"/>
        <v>0</v>
      </c>
      <c r="I155" s="24">
        <f t="shared" si="8"/>
        <v>0</v>
      </c>
      <c r="J155" s="88">
        <f t="shared" si="9"/>
        <v>0</v>
      </c>
      <c r="K155" s="78">
        <f t="shared" si="10"/>
        <v>0</v>
      </c>
      <c r="L155" s="54">
        <f t="shared" si="11"/>
        <v>0</v>
      </c>
      <c r="M155" s="54">
        <f t="shared" si="12"/>
        <v>0</v>
      </c>
      <c r="N155" s="54">
        <f t="shared" si="13"/>
        <v>0</v>
      </c>
      <c r="O155" s="54">
        <f t="shared" si="14"/>
        <v>0</v>
      </c>
      <c r="P155" s="54">
        <f t="shared" si="15"/>
        <v>0</v>
      </c>
      <c r="Q155" s="79">
        <f t="shared" si="16"/>
        <v>0</v>
      </c>
    </row>
    <row r="156" spans="4:17" ht="12.75">
      <c r="D156" s="87">
        <f t="shared" si="3"/>
        <v>0</v>
      </c>
      <c r="E156" s="24">
        <f t="shared" si="4"/>
        <v>0</v>
      </c>
      <c r="F156" s="24">
        <f t="shared" si="5"/>
        <v>0</v>
      </c>
      <c r="G156" s="24">
        <f t="shared" si="6"/>
        <v>0</v>
      </c>
      <c r="H156" s="24">
        <f t="shared" si="7"/>
        <v>0</v>
      </c>
      <c r="I156" s="24">
        <f t="shared" si="8"/>
        <v>0</v>
      </c>
      <c r="J156" s="88">
        <f t="shared" si="9"/>
        <v>0</v>
      </c>
      <c r="K156" s="78">
        <f t="shared" si="10"/>
        <v>0</v>
      </c>
      <c r="L156" s="54">
        <f t="shared" si="11"/>
        <v>0</v>
      </c>
      <c r="M156" s="54">
        <f t="shared" si="12"/>
        <v>0</v>
      </c>
      <c r="N156" s="54">
        <f t="shared" si="13"/>
        <v>0</v>
      </c>
      <c r="O156" s="54">
        <f t="shared" si="14"/>
        <v>0</v>
      </c>
      <c r="P156" s="54">
        <f t="shared" si="15"/>
        <v>0</v>
      </c>
      <c r="Q156" s="79">
        <f t="shared" si="16"/>
        <v>0</v>
      </c>
    </row>
    <row r="157" spans="4:17" ht="12.75">
      <c r="D157" s="87">
        <f t="shared" si="3"/>
        <v>0</v>
      </c>
      <c r="E157" s="24">
        <f t="shared" si="4"/>
        <v>0</v>
      </c>
      <c r="F157" s="24">
        <f t="shared" si="5"/>
        <v>0</v>
      </c>
      <c r="G157" s="24">
        <f t="shared" si="6"/>
        <v>0</v>
      </c>
      <c r="H157" s="24">
        <f t="shared" si="7"/>
        <v>0</v>
      </c>
      <c r="I157" s="24">
        <f t="shared" si="8"/>
        <v>0</v>
      </c>
      <c r="J157" s="88">
        <f t="shared" si="9"/>
        <v>0</v>
      </c>
      <c r="K157" s="78">
        <f t="shared" si="10"/>
        <v>0</v>
      </c>
      <c r="L157" s="54">
        <f t="shared" si="11"/>
        <v>0</v>
      </c>
      <c r="M157" s="54">
        <f t="shared" si="12"/>
        <v>0</v>
      </c>
      <c r="N157" s="54">
        <f t="shared" si="13"/>
        <v>0</v>
      </c>
      <c r="O157" s="54">
        <f t="shared" si="14"/>
        <v>0</v>
      </c>
      <c r="P157" s="54">
        <f t="shared" si="15"/>
        <v>0</v>
      </c>
      <c r="Q157" s="79">
        <f t="shared" si="16"/>
        <v>0</v>
      </c>
    </row>
    <row r="158" spans="4:17" ht="12.75">
      <c r="D158" s="87">
        <f t="shared" si="3"/>
        <v>0</v>
      </c>
      <c r="E158" s="24">
        <f t="shared" si="4"/>
        <v>0</v>
      </c>
      <c r="F158" s="24">
        <f t="shared" si="5"/>
        <v>0</v>
      </c>
      <c r="G158" s="24">
        <f t="shared" si="6"/>
        <v>0</v>
      </c>
      <c r="H158" s="24">
        <f t="shared" si="7"/>
        <v>0</v>
      </c>
      <c r="I158" s="24">
        <f t="shared" si="8"/>
        <v>0</v>
      </c>
      <c r="J158" s="88">
        <f t="shared" si="9"/>
        <v>0</v>
      </c>
      <c r="K158" s="78">
        <f t="shared" si="10"/>
        <v>0</v>
      </c>
      <c r="L158" s="54">
        <f t="shared" si="11"/>
        <v>0</v>
      </c>
      <c r="M158" s="54">
        <f t="shared" si="12"/>
        <v>0</v>
      </c>
      <c r="N158" s="54">
        <f t="shared" si="13"/>
        <v>0</v>
      </c>
      <c r="O158" s="54">
        <f t="shared" si="14"/>
        <v>0</v>
      </c>
      <c r="P158" s="54">
        <f t="shared" si="15"/>
        <v>0</v>
      </c>
      <c r="Q158" s="79">
        <f t="shared" si="16"/>
        <v>0</v>
      </c>
    </row>
    <row r="159" spans="4:17" ht="12.75">
      <c r="D159" s="87">
        <f t="shared" si="3"/>
        <v>0</v>
      </c>
      <c r="E159" s="24">
        <f t="shared" si="4"/>
        <v>0</v>
      </c>
      <c r="F159" s="24">
        <f t="shared" si="5"/>
        <v>0</v>
      </c>
      <c r="G159" s="24">
        <f t="shared" si="6"/>
        <v>0</v>
      </c>
      <c r="H159" s="24">
        <f t="shared" si="7"/>
        <v>0</v>
      </c>
      <c r="I159" s="24">
        <f t="shared" si="8"/>
        <v>0</v>
      </c>
      <c r="J159" s="88">
        <f t="shared" si="9"/>
        <v>0</v>
      </c>
      <c r="K159" s="78">
        <f t="shared" si="10"/>
        <v>0</v>
      </c>
      <c r="L159" s="54">
        <f t="shared" si="11"/>
        <v>0</v>
      </c>
      <c r="M159" s="54">
        <f t="shared" si="12"/>
        <v>0</v>
      </c>
      <c r="N159" s="54">
        <f t="shared" si="13"/>
        <v>0</v>
      </c>
      <c r="O159" s="54">
        <f t="shared" si="14"/>
        <v>0</v>
      </c>
      <c r="P159" s="54">
        <f t="shared" si="15"/>
        <v>0</v>
      </c>
      <c r="Q159" s="79">
        <f t="shared" si="16"/>
        <v>0</v>
      </c>
    </row>
    <row r="160" spans="4:17" ht="12.75">
      <c r="D160" s="87">
        <f t="shared" si="3"/>
        <v>0</v>
      </c>
      <c r="E160" s="24">
        <f t="shared" si="4"/>
        <v>0</v>
      </c>
      <c r="F160" s="24">
        <f t="shared" si="5"/>
        <v>0</v>
      </c>
      <c r="G160" s="24">
        <f t="shared" si="6"/>
        <v>0</v>
      </c>
      <c r="H160" s="24">
        <f t="shared" si="7"/>
        <v>0</v>
      </c>
      <c r="I160" s="24">
        <f t="shared" si="8"/>
        <v>0</v>
      </c>
      <c r="J160" s="88">
        <f t="shared" si="9"/>
        <v>0</v>
      </c>
      <c r="K160" s="78">
        <f t="shared" si="10"/>
        <v>0</v>
      </c>
      <c r="L160" s="54">
        <f t="shared" si="11"/>
        <v>0</v>
      </c>
      <c r="M160" s="54">
        <f t="shared" si="12"/>
        <v>0</v>
      </c>
      <c r="N160" s="54">
        <f t="shared" si="13"/>
        <v>0</v>
      </c>
      <c r="O160" s="54">
        <f t="shared" si="14"/>
        <v>0</v>
      </c>
      <c r="P160" s="54">
        <f t="shared" si="15"/>
        <v>0</v>
      </c>
      <c r="Q160" s="79">
        <f t="shared" si="16"/>
        <v>0</v>
      </c>
    </row>
    <row r="161" spans="4:17" ht="12.75">
      <c r="D161" s="87">
        <f t="shared" si="3"/>
        <v>0</v>
      </c>
      <c r="E161" s="24">
        <f t="shared" si="4"/>
        <v>0</v>
      </c>
      <c r="F161" s="24">
        <f t="shared" si="5"/>
        <v>0</v>
      </c>
      <c r="G161" s="24">
        <f t="shared" si="6"/>
        <v>0</v>
      </c>
      <c r="H161" s="24">
        <f t="shared" si="7"/>
        <v>0</v>
      </c>
      <c r="I161" s="24">
        <f t="shared" si="8"/>
        <v>0</v>
      </c>
      <c r="J161" s="88">
        <f t="shared" si="9"/>
        <v>0</v>
      </c>
      <c r="K161" s="78">
        <f t="shared" si="10"/>
        <v>0</v>
      </c>
      <c r="L161" s="54">
        <f t="shared" si="11"/>
        <v>0</v>
      </c>
      <c r="M161" s="54">
        <f t="shared" si="12"/>
        <v>0</v>
      </c>
      <c r="N161" s="54">
        <f t="shared" si="13"/>
        <v>0</v>
      </c>
      <c r="O161" s="54">
        <f t="shared" si="14"/>
        <v>0</v>
      </c>
      <c r="P161" s="54">
        <f t="shared" si="15"/>
        <v>0</v>
      </c>
      <c r="Q161" s="79">
        <f t="shared" si="16"/>
        <v>0</v>
      </c>
    </row>
    <row r="162" spans="4:17" ht="12.75">
      <c r="D162" s="87">
        <f t="shared" si="3"/>
        <v>0</v>
      </c>
      <c r="E162" s="24">
        <f t="shared" si="4"/>
        <v>0</v>
      </c>
      <c r="F162" s="24">
        <f t="shared" si="5"/>
        <v>0</v>
      </c>
      <c r="G162" s="24">
        <f t="shared" si="6"/>
        <v>0</v>
      </c>
      <c r="H162" s="24">
        <f t="shared" si="7"/>
        <v>0</v>
      </c>
      <c r="I162" s="24">
        <f t="shared" si="8"/>
        <v>0</v>
      </c>
      <c r="J162" s="88">
        <f t="shared" si="9"/>
        <v>0</v>
      </c>
      <c r="K162" s="78">
        <f t="shared" si="10"/>
        <v>0</v>
      </c>
      <c r="L162" s="54">
        <f t="shared" si="11"/>
        <v>0</v>
      </c>
      <c r="M162" s="54">
        <f t="shared" si="12"/>
        <v>0</v>
      </c>
      <c r="N162" s="54">
        <f t="shared" si="13"/>
        <v>0</v>
      </c>
      <c r="O162" s="54">
        <f t="shared" si="14"/>
        <v>0</v>
      </c>
      <c r="P162" s="54">
        <f t="shared" si="15"/>
        <v>0</v>
      </c>
      <c r="Q162" s="79">
        <f t="shared" si="16"/>
        <v>0</v>
      </c>
    </row>
    <row r="163" spans="4:17" ht="12.75">
      <c r="D163" s="87">
        <f t="shared" si="3"/>
        <v>0</v>
      </c>
      <c r="E163" s="24">
        <f t="shared" si="4"/>
        <v>0</v>
      </c>
      <c r="F163" s="24">
        <f t="shared" si="5"/>
        <v>0</v>
      </c>
      <c r="G163" s="24">
        <f t="shared" si="6"/>
        <v>0</v>
      </c>
      <c r="H163" s="24">
        <f t="shared" si="7"/>
        <v>0</v>
      </c>
      <c r="I163" s="24">
        <f t="shared" si="8"/>
        <v>0</v>
      </c>
      <c r="J163" s="88">
        <f t="shared" si="9"/>
        <v>0</v>
      </c>
      <c r="K163" s="78">
        <f t="shared" si="10"/>
        <v>0</v>
      </c>
      <c r="L163" s="54">
        <f t="shared" si="11"/>
        <v>0</v>
      </c>
      <c r="M163" s="54">
        <f t="shared" si="12"/>
        <v>0</v>
      </c>
      <c r="N163" s="54">
        <f t="shared" si="13"/>
        <v>0</v>
      </c>
      <c r="O163" s="54">
        <f t="shared" si="14"/>
        <v>0</v>
      </c>
      <c r="P163" s="54">
        <f t="shared" si="15"/>
        <v>0</v>
      </c>
      <c r="Q163" s="79">
        <f t="shared" si="16"/>
        <v>0</v>
      </c>
    </row>
    <row r="164" spans="4:17" ht="12.75">
      <c r="D164" s="87">
        <f t="shared" si="3"/>
        <v>0</v>
      </c>
      <c r="E164" s="24">
        <f t="shared" si="4"/>
        <v>0</v>
      </c>
      <c r="F164" s="24">
        <f t="shared" si="5"/>
        <v>0</v>
      </c>
      <c r="G164" s="24">
        <f t="shared" si="6"/>
        <v>0</v>
      </c>
      <c r="H164" s="24">
        <f t="shared" si="7"/>
        <v>0</v>
      </c>
      <c r="I164" s="24">
        <f t="shared" si="8"/>
        <v>0</v>
      </c>
      <c r="J164" s="88">
        <f t="shared" si="9"/>
        <v>0</v>
      </c>
      <c r="K164" s="78">
        <f t="shared" si="10"/>
        <v>0</v>
      </c>
      <c r="L164" s="54">
        <f t="shared" si="11"/>
        <v>0</v>
      </c>
      <c r="M164" s="54">
        <f t="shared" si="12"/>
        <v>0</v>
      </c>
      <c r="N164" s="54">
        <f t="shared" si="13"/>
        <v>0</v>
      </c>
      <c r="O164" s="54">
        <f t="shared" si="14"/>
        <v>0</v>
      </c>
      <c r="P164" s="54">
        <f t="shared" si="15"/>
        <v>0</v>
      </c>
      <c r="Q164" s="79">
        <f t="shared" si="16"/>
        <v>0</v>
      </c>
    </row>
    <row r="165" spans="4:17" ht="12.75">
      <c r="D165" s="87">
        <f t="shared" si="3"/>
        <v>0</v>
      </c>
      <c r="E165" s="24">
        <f t="shared" si="4"/>
        <v>0</v>
      </c>
      <c r="F165" s="24">
        <f t="shared" si="5"/>
        <v>0</v>
      </c>
      <c r="G165" s="24">
        <f t="shared" si="6"/>
        <v>0</v>
      </c>
      <c r="H165" s="24">
        <f t="shared" si="7"/>
        <v>0</v>
      </c>
      <c r="I165" s="24">
        <f t="shared" si="8"/>
        <v>0</v>
      </c>
      <c r="J165" s="88">
        <f t="shared" si="9"/>
        <v>0</v>
      </c>
      <c r="K165" s="78">
        <f t="shared" si="10"/>
        <v>0</v>
      </c>
      <c r="L165" s="54">
        <f t="shared" si="11"/>
        <v>0</v>
      </c>
      <c r="M165" s="54">
        <f t="shared" si="12"/>
        <v>0</v>
      </c>
      <c r="N165" s="54">
        <f t="shared" si="13"/>
        <v>0</v>
      </c>
      <c r="O165" s="54">
        <f t="shared" si="14"/>
        <v>0</v>
      </c>
      <c r="P165" s="54">
        <f t="shared" si="15"/>
        <v>0</v>
      </c>
      <c r="Q165" s="79">
        <f t="shared" si="16"/>
        <v>0</v>
      </c>
    </row>
    <row r="166" spans="4:17" ht="12.75">
      <c r="D166" s="87">
        <f t="shared" si="3"/>
        <v>0</v>
      </c>
      <c r="E166" s="24">
        <f t="shared" si="4"/>
        <v>0</v>
      </c>
      <c r="F166" s="24">
        <f t="shared" si="5"/>
        <v>0</v>
      </c>
      <c r="G166" s="24">
        <f t="shared" si="6"/>
        <v>0</v>
      </c>
      <c r="H166" s="24">
        <f t="shared" si="7"/>
        <v>0</v>
      </c>
      <c r="I166" s="24">
        <f t="shared" si="8"/>
        <v>0</v>
      </c>
      <c r="J166" s="88">
        <f t="shared" si="9"/>
        <v>0</v>
      </c>
      <c r="K166" s="78">
        <f t="shared" si="10"/>
        <v>0</v>
      </c>
      <c r="L166" s="54">
        <f t="shared" si="11"/>
        <v>0</v>
      </c>
      <c r="M166" s="54">
        <f t="shared" si="12"/>
        <v>0</v>
      </c>
      <c r="N166" s="54">
        <f t="shared" si="13"/>
        <v>0</v>
      </c>
      <c r="O166" s="54">
        <f t="shared" si="14"/>
        <v>0</v>
      </c>
      <c r="P166" s="54">
        <f t="shared" si="15"/>
        <v>0</v>
      </c>
      <c r="Q166" s="79">
        <f t="shared" si="16"/>
        <v>0</v>
      </c>
    </row>
    <row r="167" spans="4:17" ht="12.75">
      <c r="D167" s="87">
        <f t="shared" si="3"/>
        <v>0</v>
      </c>
      <c r="E167" s="24">
        <f t="shared" si="4"/>
        <v>0</v>
      </c>
      <c r="F167" s="24">
        <f t="shared" si="5"/>
        <v>0</v>
      </c>
      <c r="G167" s="24">
        <f t="shared" si="6"/>
        <v>0</v>
      </c>
      <c r="H167" s="24">
        <f t="shared" si="7"/>
        <v>0</v>
      </c>
      <c r="I167" s="24">
        <f t="shared" si="8"/>
        <v>0</v>
      </c>
      <c r="J167" s="88">
        <f t="shared" si="9"/>
        <v>0</v>
      </c>
      <c r="K167" s="78">
        <f t="shared" si="10"/>
        <v>0</v>
      </c>
      <c r="L167" s="54">
        <f t="shared" si="11"/>
        <v>0</v>
      </c>
      <c r="M167" s="54">
        <f t="shared" si="12"/>
        <v>0</v>
      </c>
      <c r="N167" s="54">
        <f t="shared" si="13"/>
        <v>0</v>
      </c>
      <c r="O167" s="54">
        <f t="shared" si="14"/>
        <v>0</v>
      </c>
      <c r="P167" s="54">
        <f t="shared" si="15"/>
        <v>0</v>
      </c>
      <c r="Q167" s="79">
        <f t="shared" si="16"/>
        <v>0</v>
      </c>
    </row>
    <row r="168" spans="4:17" ht="12.75">
      <c r="D168" s="87">
        <f t="shared" si="3"/>
        <v>0</v>
      </c>
      <c r="E168" s="24">
        <f t="shared" si="4"/>
        <v>0</v>
      </c>
      <c r="F168" s="24">
        <f t="shared" si="5"/>
        <v>0</v>
      </c>
      <c r="G168" s="24">
        <f t="shared" si="6"/>
        <v>0</v>
      </c>
      <c r="H168" s="24">
        <f t="shared" si="7"/>
        <v>0</v>
      </c>
      <c r="I168" s="24">
        <f t="shared" si="8"/>
        <v>0</v>
      </c>
      <c r="J168" s="88">
        <f t="shared" si="9"/>
        <v>0</v>
      </c>
      <c r="K168" s="78">
        <f t="shared" si="10"/>
        <v>0</v>
      </c>
      <c r="L168" s="54">
        <f t="shared" si="11"/>
        <v>0</v>
      </c>
      <c r="M168" s="54">
        <f t="shared" si="12"/>
        <v>0</v>
      </c>
      <c r="N168" s="54">
        <f t="shared" si="13"/>
        <v>0</v>
      </c>
      <c r="O168" s="54">
        <f t="shared" si="14"/>
        <v>0</v>
      </c>
      <c r="P168" s="54">
        <f t="shared" si="15"/>
        <v>0</v>
      </c>
      <c r="Q168" s="79">
        <f t="shared" si="16"/>
        <v>0</v>
      </c>
    </row>
    <row r="169" spans="4:17" ht="12.75">
      <c r="D169" s="87">
        <f t="shared" si="3"/>
        <v>0</v>
      </c>
      <c r="E169" s="24">
        <f t="shared" si="4"/>
        <v>0</v>
      </c>
      <c r="F169" s="24">
        <f t="shared" si="5"/>
        <v>0</v>
      </c>
      <c r="G169" s="24">
        <f t="shared" si="6"/>
        <v>0</v>
      </c>
      <c r="H169" s="24">
        <f t="shared" si="7"/>
        <v>0</v>
      </c>
      <c r="I169" s="24">
        <f t="shared" si="8"/>
        <v>0</v>
      </c>
      <c r="J169" s="88">
        <f t="shared" si="9"/>
        <v>0</v>
      </c>
      <c r="K169" s="78">
        <f t="shared" si="10"/>
        <v>0</v>
      </c>
      <c r="L169" s="54">
        <f t="shared" si="11"/>
        <v>0</v>
      </c>
      <c r="M169" s="54">
        <f t="shared" si="12"/>
        <v>0</v>
      </c>
      <c r="N169" s="54">
        <f t="shared" si="13"/>
        <v>0</v>
      </c>
      <c r="O169" s="54">
        <f t="shared" si="14"/>
        <v>0</v>
      </c>
      <c r="P169" s="54">
        <f t="shared" si="15"/>
        <v>0</v>
      </c>
      <c r="Q169" s="79">
        <f t="shared" si="16"/>
        <v>0</v>
      </c>
    </row>
    <row r="170" spans="4:17" ht="12.75">
      <c r="D170" s="87">
        <f t="shared" si="3"/>
        <v>0</v>
      </c>
      <c r="E170" s="24">
        <f t="shared" si="4"/>
        <v>0</v>
      </c>
      <c r="F170" s="24">
        <f t="shared" si="5"/>
        <v>0</v>
      </c>
      <c r="G170" s="24">
        <f t="shared" si="6"/>
        <v>0</v>
      </c>
      <c r="H170" s="24">
        <f t="shared" si="7"/>
        <v>0</v>
      </c>
      <c r="I170" s="24">
        <f t="shared" si="8"/>
        <v>0</v>
      </c>
      <c r="J170" s="88">
        <f t="shared" si="9"/>
        <v>0</v>
      </c>
      <c r="K170" s="78">
        <f t="shared" si="10"/>
        <v>0</v>
      </c>
      <c r="L170" s="54">
        <f t="shared" si="11"/>
        <v>0</v>
      </c>
      <c r="M170" s="54">
        <f t="shared" si="12"/>
        <v>0</v>
      </c>
      <c r="N170" s="54">
        <f t="shared" si="13"/>
        <v>0</v>
      </c>
      <c r="O170" s="54">
        <f t="shared" si="14"/>
        <v>0</v>
      </c>
      <c r="P170" s="54">
        <f t="shared" si="15"/>
        <v>0</v>
      </c>
      <c r="Q170" s="79">
        <f t="shared" si="16"/>
        <v>0</v>
      </c>
    </row>
    <row r="171" spans="4:17" ht="12.75">
      <c r="D171" s="87">
        <f t="shared" si="3"/>
        <v>0</v>
      </c>
      <c r="E171" s="24">
        <f t="shared" si="4"/>
        <v>0</v>
      </c>
      <c r="F171" s="24">
        <f t="shared" si="5"/>
        <v>0</v>
      </c>
      <c r="G171" s="24">
        <f t="shared" si="6"/>
        <v>0</v>
      </c>
      <c r="H171" s="24">
        <f t="shared" si="7"/>
        <v>0</v>
      </c>
      <c r="I171" s="24">
        <f t="shared" si="8"/>
        <v>0</v>
      </c>
      <c r="J171" s="88">
        <f t="shared" si="9"/>
        <v>0</v>
      </c>
      <c r="K171" s="78">
        <f t="shared" si="10"/>
        <v>0</v>
      </c>
      <c r="L171" s="54">
        <f t="shared" si="11"/>
        <v>0</v>
      </c>
      <c r="M171" s="54">
        <f t="shared" si="12"/>
        <v>0</v>
      </c>
      <c r="N171" s="54">
        <f t="shared" si="13"/>
        <v>0</v>
      </c>
      <c r="O171" s="54">
        <f t="shared" si="14"/>
        <v>0</v>
      </c>
      <c r="P171" s="54">
        <f t="shared" si="15"/>
        <v>0</v>
      </c>
      <c r="Q171" s="79">
        <f t="shared" si="16"/>
        <v>0</v>
      </c>
    </row>
    <row r="172" spans="4:17" ht="12.75">
      <c r="D172" s="87">
        <f t="shared" si="3"/>
        <v>0</v>
      </c>
      <c r="E172" s="24">
        <f t="shared" si="4"/>
        <v>0</v>
      </c>
      <c r="F172" s="24">
        <f t="shared" si="5"/>
        <v>0</v>
      </c>
      <c r="G172" s="24">
        <f t="shared" si="6"/>
        <v>0</v>
      </c>
      <c r="H172" s="24">
        <f t="shared" si="7"/>
        <v>0</v>
      </c>
      <c r="I172" s="24">
        <f t="shared" si="8"/>
        <v>0</v>
      </c>
      <c r="J172" s="88">
        <f t="shared" si="9"/>
        <v>0</v>
      </c>
      <c r="K172" s="78">
        <f t="shared" si="10"/>
        <v>0</v>
      </c>
      <c r="L172" s="54">
        <f t="shared" si="11"/>
        <v>0</v>
      </c>
      <c r="M172" s="54">
        <f t="shared" si="12"/>
        <v>0</v>
      </c>
      <c r="N172" s="54">
        <f t="shared" si="13"/>
        <v>0</v>
      </c>
      <c r="O172" s="54">
        <f t="shared" si="14"/>
        <v>0</v>
      </c>
      <c r="P172" s="54">
        <f t="shared" si="15"/>
        <v>0</v>
      </c>
      <c r="Q172" s="79">
        <f t="shared" si="16"/>
        <v>0</v>
      </c>
    </row>
    <row r="173" spans="4:17" ht="12.75">
      <c r="D173" s="87">
        <f t="shared" si="3"/>
        <v>0</v>
      </c>
      <c r="E173" s="24">
        <f t="shared" si="4"/>
        <v>0</v>
      </c>
      <c r="F173" s="24">
        <f t="shared" si="5"/>
        <v>0</v>
      </c>
      <c r="G173" s="24">
        <f t="shared" si="6"/>
        <v>0</v>
      </c>
      <c r="H173" s="24">
        <f t="shared" si="7"/>
        <v>0</v>
      </c>
      <c r="I173" s="24">
        <f t="shared" si="8"/>
        <v>0</v>
      </c>
      <c r="J173" s="88">
        <f t="shared" si="9"/>
        <v>0</v>
      </c>
      <c r="K173" s="78">
        <f t="shared" si="10"/>
        <v>0</v>
      </c>
      <c r="L173" s="54">
        <f t="shared" si="11"/>
        <v>0</v>
      </c>
      <c r="M173" s="54">
        <f t="shared" si="12"/>
        <v>0</v>
      </c>
      <c r="N173" s="54">
        <f t="shared" si="13"/>
        <v>0</v>
      </c>
      <c r="O173" s="54">
        <f t="shared" si="14"/>
        <v>0</v>
      </c>
      <c r="P173" s="54">
        <f t="shared" si="15"/>
        <v>0</v>
      </c>
      <c r="Q173" s="79">
        <f t="shared" si="16"/>
        <v>0</v>
      </c>
    </row>
    <row r="174" spans="4:17" ht="12.75">
      <c r="D174" s="87">
        <f t="shared" si="3"/>
        <v>0</v>
      </c>
      <c r="E174" s="24">
        <f t="shared" si="4"/>
        <v>0</v>
      </c>
      <c r="F174" s="24">
        <f t="shared" si="5"/>
        <v>0</v>
      </c>
      <c r="G174" s="24">
        <f t="shared" si="6"/>
        <v>0</v>
      </c>
      <c r="H174" s="24">
        <f t="shared" si="7"/>
        <v>0</v>
      </c>
      <c r="I174" s="24">
        <f t="shared" si="8"/>
        <v>0</v>
      </c>
      <c r="J174" s="88">
        <f t="shared" si="9"/>
        <v>0</v>
      </c>
      <c r="K174" s="78">
        <f t="shared" si="10"/>
        <v>0</v>
      </c>
      <c r="L174" s="54">
        <f t="shared" si="11"/>
        <v>0</v>
      </c>
      <c r="M174" s="54">
        <f t="shared" si="12"/>
        <v>0</v>
      </c>
      <c r="N174" s="54">
        <f t="shared" si="13"/>
        <v>0</v>
      </c>
      <c r="O174" s="54">
        <f t="shared" si="14"/>
        <v>0</v>
      </c>
      <c r="P174" s="54">
        <f t="shared" si="15"/>
        <v>0</v>
      </c>
      <c r="Q174" s="79">
        <f t="shared" si="16"/>
        <v>0</v>
      </c>
    </row>
    <row r="175" spans="4:17" ht="12.75">
      <c r="D175" s="87">
        <f t="shared" si="3"/>
        <v>0</v>
      </c>
      <c r="E175" s="24">
        <f t="shared" si="4"/>
        <v>0</v>
      </c>
      <c r="F175" s="24">
        <f t="shared" si="5"/>
        <v>0</v>
      </c>
      <c r="G175" s="24">
        <f t="shared" si="6"/>
        <v>0</v>
      </c>
      <c r="H175" s="24">
        <f t="shared" si="7"/>
        <v>0</v>
      </c>
      <c r="I175" s="24">
        <f t="shared" si="8"/>
        <v>0</v>
      </c>
      <c r="J175" s="88">
        <f t="shared" si="9"/>
        <v>0</v>
      </c>
      <c r="K175" s="78">
        <f t="shared" si="10"/>
        <v>0</v>
      </c>
      <c r="L175" s="54">
        <f t="shared" si="11"/>
        <v>0</v>
      </c>
      <c r="M175" s="54">
        <f t="shared" si="12"/>
        <v>0</v>
      </c>
      <c r="N175" s="54">
        <f t="shared" si="13"/>
        <v>0</v>
      </c>
      <c r="O175" s="54">
        <f t="shared" si="14"/>
        <v>0</v>
      </c>
      <c r="P175" s="54">
        <f t="shared" si="15"/>
        <v>0</v>
      </c>
      <c r="Q175" s="79">
        <f t="shared" si="16"/>
        <v>0</v>
      </c>
    </row>
    <row r="176" spans="4:17" ht="12.75">
      <c r="D176" s="87">
        <f t="shared" si="3"/>
        <v>0</v>
      </c>
      <c r="E176" s="24">
        <f t="shared" si="4"/>
        <v>0</v>
      </c>
      <c r="F176" s="24">
        <f t="shared" si="5"/>
        <v>0</v>
      </c>
      <c r="G176" s="24">
        <f t="shared" si="6"/>
        <v>0</v>
      </c>
      <c r="H176" s="24">
        <f t="shared" si="7"/>
        <v>0</v>
      </c>
      <c r="I176" s="24">
        <f t="shared" si="8"/>
        <v>0</v>
      </c>
      <c r="J176" s="88">
        <f t="shared" si="9"/>
        <v>0</v>
      </c>
      <c r="K176" s="78">
        <f t="shared" si="10"/>
        <v>0</v>
      </c>
      <c r="L176" s="54">
        <f t="shared" si="11"/>
        <v>0</v>
      </c>
      <c r="M176" s="54">
        <f t="shared" si="12"/>
        <v>0</v>
      </c>
      <c r="N176" s="54">
        <f t="shared" si="13"/>
        <v>0</v>
      </c>
      <c r="O176" s="54">
        <f t="shared" si="14"/>
        <v>0</v>
      </c>
      <c r="P176" s="54">
        <f t="shared" si="15"/>
        <v>0</v>
      </c>
      <c r="Q176" s="79">
        <f t="shared" si="16"/>
        <v>0</v>
      </c>
    </row>
    <row r="177" spans="4:17" ht="12.75">
      <c r="D177" s="87">
        <f t="shared" si="3"/>
        <v>0</v>
      </c>
      <c r="E177" s="24">
        <f t="shared" si="4"/>
        <v>0</v>
      </c>
      <c r="F177" s="24">
        <f t="shared" si="5"/>
        <v>0</v>
      </c>
      <c r="G177" s="24">
        <f t="shared" si="6"/>
        <v>0</v>
      </c>
      <c r="H177" s="24">
        <f t="shared" si="7"/>
        <v>0</v>
      </c>
      <c r="I177" s="24">
        <f t="shared" si="8"/>
        <v>0</v>
      </c>
      <c r="J177" s="88">
        <f t="shared" si="9"/>
        <v>0</v>
      </c>
      <c r="K177" s="78">
        <f t="shared" si="10"/>
        <v>0</v>
      </c>
      <c r="L177" s="54">
        <f t="shared" si="11"/>
        <v>0</v>
      </c>
      <c r="M177" s="54">
        <f t="shared" si="12"/>
        <v>0</v>
      </c>
      <c r="N177" s="54">
        <f t="shared" si="13"/>
        <v>0</v>
      </c>
      <c r="O177" s="54">
        <f t="shared" si="14"/>
        <v>0</v>
      </c>
      <c r="P177" s="54">
        <f t="shared" si="15"/>
        <v>0</v>
      </c>
      <c r="Q177" s="79">
        <f t="shared" si="16"/>
        <v>0</v>
      </c>
    </row>
    <row r="178" spans="4:17" ht="12.75">
      <c r="D178" s="87">
        <f t="shared" si="3"/>
        <v>0</v>
      </c>
      <c r="E178" s="24">
        <f t="shared" si="4"/>
        <v>0</v>
      </c>
      <c r="F178" s="24">
        <f t="shared" si="5"/>
        <v>0</v>
      </c>
      <c r="G178" s="24">
        <f t="shared" si="6"/>
        <v>0</v>
      </c>
      <c r="H178" s="24">
        <f t="shared" si="7"/>
        <v>0</v>
      </c>
      <c r="I178" s="24">
        <f t="shared" si="8"/>
        <v>0</v>
      </c>
      <c r="J178" s="88">
        <f t="shared" si="9"/>
        <v>0</v>
      </c>
      <c r="K178" s="78">
        <f t="shared" si="10"/>
        <v>0</v>
      </c>
      <c r="L178" s="54">
        <f t="shared" si="11"/>
        <v>0</v>
      </c>
      <c r="M178" s="54">
        <f t="shared" si="12"/>
        <v>0</v>
      </c>
      <c r="N178" s="54">
        <f t="shared" si="13"/>
        <v>0</v>
      </c>
      <c r="O178" s="54">
        <f t="shared" si="14"/>
        <v>0</v>
      </c>
      <c r="P178" s="54">
        <f t="shared" si="15"/>
        <v>0</v>
      </c>
      <c r="Q178" s="79">
        <f t="shared" si="16"/>
        <v>0</v>
      </c>
    </row>
    <row r="179" spans="4:17" ht="13.5" thickBot="1">
      <c r="D179" s="89">
        <f t="shared" si="3"/>
        <v>0</v>
      </c>
      <c r="E179" s="90">
        <f t="shared" si="4"/>
        <v>0</v>
      </c>
      <c r="F179" s="90">
        <f t="shared" si="5"/>
        <v>0</v>
      </c>
      <c r="G179" s="90">
        <f t="shared" si="6"/>
        <v>0</v>
      </c>
      <c r="H179" s="90">
        <f t="shared" si="7"/>
        <v>0</v>
      </c>
      <c r="I179" s="90">
        <f t="shared" si="8"/>
        <v>0</v>
      </c>
      <c r="J179" s="91">
        <f t="shared" si="9"/>
        <v>0</v>
      </c>
      <c r="K179" s="80">
        <f t="shared" si="10"/>
        <v>0</v>
      </c>
      <c r="L179" s="81">
        <f t="shared" si="11"/>
        <v>0</v>
      </c>
      <c r="M179" s="81">
        <f t="shared" si="12"/>
        <v>0</v>
      </c>
      <c r="N179" s="81">
        <f t="shared" si="13"/>
        <v>0</v>
      </c>
      <c r="O179" s="81">
        <f t="shared" si="14"/>
        <v>0</v>
      </c>
      <c r="P179" s="81">
        <f t="shared" si="15"/>
        <v>0</v>
      </c>
      <c r="Q179" s="82">
        <f t="shared" si="16"/>
        <v>0</v>
      </c>
    </row>
    <row r="180" spans="3:18" ht="12.75">
      <c r="C180" t="s">
        <v>178</v>
      </c>
      <c r="D180" s="54">
        <f>SUM(D122:D179)</f>
        <v>0</v>
      </c>
      <c r="E180" s="54">
        <f aca="true" t="shared" si="17" ref="E180:J180">SUM(E122:E179)</f>
        <v>0</v>
      </c>
      <c r="F180" s="54">
        <f t="shared" si="17"/>
        <v>4</v>
      </c>
      <c r="G180" s="54">
        <f t="shared" si="17"/>
        <v>6</v>
      </c>
      <c r="H180" s="54">
        <f t="shared" si="17"/>
        <v>13</v>
      </c>
      <c r="I180" s="54">
        <f t="shared" si="17"/>
        <v>12</v>
      </c>
      <c r="J180" s="83">
        <f t="shared" si="17"/>
        <v>7</v>
      </c>
      <c r="K180" s="75">
        <f>SUM(K122:K179)</f>
        <v>12</v>
      </c>
      <c r="L180" s="76">
        <f aca="true" t="shared" si="18" ref="L180:Q180">SUM(L122:L179)</f>
        <v>12</v>
      </c>
      <c r="M180" s="76">
        <f t="shared" si="18"/>
        <v>2</v>
      </c>
      <c r="N180" s="76">
        <f t="shared" si="18"/>
        <v>0</v>
      </c>
      <c r="O180" s="76">
        <f t="shared" si="18"/>
        <v>0</v>
      </c>
      <c r="P180" s="76">
        <f t="shared" si="18"/>
        <v>0</v>
      </c>
      <c r="Q180" s="54">
        <f t="shared" si="18"/>
        <v>0</v>
      </c>
      <c r="R180" t="s">
        <v>180</v>
      </c>
    </row>
  </sheetData>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sheetPr codeName="Sheet10"/>
  <dimension ref="A1:AD108"/>
  <sheetViews>
    <sheetView workbookViewId="0" topLeftCell="F1">
      <selection activeCell="F8" sqref="F8"/>
    </sheetView>
  </sheetViews>
  <sheetFormatPr defaultColWidth="9.140625" defaultRowHeight="12.75"/>
  <cols>
    <col min="1" max="1" width="11.140625" style="0" customWidth="1"/>
    <col min="2" max="2" width="12.7109375" style="0" bestFit="1" customWidth="1"/>
    <col min="3" max="3" width="12.7109375" style="0" customWidth="1"/>
    <col min="4" max="5" width="11.421875" style="0" customWidth="1"/>
    <col min="6" max="6" width="35.7109375" style="0" customWidth="1"/>
    <col min="7" max="7" width="20.7109375" style="0" customWidth="1"/>
    <col min="8" max="16" width="11.421875" style="0" customWidth="1"/>
    <col min="17" max="17" width="13.00390625" style="0" bestFit="1" customWidth="1"/>
    <col min="18" max="19" width="11.421875" style="0" customWidth="1"/>
    <col min="20" max="20" width="12.00390625" style="0" bestFit="1" customWidth="1"/>
    <col min="21" max="21" width="11.421875" style="0" customWidth="1"/>
    <col min="22" max="22" width="19.00390625" style="0" bestFit="1" customWidth="1"/>
    <col min="23" max="23" width="12.7109375" style="0" bestFit="1" customWidth="1"/>
    <col min="24" max="24" width="18.00390625" style="0" bestFit="1" customWidth="1"/>
    <col min="25" max="25" width="17.8515625" style="0" bestFit="1" customWidth="1"/>
    <col min="26" max="26" width="11.421875" style="0" customWidth="1"/>
    <col min="27" max="27" width="17.57421875" style="0" bestFit="1" customWidth="1"/>
    <col min="28" max="28" width="13.28125" style="0" bestFit="1" customWidth="1"/>
    <col min="29" max="16384" width="11.421875" style="0" customWidth="1"/>
  </cols>
  <sheetData>
    <row r="1" spans="1:30" ht="12.75">
      <c r="A1" t="s">
        <v>89</v>
      </c>
      <c r="C1" s="22"/>
      <c r="D1" t="s">
        <v>92</v>
      </c>
      <c r="E1" t="s">
        <v>98</v>
      </c>
      <c r="F1" t="s">
        <v>141</v>
      </c>
      <c r="G1" t="s">
        <v>90</v>
      </c>
      <c r="H1" t="s">
        <v>213</v>
      </c>
      <c r="I1" t="s">
        <v>154</v>
      </c>
      <c r="J1" t="s">
        <v>86</v>
      </c>
      <c r="K1" t="s">
        <v>87</v>
      </c>
      <c r="L1" t="s">
        <v>88</v>
      </c>
      <c r="M1" t="s">
        <v>67</v>
      </c>
      <c r="N1" t="s">
        <v>68</v>
      </c>
      <c r="O1" t="s">
        <v>93</v>
      </c>
      <c r="P1" s="22"/>
      <c r="Q1" s="30" t="s">
        <v>52</v>
      </c>
      <c r="R1" s="30" t="s">
        <v>93</v>
      </c>
      <c r="S1" s="30" t="s">
        <v>141</v>
      </c>
      <c r="T1" t="s">
        <v>94</v>
      </c>
      <c r="V1" s="30" t="s">
        <v>237</v>
      </c>
      <c r="W1" s="30" t="s">
        <v>238</v>
      </c>
      <c r="X1" s="30" t="s">
        <v>239</v>
      </c>
      <c r="Y1" s="30" t="s">
        <v>240</v>
      </c>
      <c r="Z1" s="30" t="s">
        <v>242</v>
      </c>
      <c r="AA1" s="30" t="s">
        <v>244</v>
      </c>
      <c r="AB1" s="30" t="s">
        <v>245</v>
      </c>
      <c r="AC1" s="30" t="s">
        <v>250</v>
      </c>
      <c r="AD1" s="30" t="s">
        <v>251</v>
      </c>
    </row>
    <row r="2" spans="1:30" ht="12.75">
      <c r="A2">
        <v>1</v>
      </c>
      <c r="B2">
        <v>90</v>
      </c>
      <c r="C2" s="22"/>
      <c r="D2" s="19">
        <v>1</v>
      </c>
      <c r="E2">
        <v>1</v>
      </c>
      <c r="F2" t="s">
        <v>155</v>
      </c>
      <c r="G2" t="s">
        <v>281</v>
      </c>
      <c r="H2" t="s">
        <v>75</v>
      </c>
      <c r="I2" t="s">
        <v>143</v>
      </c>
      <c r="J2" t="s">
        <v>144</v>
      </c>
      <c r="K2" t="s">
        <v>145</v>
      </c>
      <c r="L2" t="s">
        <v>229</v>
      </c>
      <c r="M2" t="s">
        <v>76</v>
      </c>
      <c r="N2" t="s">
        <v>77</v>
      </c>
      <c r="O2">
        <v>1</v>
      </c>
      <c r="P2" s="22"/>
      <c r="Q2" s="64">
        <v>1</v>
      </c>
      <c r="R2" s="64">
        <v>0.5</v>
      </c>
      <c r="S2" s="64">
        <v>1</v>
      </c>
      <c r="T2">
        <v>1</v>
      </c>
      <c r="V2" s="105">
        <v>150</v>
      </c>
      <c r="W2" s="19">
        <v>0.1</v>
      </c>
      <c r="X2" s="19">
        <v>0.9</v>
      </c>
      <c r="Y2" s="19">
        <v>48</v>
      </c>
      <c r="Z2" s="19">
        <v>40</v>
      </c>
      <c r="AA2" s="19">
        <v>0.05</v>
      </c>
      <c r="AB2" s="19">
        <v>2</v>
      </c>
      <c r="AC2" s="19">
        <f>Score!Y9</f>
        <v>0</v>
      </c>
      <c r="AD2" s="19">
        <f>Score!Y12</f>
        <v>0</v>
      </c>
    </row>
    <row r="3" spans="1:30" ht="12.75">
      <c r="A3">
        <v>2</v>
      </c>
      <c r="B3">
        <v>85</v>
      </c>
      <c r="C3" s="22"/>
      <c r="D3" s="19">
        <v>2</v>
      </c>
      <c r="E3">
        <v>2</v>
      </c>
      <c r="F3" t="s">
        <v>156</v>
      </c>
      <c r="G3" t="s">
        <v>282</v>
      </c>
      <c r="H3" t="s">
        <v>230</v>
      </c>
      <c r="I3" t="s">
        <v>231</v>
      </c>
      <c r="J3" t="s">
        <v>148</v>
      </c>
      <c r="K3" t="s">
        <v>202</v>
      </c>
      <c r="L3" t="s">
        <v>233</v>
      </c>
      <c r="M3" t="s">
        <v>232</v>
      </c>
      <c r="N3" t="s">
        <v>203</v>
      </c>
      <c r="O3">
        <v>0.1</v>
      </c>
      <c r="P3" s="22"/>
      <c r="Q3" s="64">
        <v>1</v>
      </c>
      <c r="R3" s="64">
        <v>0.5</v>
      </c>
      <c r="S3" s="64">
        <v>2</v>
      </c>
      <c r="T3">
        <v>5</v>
      </c>
      <c r="V3" s="19" t="s">
        <v>247</v>
      </c>
      <c r="W3" s="19"/>
      <c r="X3" s="19"/>
      <c r="Y3" s="19" t="s">
        <v>241</v>
      </c>
      <c r="Z3" s="19" t="s">
        <v>243</v>
      </c>
      <c r="AA3" s="19"/>
      <c r="AB3" s="19" t="s">
        <v>246</v>
      </c>
      <c r="AC3" s="19" t="s">
        <v>236</v>
      </c>
      <c r="AD3" s="19" t="s">
        <v>236</v>
      </c>
    </row>
    <row r="4" spans="1:30" ht="14.25">
      <c r="A4">
        <v>3</v>
      </c>
      <c r="B4">
        <v>80</v>
      </c>
      <c r="C4" s="22"/>
      <c r="D4" s="19">
        <v>2</v>
      </c>
      <c r="E4">
        <v>3</v>
      </c>
      <c r="F4" t="s">
        <v>156</v>
      </c>
      <c r="G4" t="s">
        <v>259</v>
      </c>
      <c r="H4" t="s">
        <v>70</v>
      </c>
      <c r="I4" t="s">
        <v>234</v>
      </c>
      <c r="J4" t="s">
        <v>235</v>
      </c>
      <c r="K4" t="s">
        <v>71</v>
      </c>
      <c r="L4" t="s">
        <v>0</v>
      </c>
      <c r="M4" t="s">
        <v>1</v>
      </c>
      <c r="N4" t="s">
        <v>79</v>
      </c>
      <c r="O4">
        <v>0.1</v>
      </c>
      <c r="P4" s="22"/>
      <c r="Q4" s="64">
        <v>1</v>
      </c>
      <c r="R4" s="64">
        <v>0</v>
      </c>
      <c r="S4" s="64">
        <v>3</v>
      </c>
      <c r="T4">
        <v>3</v>
      </c>
      <c r="V4" s="19" t="s">
        <v>249</v>
      </c>
      <c r="W4" s="19" t="s">
        <v>248</v>
      </c>
      <c r="X4" s="19" t="s">
        <v>311</v>
      </c>
      <c r="Y4" s="19"/>
      <c r="Z4" s="19" t="s">
        <v>303</v>
      </c>
      <c r="AA4" s="19" t="s">
        <v>308</v>
      </c>
      <c r="AB4" s="19" t="s">
        <v>305</v>
      </c>
      <c r="AC4" s="19" t="s">
        <v>252</v>
      </c>
      <c r="AD4" s="19" t="s">
        <v>253</v>
      </c>
    </row>
    <row r="5" spans="1:20" ht="12.75">
      <c r="A5">
        <v>4</v>
      </c>
      <c r="B5">
        <v>75</v>
      </c>
      <c r="C5" s="22"/>
      <c r="D5" s="19">
        <v>2</v>
      </c>
      <c r="E5">
        <v>4</v>
      </c>
      <c r="F5" t="s">
        <v>156</v>
      </c>
      <c r="G5" t="s">
        <v>260</v>
      </c>
      <c r="H5" t="s">
        <v>2</v>
      </c>
      <c r="I5" t="s">
        <v>3</v>
      </c>
      <c r="J5" t="s">
        <v>181</v>
      </c>
      <c r="K5" t="s">
        <v>80</v>
      </c>
      <c r="L5" t="s">
        <v>4</v>
      </c>
      <c r="M5" t="s">
        <v>5</v>
      </c>
      <c r="N5" t="s">
        <v>78</v>
      </c>
      <c r="O5">
        <v>0.3</v>
      </c>
      <c r="P5" s="22"/>
      <c r="Q5" s="65">
        <v>2</v>
      </c>
      <c r="R5" s="65">
        <v>0.333333333333</v>
      </c>
      <c r="S5" s="65">
        <v>4</v>
      </c>
      <c r="T5">
        <v>3</v>
      </c>
    </row>
    <row r="6" spans="1:20" ht="12.75">
      <c r="A6">
        <v>5</v>
      </c>
      <c r="B6">
        <v>70</v>
      </c>
      <c r="C6" s="22"/>
      <c r="D6" s="19">
        <v>2</v>
      </c>
      <c r="E6">
        <v>5</v>
      </c>
      <c r="F6" t="s">
        <v>156</v>
      </c>
      <c r="G6" t="s">
        <v>261</v>
      </c>
      <c r="H6" t="s">
        <v>6</v>
      </c>
      <c r="I6" t="s">
        <v>7</v>
      </c>
      <c r="J6" t="s">
        <v>8</v>
      </c>
      <c r="K6" t="s">
        <v>9</v>
      </c>
      <c r="L6" t="s">
        <v>121</v>
      </c>
      <c r="M6" t="s">
        <v>122</v>
      </c>
      <c r="N6" t="s">
        <v>123</v>
      </c>
      <c r="O6">
        <v>0.3</v>
      </c>
      <c r="P6" s="22"/>
      <c r="Q6" s="65">
        <v>2</v>
      </c>
      <c r="R6" s="65">
        <v>0.333333333333</v>
      </c>
      <c r="S6" s="65">
        <v>5</v>
      </c>
      <c r="T6">
        <v>5</v>
      </c>
    </row>
    <row r="7" spans="1:20" ht="25.5">
      <c r="A7">
        <v>6</v>
      </c>
      <c r="B7">
        <v>60</v>
      </c>
      <c r="C7" s="22"/>
      <c r="D7" s="19">
        <v>2</v>
      </c>
      <c r="E7">
        <v>6</v>
      </c>
      <c r="F7" t="s">
        <v>147</v>
      </c>
      <c r="G7" t="s">
        <v>262</v>
      </c>
      <c r="H7" s="95"/>
      <c r="I7" s="95" t="s">
        <v>125</v>
      </c>
      <c r="J7" s="95" t="s">
        <v>126</v>
      </c>
      <c r="K7" s="31" t="s">
        <v>124</v>
      </c>
      <c r="L7" t="s">
        <v>127</v>
      </c>
      <c r="M7" s="95" t="s">
        <v>128</v>
      </c>
      <c r="O7">
        <v>0.2</v>
      </c>
      <c r="P7" s="22">
        <f>SUM(O3:O7)</f>
        <v>1</v>
      </c>
      <c r="Q7" s="65">
        <v>2</v>
      </c>
      <c r="R7" s="65">
        <v>0.333333333333</v>
      </c>
      <c r="S7" s="65">
        <v>6</v>
      </c>
      <c r="T7">
        <v>4</v>
      </c>
    </row>
    <row r="8" spans="1:20" ht="12.75">
      <c r="A8">
        <v>7</v>
      </c>
      <c r="B8">
        <v>50</v>
      </c>
      <c r="C8" s="22"/>
      <c r="D8" s="19">
        <v>3</v>
      </c>
      <c r="E8">
        <v>7</v>
      </c>
      <c r="F8" t="s">
        <v>323</v>
      </c>
      <c r="G8" t="s">
        <v>263</v>
      </c>
      <c r="I8" t="s">
        <v>41</v>
      </c>
      <c r="J8" t="s">
        <v>42</v>
      </c>
      <c r="K8" t="s">
        <v>43</v>
      </c>
      <c r="L8" t="s">
        <v>44</v>
      </c>
      <c r="O8">
        <v>0.35</v>
      </c>
      <c r="P8" s="22"/>
      <c r="Q8" s="66">
        <v>3</v>
      </c>
      <c r="R8" s="66">
        <v>0.5</v>
      </c>
      <c r="S8" s="108" t="s">
        <v>286</v>
      </c>
      <c r="T8">
        <v>3</v>
      </c>
    </row>
    <row r="9" spans="1:20" ht="12.75">
      <c r="A9">
        <v>8</v>
      </c>
      <c r="B9">
        <v>40</v>
      </c>
      <c r="C9" s="22"/>
      <c r="D9" s="19">
        <v>3</v>
      </c>
      <c r="E9">
        <v>8</v>
      </c>
      <c r="F9" t="s">
        <v>323</v>
      </c>
      <c r="G9" t="s">
        <v>264</v>
      </c>
      <c r="I9" t="s">
        <v>45</v>
      </c>
      <c r="J9" t="s">
        <v>109</v>
      </c>
      <c r="K9" t="s">
        <v>321</v>
      </c>
      <c r="M9" t="s">
        <v>320</v>
      </c>
      <c r="O9">
        <v>0.35</v>
      </c>
      <c r="P9" s="22"/>
      <c r="Q9" s="66">
        <v>3</v>
      </c>
      <c r="R9" s="66">
        <v>0.5</v>
      </c>
      <c r="S9" s="66">
        <v>9</v>
      </c>
      <c r="T9">
        <v>1</v>
      </c>
    </row>
    <row r="10" spans="1:20" ht="12.75">
      <c r="A10">
        <v>9</v>
      </c>
      <c r="B10">
        <v>30</v>
      </c>
      <c r="C10" s="22"/>
      <c r="D10" s="19">
        <v>3</v>
      </c>
      <c r="E10">
        <v>9</v>
      </c>
      <c r="F10" t="s">
        <v>322</v>
      </c>
      <c r="G10" t="s">
        <v>265</v>
      </c>
      <c r="I10" t="s">
        <v>224</v>
      </c>
      <c r="J10" t="s">
        <v>225</v>
      </c>
      <c r="K10" t="s">
        <v>136</v>
      </c>
      <c r="L10" t="s">
        <v>137</v>
      </c>
      <c r="M10" t="s">
        <v>226</v>
      </c>
      <c r="O10">
        <v>0.3</v>
      </c>
      <c r="P10" s="22">
        <f>SUM(O8:O10)</f>
        <v>1</v>
      </c>
      <c r="Q10" s="67">
        <v>4</v>
      </c>
      <c r="R10" s="67">
        <v>1</v>
      </c>
      <c r="S10" s="67">
        <v>10</v>
      </c>
      <c r="T10" s="107">
        <v>1</v>
      </c>
    </row>
    <row r="11" spans="1:16" ht="12.75">
      <c r="A11">
        <v>10</v>
      </c>
      <c r="B11">
        <v>25</v>
      </c>
      <c r="C11" s="22"/>
      <c r="D11" s="19">
        <v>4</v>
      </c>
      <c r="E11">
        <v>10</v>
      </c>
      <c r="F11" t="s">
        <v>163</v>
      </c>
      <c r="G11" t="s">
        <v>266</v>
      </c>
      <c r="I11" t="s">
        <v>164</v>
      </c>
      <c r="J11" t="s">
        <v>168</v>
      </c>
      <c r="K11" t="s">
        <v>166</v>
      </c>
      <c r="L11" t="s">
        <v>167</v>
      </c>
      <c r="M11" t="s">
        <v>165</v>
      </c>
      <c r="O11">
        <v>0.6</v>
      </c>
      <c r="P11" s="22"/>
    </row>
    <row r="12" spans="1:16" ht="12.75">
      <c r="A12">
        <v>11</v>
      </c>
      <c r="B12">
        <v>20</v>
      </c>
      <c r="C12" s="22"/>
      <c r="D12" s="19">
        <v>4</v>
      </c>
      <c r="E12">
        <v>11</v>
      </c>
      <c r="F12" t="s">
        <v>104</v>
      </c>
      <c r="G12" t="s">
        <v>267</v>
      </c>
      <c r="I12" t="s">
        <v>134</v>
      </c>
      <c r="K12" t="s">
        <v>326</v>
      </c>
      <c r="L12" t="s">
        <v>169</v>
      </c>
      <c r="O12">
        <v>0.2</v>
      </c>
      <c r="P12" s="22"/>
    </row>
    <row r="13" spans="1:16" ht="12.75">
      <c r="A13">
        <v>12</v>
      </c>
      <c r="B13">
        <v>15</v>
      </c>
      <c r="C13" s="22"/>
      <c r="D13" s="19">
        <v>4</v>
      </c>
      <c r="E13">
        <v>12</v>
      </c>
      <c r="F13" t="s">
        <v>325</v>
      </c>
      <c r="G13" t="s">
        <v>324</v>
      </c>
      <c r="I13" t="s">
        <v>135</v>
      </c>
      <c r="K13" t="s">
        <v>327</v>
      </c>
      <c r="L13" t="s">
        <v>170</v>
      </c>
      <c r="O13">
        <v>0.2</v>
      </c>
      <c r="P13" s="22">
        <f>SUM(O11:O13)</f>
        <v>1</v>
      </c>
    </row>
    <row r="14" spans="1:16" ht="12.75">
      <c r="A14">
        <v>13</v>
      </c>
      <c r="B14">
        <v>10</v>
      </c>
      <c r="C14" s="22"/>
      <c r="D14" s="19">
        <v>5</v>
      </c>
      <c r="E14">
        <v>13</v>
      </c>
      <c r="F14" t="s">
        <v>108</v>
      </c>
      <c r="G14" t="s">
        <v>268</v>
      </c>
      <c r="I14" t="s">
        <v>171</v>
      </c>
      <c r="K14" t="s">
        <v>172</v>
      </c>
      <c r="M14" t="s">
        <v>72</v>
      </c>
      <c r="O14">
        <v>0.2</v>
      </c>
      <c r="P14" s="22"/>
    </row>
    <row r="15" spans="3:16" ht="12.75">
      <c r="C15" s="22"/>
      <c r="D15" s="19">
        <v>5</v>
      </c>
      <c r="E15">
        <v>14</v>
      </c>
      <c r="F15" t="s">
        <v>108</v>
      </c>
      <c r="G15" t="s">
        <v>269</v>
      </c>
      <c r="I15" t="s">
        <v>73</v>
      </c>
      <c r="K15" t="s">
        <v>74</v>
      </c>
      <c r="L15" t="s">
        <v>182</v>
      </c>
      <c r="M15" t="s">
        <v>183</v>
      </c>
      <c r="O15">
        <v>0.2</v>
      </c>
      <c r="P15" s="22"/>
    </row>
    <row r="16" spans="3:16" ht="12.75">
      <c r="C16" s="22"/>
      <c r="D16" s="19">
        <v>5</v>
      </c>
      <c r="E16">
        <v>15</v>
      </c>
      <c r="F16" t="s">
        <v>133</v>
      </c>
      <c r="G16" t="s">
        <v>270</v>
      </c>
      <c r="I16" t="s">
        <v>184</v>
      </c>
      <c r="K16" t="s">
        <v>185</v>
      </c>
      <c r="M16" t="s">
        <v>186</v>
      </c>
      <c r="O16">
        <v>0.2</v>
      </c>
      <c r="P16" s="22"/>
    </row>
    <row r="17" spans="3:16" ht="12.75">
      <c r="C17" s="22"/>
      <c r="D17" s="19">
        <v>5</v>
      </c>
      <c r="E17">
        <v>16</v>
      </c>
      <c r="F17" t="s">
        <v>133</v>
      </c>
      <c r="G17" t="s">
        <v>271</v>
      </c>
      <c r="I17" t="s">
        <v>187</v>
      </c>
      <c r="K17" t="s">
        <v>188</v>
      </c>
      <c r="M17" t="s">
        <v>189</v>
      </c>
      <c r="O17">
        <v>0.2</v>
      </c>
      <c r="P17" s="22"/>
    </row>
    <row r="18" spans="3:16" ht="12.75">
      <c r="C18" s="22"/>
      <c r="D18" s="19">
        <v>5</v>
      </c>
      <c r="E18">
        <v>17</v>
      </c>
      <c r="F18" t="s">
        <v>133</v>
      </c>
      <c r="G18" t="s">
        <v>272</v>
      </c>
      <c r="I18" t="s">
        <v>190</v>
      </c>
      <c r="K18" t="s">
        <v>192</v>
      </c>
      <c r="L18" t="s">
        <v>191</v>
      </c>
      <c r="M18" t="s">
        <v>193</v>
      </c>
      <c r="O18">
        <v>0.2</v>
      </c>
      <c r="P18" s="22">
        <f>SUM(O14:O18)</f>
        <v>1</v>
      </c>
    </row>
    <row r="19" spans="3:16" ht="12.75">
      <c r="C19" s="22"/>
      <c r="D19" s="19">
        <v>6</v>
      </c>
      <c r="E19">
        <v>18</v>
      </c>
      <c r="F19" t="s">
        <v>216</v>
      </c>
      <c r="G19" t="s">
        <v>273</v>
      </c>
      <c r="I19" t="s">
        <v>194</v>
      </c>
      <c r="K19" t="s">
        <v>195</v>
      </c>
      <c r="M19" t="s">
        <v>196</v>
      </c>
      <c r="O19">
        <v>0.25</v>
      </c>
      <c r="P19" s="22"/>
    </row>
    <row r="20" spans="3:16" ht="12.75">
      <c r="C20" s="22"/>
      <c r="D20" s="19">
        <v>6</v>
      </c>
      <c r="E20">
        <v>19</v>
      </c>
      <c r="F20" t="s">
        <v>146</v>
      </c>
      <c r="G20" t="s">
        <v>274</v>
      </c>
      <c r="I20" t="s">
        <v>142</v>
      </c>
      <c r="K20" t="s">
        <v>197</v>
      </c>
      <c r="M20" t="s">
        <v>198</v>
      </c>
      <c r="O20">
        <v>0.25</v>
      </c>
      <c r="P20" s="22"/>
    </row>
    <row r="21" spans="3:16" ht="12.75">
      <c r="C21" s="22"/>
      <c r="D21" s="19">
        <v>6</v>
      </c>
      <c r="E21">
        <v>20</v>
      </c>
      <c r="F21" t="s">
        <v>13</v>
      </c>
      <c r="G21" t="s">
        <v>275</v>
      </c>
      <c r="I21" t="s">
        <v>199</v>
      </c>
      <c r="K21" t="s">
        <v>200</v>
      </c>
      <c r="M21" t="s">
        <v>201</v>
      </c>
      <c r="O21">
        <v>0.25</v>
      </c>
      <c r="P21" s="22"/>
    </row>
    <row r="22" spans="3:16" ht="12.75">
      <c r="C22" s="22"/>
      <c r="D22" s="19">
        <v>6</v>
      </c>
      <c r="E22">
        <v>21</v>
      </c>
      <c r="F22" t="s">
        <v>13</v>
      </c>
      <c r="G22" t="s">
        <v>276</v>
      </c>
      <c r="I22" t="s">
        <v>11</v>
      </c>
      <c r="K22" t="s">
        <v>10</v>
      </c>
      <c r="M22" t="s">
        <v>12</v>
      </c>
      <c r="O22">
        <v>0.25</v>
      </c>
      <c r="P22" s="22">
        <f>SUM(O19:O22)</f>
        <v>1</v>
      </c>
    </row>
    <row r="23" spans="3:16" ht="12.75">
      <c r="C23" s="22"/>
      <c r="D23" s="19">
        <v>7</v>
      </c>
      <c r="E23">
        <v>22</v>
      </c>
      <c r="F23" t="s">
        <v>53</v>
      </c>
      <c r="G23" t="s">
        <v>277</v>
      </c>
      <c r="H23" t="s">
        <v>138</v>
      </c>
      <c r="I23" t="s">
        <v>54</v>
      </c>
      <c r="J23" t="s">
        <v>55</v>
      </c>
      <c r="K23" t="s">
        <v>227</v>
      </c>
      <c r="L23" t="s">
        <v>228</v>
      </c>
      <c r="M23" t="s">
        <v>57</v>
      </c>
      <c r="N23" t="s">
        <v>56</v>
      </c>
      <c r="P23" s="22"/>
    </row>
    <row r="24" spans="3:16" ht="12.75">
      <c r="C24" s="22"/>
      <c r="D24" s="19">
        <v>7</v>
      </c>
      <c r="E24">
        <v>23</v>
      </c>
      <c r="F24" t="s">
        <v>159</v>
      </c>
      <c r="G24" t="s">
        <v>278</v>
      </c>
      <c r="H24" t="s">
        <v>139</v>
      </c>
      <c r="I24" t="s">
        <v>58</v>
      </c>
      <c r="J24" t="s">
        <v>59</v>
      </c>
      <c r="K24" t="s">
        <v>50</v>
      </c>
      <c r="L24" t="s">
        <v>149</v>
      </c>
      <c r="M24" t="s">
        <v>60</v>
      </c>
      <c r="N24" t="s">
        <v>131</v>
      </c>
      <c r="P24" s="22"/>
    </row>
    <row r="25" spans="3:16" ht="12.75">
      <c r="C25" s="22"/>
      <c r="D25" s="19">
        <v>8</v>
      </c>
      <c r="E25">
        <v>24</v>
      </c>
      <c r="F25" t="s">
        <v>99</v>
      </c>
      <c r="G25" t="s">
        <v>279</v>
      </c>
      <c r="H25" t="s">
        <v>217</v>
      </c>
      <c r="I25" t="s">
        <v>218</v>
      </c>
      <c r="J25" t="s">
        <v>219</v>
      </c>
      <c r="K25" t="s">
        <v>220</v>
      </c>
      <c r="L25" t="s">
        <v>221</v>
      </c>
      <c r="M25" t="s">
        <v>222</v>
      </c>
      <c r="N25" t="s">
        <v>223</v>
      </c>
      <c r="P25" s="22"/>
    </row>
    <row r="26" spans="3:16" ht="12.75">
      <c r="C26" s="22"/>
      <c r="D26" s="19">
        <v>9</v>
      </c>
      <c r="E26">
        <v>25</v>
      </c>
      <c r="F26" t="s">
        <v>258</v>
      </c>
      <c r="G26" t="s">
        <v>280</v>
      </c>
      <c r="H26" t="s">
        <v>21</v>
      </c>
      <c r="I26" t="s">
        <v>82</v>
      </c>
      <c r="J26" t="s">
        <v>100</v>
      </c>
      <c r="K26" t="s">
        <v>101</v>
      </c>
      <c r="L26" t="s">
        <v>102</v>
      </c>
      <c r="M26" t="s">
        <v>103</v>
      </c>
      <c r="N26" t="s">
        <v>22</v>
      </c>
      <c r="O26">
        <v>1</v>
      </c>
      <c r="P26" s="22"/>
    </row>
    <row r="27" spans="3:16" ht="12.75">
      <c r="C27" s="22"/>
      <c r="D27" s="19">
        <v>10</v>
      </c>
      <c r="E27">
        <v>26</v>
      </c>
      <c r="F27" t="s">
        <v>257</v>
      </c>
      <c r="G27" t="s">
        <v>290</v>
      </c>
      <c r="H27" t="s">
        <v>285</v>
      </c>
      <c r="I27" t="s">
        <v>284</v>
      </c>
      <c r="J27" t="s">
        <v>283</v>
      </c>
      <c r="K27" t="s">
        <v>101</v>
      </c>
      <c r="L27" t="s">
        <v>102</v>
      </c>
      <c r="M27" t="s">
        <v>103</v>
      </c>
      <c r="N27" t="s">
        <v>22</v>
      </c>
      <c r="P27" s="22"/>
    </row>
    <row r="28" spans="3:16" ht="12.75">
      <c r="C28" s="22"/>
      <c r="D28" s="19"/>
      <c r="P28" s="22"/>
    </row>
    <row r="29" spans="3:16" ht="12.75">
      <c r="C29" s="22"/>
      <c r="D29" s="19"/>
      <c r="P29" s="22"/>
    </row>
    <row r="30" spans="3:16" ht="12.75">
      <c r="C30" s="22"/>
      <c r="P30" s="22"/>
    </row>
    <row r="31" spans="3:16" ht="12.75">
      <c r="C31" s="22"/>
      <c r="P31" s="22"/>
    </row>
    <row r="32" spans="3:4" ht="12.75">
      <c r="C32" s="22"/>
      <c r="D32" s="19"/>
    </row>
    <row r="33" spans="3:4" ht="12.75">
      <c r="C33" s="22"/>
      <c r="D33" s="19"/>
    </row>
    <row r="34" spans="3:4" ht="12.75">
      <c r="C34" s="22"/>
      <c r="D34" s="19"/>
    </row>
    <row r="35" spans="3:4" ht="12.75">
      <c r="C35" s="22"/>
      <c r="D35" s="19"/>
    </row>
    <row r="36" spans="3:4" ht="12.75">
      <c r="C36" s="22"/>
      <c r="D36" s="19"/>
    </row>
    <row r="37" spans="3:4" ht="12.75">
      <c r="C37" s="22"/>
      <c r="D37" s="19"/>
    </row>
    <row r="38" spans="3:4" ht="12.75">
      <c r="C38" s="22"/>
      <c r="D38" s="19"/>
    </row>
    <row r="39" spans="3:4" ht="12.75">
      <c r="C39" s="22"/>
      <c r="D39" s="19"/>
    </row>
    <row r="40" spans="3:4" ht="12.75">
      <c r="C40" s="22"/>
      <c r="D40" s="19"/>
    </row>
    <row r="41" spans="3:4" ht="12.75">
      <c r="C41" s="22"/>
      <c r="D41" s="19"/>
    </row>
    <row r="42" spans="3:4" ht="12.75">
      <c r="C42" s="22"/>
      <c r="D42" s="19"/>
    </row>
    <row r="43" spans="3:4" ht="12.75">
      <c r="C43" s="22"/>
      <c r="D43" s="19"/>
    </row>
    <row r="44" spans="3:4" ht="12.75">
      <c r="C44" s="22"/>
      <c r="D44" s="19"/>
    </row>
    <row r="45" spans="3:4" ht="12.75">
      <c r="C45" s="22"/>
      <c r="D45" s="19"/>
    </row>
    <row r="46" spans="3:4" ht="12.75">
      <c r="C46" s="22"/>
      <c r="D46" s="19"/>
    </row>
    <row r="47" spans="3:4" ht="12.75">
      <c r="C47" s="22"/>
      <c r="D47" s="19"/>
    </row>
    <row r="48" spans="3:4" ht="12.75">
      <c r="C48" s="22"/>
      <c r="D48" s="19"/>
    </row>
    <row r="49" spans="3:4" ht="12.75">
      <c r="C49" s="22"/>
      <c r="D49" s="19"/>
    </row>
    <row r="50" spans="1:4" s="20" customFormat="1" ht="12.75">
      <c r="A50" s="24"/>
      <c r="B50" s="24"/>
      <c r="C50" s="22"/>
      <c r="D50" s="26"/>
    </row>
    <row r="51" spans="2:20" ht="12.75">
      <c r="B51" s="24"/>
      <c r="D51">
        <f>MIN(D2:D50)</f>
        <v>1</v>
      </c>
      <c r="E51">
        <f>MAX(Crit_Table_Col1)</f>
        <v>26</v>
      </c>
      <c r="Q51">
        <f>MAX(Q2:Q50)</f>
        <v>4</v>
      </c>
      <c r="T51">
        <f>SUM(T2:T50)</f>
        <v>26</v>
      </c>
    </row>
    <row r="52" spans="1:5" ht="12.75">
      <c r="A52" s="19"/>
      <c r="D52">
        <f>MAX(D2:D50)</f>
        <v>10</v>
      </c>
      <c r="E52" t="s">
        <v>153</v>
      </c>
    </row>
    <row r="53" spans="1:3" ht="12.75">
      <c r="A53" s="31"/>
      <c r="C53" s="31"/>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row r="98" ht="12.75">
      <c r="C98" s="32"/>
    </row>
    <row r="99" ht="12.75">
      <c r="C99" s="32"/>
    </row>
    <row r="100" ht="12.75">
      <c r="C100" s="32"/>
    </row>
    <row r="101" ht="12.75">
      <c r="C101" s="32"/>
    </row>
    <row r="102" ht="12.75">
      <c r="C102" s="53"/>
    </row>
    <row r="103" ht="12.75">
      <c r="C103" s="32"/>
    </row>
    <row r="104" ht="12.75">
      <c r="C104" s="32"/>
    </row>
    <row r="105" ht="12.75">
      <c r="C105" s="32"/>
    </row>
    <row r="106" ht="12.75">
      <c r="C106" s="32"/>
    </row>
    <row r="107" ht="12.75">
      <c r="C107" s="32"/>
    </row>
    <row r="108" ht="12.75">
      <c r="C108" s="32"/>
    </row>
  </sheetData>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sheetPr codeName="Sheet2"/>
  <dimension ref="A1:AE441"/>
  <sheetViews>
    <sheetView workbookViewId="0" topLeftCell="A394">
      <selection activeCell="K8" sqref="K8:AE8"/>
    </sheetView>
  </sheetViews>
  <sheetFormatPr defaultColWidth="9.140625" defaultRowHeight="12.75"/>
  <cols>
    <col min="1" max="7" width="11.421875" style="0" customWidth="1"/>
    <col min="8" max="8" width="12.28125" style="0" bestFit="1" customWidth="1"/>
    <col min="9" max="17" width="11.421875" style="0" customWidth="1"/>
    <col min="18" max="18" width="15.7109375" style="0" bestFit="1" customWidth="1"/>
    <col min="19" max="19" width="12.28125" style="0" bestFit="1" customWidth="1"/>
    <col min="20" max="16384" width="11.421875" style="0" customWidth="1"/>
  </cols>
  <sheetData>
    <row r="1" spans="1:18" ht="12.75">
      <c r="A1">
        <v>0</v>
      </c>
      <c r="B1">
        <v>-1</v>
      </c>
      <c r="R1" s="28"/>
    </row>
    <row r="2" spans="1:31" ht="12.75">
      <c r="A2">
        <v>0</v>
      </c>
      <c r="B2">
        <v>-0.95</v>
      </c>
      <c r="K2">
        <v>0</v>
      </c>
      <c r="L2">
        <v>0</v>
      </c>
      <c r="M2">
        <v>0</v>
      </c>
      <c r="N2">
        <v>0</v>
      </c>
      <c r="O2">
        <v>0</v>
      </c>
      <c r="P2">
        <v>0</v>
      </c>
      <c r="Q2">
        <v>0</v>
      </c>
      <c r="R2">
        <v>0</v>
      </c>
      <c r="S2">
        <v>0</v>
      </c>
      <c r="T2">
        <v>0</v>
      </c>
      <c r="U2">
        <v>0</v>
      </c>
      <c r="V2">
        <v>0</v>
      </c>
      <c r="W2">
        <v>0</v>
      </c>
      <c r="X2">
        <v>0</v>
      </c>
      <c r="Y2">
        <v>0</v>
      </c>
      <c r="Z2">
        <v>0</v>
      </c>
      <c r="AA2">
        <v>3.7429680184002604E-05</v>
      </c>
      <c r="AB2">
        <v>0.05865109046284845</v>
      </c>
      <c r="AC2">
        <v>0.5473765149847301</v>
      </c>
      <c r="AD2">
        <v>0.3791439799212584</v>
      </c>
      <c r="AE2">
        <v>0.014790984950979264</v>
      </c>
    </row>
    <row r="3" spans="1:31" ht="12.75">
      <c r="A3">
        <v>0</v>
      </c>
      <c r="B3">
        <v>-0.95</v>
      </c>
      <c r="K3">
        <v>0</v>
      </c>
      <c r="L3">
        <v>0</v>
      </c>
      <c r="M3">
        <v>0</v>
      </c>
      <c r="N3">
        <v>0</v>
      </c>
      <c r="O3">
        <v>0</v>
      </c>
      <c r="P3">
        <v>0</v>
      </c>
      <c r="Q3">
        <v>0</v>
      </c>
      <c r="R3">
        <v>0</v>
      </c>
      <c r="S3">
        <v>0</v>
      </c>
      <c r="T3">
        <v>0</v>
      </c>
      <c r="U3">
        <v>0</v>
      </c>
      <c r="V3">
        <v>0</v>
      </c>
      <c r="W3">
        <v>0</v>
      </c>
      <c r="X3">
        <v>0</v>
      </c>
      <c r="Y3">
        <v>0</v>
      </c>
      <c r="Z3">
        <v>0</v>
      </c>
      <c r="AA3">
        <v>3.742968018400259E-05</v>
      </c>
      <c r="AB3">
        <v>0.058651090462848436</v>
      </c>
      <c r="AC3">
        <v>0.54737651498473</v>
      </c>
      <c r="AD3">
        <v>0.37914397992125837</v>
      </c>
      <c r="AE3">
        <v>0.01479098495097926</v>
      </c>
    </row>
    <row r="4" spans="1:2" ht="12.75">
      <c r="A4">
        <v>0</v>
      </c>
      <c r="B4">
        <v>-0.9</v>
      </c>
    </row>
    <row r="5" spans="1:31" ht="12.75">
      <c r="A5">
        <v>0</v>
      </c>
      <c r="B5">
        <v>-0.9</v>
      </c>
      <c r="K5">
        <v>0</v>
      </c>
      <c r="L5">
        <v>0</v>
      </c>
      <c r="M5">
        <v>0</v>
      </c>
      <c r="N5">
        <v>0</v>
      </c>
      <c r="O5">
        <v>0</v>
      </c>
      <c r="P5">
        <v>0</v>
      </c>
      <c r="Q5">
        <v>0</v>
      </c>
      <c r="R5">
        <v>0</v>
      </c>
      <c r="S5">
        <v>6.237887502414956E-42</v>
      </c>
      <c r="T5">
        <v>1.2939995814658299E-06</v>
      </c>
      <c r="U5">
        <v>0.0011918217965391617</v>
      </c>
      <c r="V5">
        <v>0.04947546237660268</v>
      </c>
      <c r="W5">
        <v>0.30429914242208456</v>
      </c>
      <c r="X5">
        <v>0.4522904406591761</v>
      </c>
      <c r="Y5">
        <v>0.17873726761948963</v>
      </c>
      <c r="Z5">
        <v>0.013920272435836302</v>
      </c>
      <c r="AA5">
        <v>8.429869068988644E-05</v>
      </c>
      <c r="AB5">
        <v>0</v>
      </c>
      <c r="AC5">
        <v>0</v>
      </c>
      <c r="AD5">
        <v>0</v>
      </c>
      <c r="AE5">
        <v>0</v>
      </c>
    </row>
    <row r="6" spans="1:31" ht="12.75">
      <c r="A6">
        <v>0</v>
      </c>
      <c r="B6">
        <v>-0.9</v>
      </c>
      <c r="K6">
        <v>0</v>
      </c>
      <c r="L6">
        <v>0</v>
      </c>
      <c r="M6">
        <v>0</v>
      </c>
      <c r="N6">
        <v>0</v>
      </c>
      <c r="O6">
        <v>0</v>
      </c>
      <c r="P6">
        <v>0</v>
      </c>
      <c r="Q6">
        <v>0</v>
      </c>
      <c r="R6">
        <v>0</v>
      </c>
      <c r="S6">
        <v>0</v>
      </c>
      <c r="T6">
        <v>8.803264382709012E-46</v>
      </c>
      <c r="U6">
        <v>9.236749540007808E-09</v>
      </c>
      <c r="V6">
        <v>0.00011601058604094512</v>
      </c>
      <c r="W6">
        <v>0.019857551518512262</v>
      </c>
      <c r="X6">
        <v>0.2722378648963008</v>
      </c>
      <c r="Y6">
        <v>0.5344815613170726</v>
      </c>
      <c r="Z6">
        <v>0.16765395355224294</v>
      </c>
      <c r="AA6">
        <v>0.0056453969263731895</v>
      </c>
      <c r="AB6">
        <v>7.651966707273447E-06</v>
      </c>
      <c r="AC6">
        <v>0</v>
      </c>
      <c r="AD6">
        <v>0</v>
      </c>
      <c r="AE6">
        <v>0</v>
      </c>
    </row>
    <row r="7" spans="1:2" ht="12.75">
      <c r="A7">
        <v>0</v>
      </c>
      <c r="B7">
        <v>-0.85</v>
      </c>
    </row>
    <row r="8" spans="1:31" ht="12.75">
      <c r="A8">
        <v>0</v>
      </c>
      <c r="B8">
        <v>-0.85</v>
      </c>
      <c r="K8">
        <v>0</v>
      </c>
      <c r="L8">
        <v>0</v>
      </c>
      <c r="M8">
        <v>0</v>
      </c>
      <c r="N8">
        <v>0</v>
      </c>
      <c r="O8">
        <v>0</v>
      </c>
      <c r="P8">
        <v>0</v>
      </c>
      <c r="Q8">
        <v>9.700236453478854E-06</v>
      </c>
      <c r="R8">
        <v>0.0022327081971212173</v>
      </c>
      <c r="S8">
        <v>0.04233570032337566</v>
      </c>
      <c r="T8">
        <v>0.2210855930841209</v>
      </c>
      <c r="U8">
        <v>0.41291673147265945</v>
      </c>
      <c r="V8">
        <v>0.270292363983732</v>
      </c>
      <c r="W8">
        <v>0.04949558765862765</v>
      </c>
      <c r="X8">
        <v>0.0016282435099019999</v>
      </c>
      <c r="Y8">
        <v>3.3715340076348936E-06</v>
      </c>
      <c r="Z8">
        <v>0</v>
      </c>
      <c r="AA8">
        <v>0</v>
      </c>
      <c r="AB8">
        <v>0</v>
      </c>
      <c r="AC8">
        <v>0</v>
      </c>
      <c r="AD8">
        <v>0</v>
      </c>
      <c r="AE8">
        <v>0</v>
      </c>
    </row>
    <row r="9" spans="1:2" ht="12.75">
      <c r="A9">
        <v>0</v>
      </c>
      <c r="B9">
        <v>-0.85</v>
      </c>
    </row>
    <row r="10" spans="1:2" ht="12.75">
      <c r="A10">
        <v>0</v>
      </c>
      <c r="B10">
        <v>-0.85</v>
      </c>
    </row>
    <row r="11" spans="1:2" ht="12.75">
      <c r="A11">
        <v>0</v>
      </c>
      <c r="B11">
        <v>-0.8</v>
      </c>
    </row>
    <row r="12" spans="1:2" ht="12.75">
      <c r="A12">
        <v>0</v>
      </c>
      <c r="B12">
        <v>-0.8</v>
      </c>
    </row>
    <row r="13" spans="1:2" ht="12.75">
      <c r="A13">
        <v>0</v>
      </c>
      <c r="B13">
        <v>-0.8</v>
      </c>
    </row>
    <row r="14" spans="1:2" ht="12.75">
      <c r="A14">
        <v>0</v>
      </c>
      <c r="B14">
        <v>-0.8</v>
      </c>
    </row>
    <row r="15" spans="1:2" ht="12.75">
      <c r="A15">
        <v>0</v>
      </c>
      <c r="B15">
        <v>-0.8</v>
      </c>
    </row>
    <row r="16" spans="1:2" ht="12.75">
      <c r="A16">
        <v>0</v>
      </c>
      <c r="B16">
        <v>-0.75</v>
      </c>
    </row>
    <row r="17" spans="1:2" ht="12.75">
      <c r="A17">
        <v>0</v>
      </c>
      <c r="B17">
        <v>-0.75</v>
      </c>
    </row>
    <row r="18" spans="1:2" ht="12.75">
      <c r="A18">
        <v>0</v>
      </c>
      <c r="B18">
        <v>-0.75</v>
      </c>
    </row>
    <row r="19" spans="1:2" ht="12.75">
      <c r="A19">
        <v>0</v>
      </c>
      <c r="B19">
        <v>-0.75</v>
      </c>
    </row>
    <row r="20" spans="1:2" ht="12.75">
      <c r="A20">
        <v>0</v>
      </c>
      <c r="B20">
        <v>-0.75</v>
      </c>
    </row>
    <row r="21" spans="1:2" ht="12.75">
      <c r="A21">
        <v>0</v>
      </c>
      <c r="B21">
        <v>-0.75</v>
      </c>
    </row>
    <row r="22" spans="1:2" ht="12.75">
      <c r="A22">
        <v>0</v>
      </c>
      <c r="B22">
        <v>-0.7</v>
      </c>
    </row>
    <row r="23" spans="1:2" ht="12.75">
      <c r="A23">
        <v>0</v>
      </c>
      <c r="B23">
        <v>-0.7</v>
      </c>
    </row>
    <row r="24" spans="1:2" ht="12.75">
      <c r="A24">
        <v>0</v>
      </c>
      <c r="B24">
        <v>-0.7</v>
      </c>
    </row>
    <row r="25" spans="1:2" ht="12.75">
      <c r="A25">
        <v>0</v>
      </c>
      <c r="B25">
        <v>-0.7</v>
      </c>
    </row>
    <row r="26" spans="1:2" ht="12.75">
      <c r="A26">
        <v>0</v>
      </c>
      <c r="B26">
        <v>-0.7</v>
      </c>
    </row>
    <row r="27" spans="1:2" ht="12.75">
      <c r="A27">
        <v>0</v>
      </c>
      <c r="B27">
        <v>-0.7</v>
      </c>
    </row>
    <row r="28" spans="1:2" ht="12.75">
      <c r="A28">
        <v>0</v>
      </c>
      <c r="B28">
        <v>-0.7</v>
      </c>
    </row>
    <row r="29" spans="1:2" ht="12.75">
      <c r="A29">
        <v>0</v>
      </c>
      <c r="B29">
        <v>-0.65</v>
      </c>
    </row>
    <row r="30" spans="1:2" ht="12.75">
      <c r="A30">
        <v>0</v>
      </c>
      <c r="B30">
        <v>-0.65</v>
      </c>
    </row>
    <row r="31" spans="1:2" ht="12.75">
      <c r="A31">
        <v>0</v>
      </c>
      <c r="B31">
        <v>-0.65</v>
      </c>
    </row>
    <row r="32" spans="1:2" ht="12.75">
      <c r="A32">
        <v>0</v>
      </c>
      <c r="B32">
        <v>-0.65</v>
      </c>
    </row>
    <row r="33" spans="1:2" ht="12.75">
      <c r="A33">
        <v>0</v>
      </c>
      <c r="B33">
        <v>-0.65</v>
      </c>
    </row>
    <row r="34" spans="1:2" ht="12.75">
      <c r="A34">
        <v>0</v>
      </c>
      <c r="B34">
        <v>-0.65</v>
      </c>
    </row>
    <row r="35" spans="1:2" ht="12.75">
      <c r="A35">
        <v>0</v>
      </c>
      <c r="B35">
        <v>-0.65</v>
      </c>
    </row>
    <row r="36" spans="1:2" ht="12.75">
      <c r="A36">
        <v>0</v>
      </c>
      <c r="B36">
        <v>-0.65</v>
      </c>
    </row>
    <row r="37" spans="1:2" ht="12.75">
      <c r="A37">
        <v>0</v>
      </c>
      <c r="B37">
        <v>-0.6</v>
      </c>
    </row>
    <row r="38" spans="1:2" ht="12.75">
      <c r="A38">
        <v>0</v>
      </c>
      <c r="B38">
        <v>-0.6</v>
      </c>
    </row>
    <row r="39" spans="1:2" ht="12.75">
      <c r="A39">
        <v>0</v>
      </c>
      <c r="B39">
        <v>-0.6</v>
      </c>
    </row>
    <row r="40" spans="1:2" ht="12.75">
      <c r="A40">
        <v>0</v>
      </c>
      <c r="B40">
        <v>-0.6</v>
      </c>
    </row>
    <row r="41" spans="1:2" ht="12.75">
      <c r="A41">
        <v>0</v>
      </c>
      <c r="B41">
        <v>-0.6</v>
      </c>
    </row>
    <row r="42" spans="1:2" ht="12.75">
      <c r="A42">
        <v>0</v>
      </c>
      <c r="B42">
        <v>-0.6</v>
      </c>
    </row>
    <row r="43" spans="1:2" ht="12.75">
      <c r="A43">
        <v>0</v>
      </c>
      <c r="B43">
        <v>-0.6</v>
      </c>
    </row>
    <row r="44" spans="1:2" ht="12.75">
      <c r="A44">
        <v>0</v>
      </c>
      <c r="B44">
        <v>-0.6</v>
      </c>
    </row>
    <row r="45" spans="1:2" ht="12.75">
      <c r="A45">
        <v>0</v>
      </c>
      <c r="B45">
        <v>-0.6</v>
      </c>
    </row>
    <row r="46" spans="1:2" ht="12.75">
      <c r="A46">
        <v>0</v>
      </c>
      <c r="B46">
        <v>-0.55</v>
      </c>
    </row>
    <row r="47" spans="1:2" ht="12.75">
      <c r="A47">
        <v>0</v>
      </c>
      <c r="B47">
        <v>-0.55</v>
      </c>
    </row>
    <row r="48" spans="1:2" ht="12.75">
      <c r="A48">
        <v>0</v>
      </c>
      <c r="B48">
        <v>-0.55</v>
      </c>
    </row>
    <row r="49" spans="1:2" ht="12.75">
      <c r="A49">
        <v>0</v>
      </c>
      <c r="B49">
        <v>-0.55</v>
      </c>
    </row>
    <row r="50" spans="1:2" ht="12.75">
      <c r="A50">
        <v>0</v>
      </c>
      <c r="B50">
        <v>-0.55</v>
      </c>
    </row>
    <row r="51" spans="1:2" ht="12.75">
      <c r="A51">
        <v>0</v>
      </c>
      <c r="B51">
        <v>-0.55</v>
      </c>
    </row>
    <row r="52" spans="1:2" ht="12.75">
      <c r="A52">
        <v>0</v>
      </c>
      <c r="B52">
        <v>-0.55</v>
      </c>
    </row>
    <row r="53" spans="1:2" ht="12.75">
      <c r="A53">
        <v>0</v>
      </c>
      <c r="B53">
        <v>-0.55</v>
      </c>
    </row>
    <row r="54" spans="1:2" ht="12.75">
      <c r="A54">
        <v>0</v>
      </c>
      <c r="B54">
        <v>-0.55</v>
      </c>
    </row>
    <row r="55" spans="1:2" ht="12.75">
      <c r="A55">
        <v>0</v>
      </c>
      <c r="B55">
        <v>-0.55</v>
      </c>
    </row>
    <row r="56" spans="1:2" ht="12.75">
      <c r="A56">
        <v>0</v>
      </c>
      <c r="B56">
        <v>-0.5</v>
      </c>
    </row>
    <row r="57" spans="1:2" ht="12.75">
      <c r="A57">
        <v>0</v>
      </c>
      <c r="B57">
        <v>-0.5</v>
      </c>
    </row>
    <row r="58" spans="1:2" ht="12.75">
      <c r="A58">
        <v>0</v>
      </c>
      <c r="B58">
        <v>-0.5</v>
      </c>
    </row>
    <row r="59" spans="1:2" ht="12.75">
      <c r="A59">
        <v>0</v>
      </c>
      <c r="B59">
        <v>-0.5</v>
      </c>
    </row>
    <row r="60" spans="1:2" ht="12.75">
      <c r="A60">
        <v>0</v>
      </c>
      <c r="B60">
        <v>-0.5</v>
      </c>
    </row>
    <row r="61" spans="1:2" ht="12.75">
      <c r="A61">
        <v>0</v>
      </c>
      <c r="B61">
        <v>-0.5</v>
      </c>
    </row>
    <row r="62" spans="1:2" ht="12.75">
      <c r="A62">
        <v>0</v>
      </c>
      <c r="B62">
        <v>-0.5</v>
      </c>
    </row>
    <row r="63" spans="1:2" ht="12.75">
      <c r="A63">
        <v>0</v>
      </c>
      <c r="B63">
        <v>-0.5</v>
      </c>
    </row>
    <row r="64" spans="1:2" ht="12.75">
      <c r="A64">
        <v>0</v>
      </c>
      <c r="B64">
        <v>-0.5</v>
      </c>
    </row>
    <row r="65" spans="1:2" ht="12.75">
      <c r="A65">
        <v>0</v>
      </c>
      <c r="B65">
        <v>-0.5</v>
      </c>
    </row>
    <row r="66" spans="1:2" ht="12.75">
      <c r="A66">
        <v>0</v>
      </c>
      <c r="B66">
        <v>-0.5</v>
      </c>
    </row>
    <row r="67" spans="1:2" ht="12.75">
      <c r="A67">
        <v>0</v>
      </c>
      <c r="B67">
        <v>-0.45</v>
      </c>
    </row>
    <row r="68" spans="1:2" ht="12.75">
      <c r="A68">
        <v>0</v>
      </c>
      <c r="B68">
        <v>-0.45</v>
      </c>
    </row>
    <row r="69" spans="1:2" ht="12.75">
      <c r="A69">
        <v>0</v>
      </c>
      <c r="B69">
        <v>-0.45</v>
      </c>
    </row>
    <row r="70" spans="1:2" ht="12.75">
      <c r="A70">
        <v>0</v>
      </c>
      <c r="B70">
        <v>-0.45</v>
      </c>
    </row>
    <row r="71" spans="1:2" ht="12.75">
      <c r="A71">
        <v>0</v>
      </c>
      <c r="B71">
        <v>-0.45</v>
      </c>
    </row>
    <row r="72" spans="1:2" ht="12.75">
      <c r="A72">
        <v>0</v>
      </c>
      <c r="B72">
        <v>-0.45</v>
      </c>
    </row>
    <row r="73" spans="1:2" ht="12.75">
      <c r="A73">
        <v>0</v>
      </c>
      <c r="B73">
        <v>-0.45</v>
      </c>
    </row>
    <row r="74" spans="1:2" ht="12.75">
      <c r="A74">
        <v>0</v>
      </c>
      <c r="B74">
        <v>-0.45</v>
      </c>
    </row>
    <row r="75" spans="1:2" ht="12.75">
      <c r="A75">
        <v>0</v>
      </c>
      <c r="B75">
        <v>-0.45</v>
      </c>
    </row>
    <row r="76" spans="1:2" ht="12.75">
      <c r="A76">
        <v>0</v>
      </c>
      <c r="B76">
        <v>-0.45</v>
      </c>
    </row>
    <row r="77" spans="1:2" ht="12.75">
      <c r="A77">
        <v>0</v>
      </c>
      <c r="B77">
        <v>-0.45</v>
      </c>
    </row>
    <row r="78" spans="1:2" ht="12.75">
      <c r="A78">
        <v>0</v>
      </c>
      <c r="B78">
        <v>-0.45</v>
      </c>
    </row>
    <row r="79" spans="1:2" ht="12.75">
      <c r="A79">
        <v>0</v>
      </c>
      <c r="B79">
        <v>-0.4</v>
      </c>
    </row>
    <row r="80" spans="1:2" ht="12.75">
      <c r="A80">
        <v>0</v>
      </c>
      <c r="B80">
        <v>-0.4</v>
      </c>
    </row>
    <row r="81" spans="1:2" ht="12.75">
      <c r="A81">
        <v>0</v>
      </c>
      <c r="B81">
        <v>-0.4</v>
      </c>
    </row>
    <row r="82" spans="1:2" ht="12.75">
      <c r="A82">
        <v>0</v>
      </c>
      <c r="B82">
        <v>-0.4</v>
      </c>
    </row>
    <row r="83" spans="1:2" ht="12.75">
      <c r="A83">
        <v>0</v>
      </c>
      <c r="B83">
        <v>-0.4</v>
      </c>
    </row>
    <row r="84" spans="1:2" ht="12.75">
      <c r="A84">
        <v>0</v>
      </c>
      <c r="B84">
        <v>-0.4</v>
      </c>
    </row>
    <row r="85" spans="1:2" ht="12.75">
      <c r="A85">
        <v>0</v>
      </c>
      <c r="B85">
        <v>-0.4</v>
      </c>
    </row>
    <row r="86" spans="1:2" ht="12.75">
      <c r="A86">
        <v>0</v>
      </c>
      <c r="B86">
        <v>-0.4</v>
      </c>
    </row>
    <row r="87" spans="1:2" ht="12.75">
      <c r="A87">
        <v>0</v>
      </c>
      <c r="B87">
        <v>-0.4</v>
      </c>
    </row>
    <row r="88" spans="1:2" ht="12.75">
      <c r="A88">
        <v>0</v>
      </c>
      <c r="B88">
        <v>-0.4</v>
      </c>
    </row>
    <row r="89" spans="1:2" ht="12.75">
      <c r="A89">
        <v>0</v>
      </c>
      <c r="B89">
        <v>-0.4</v>
      </c>
    </row>
    <row r="90" spans="1:2" ht="12.75">
      <c r="A90">
        <v>0</v>
      </c>
      <c r="B90">
        <v>-0.4</v>
      </c>
    </row>
    <row r="91" spans="1:2" ht="12.75">
      <c r="A91">
        <v>0</v>
      </c>
      <c r="B91">
        <v>-0.4</v>
      </c>
    </row>
    <row r="92" spans="1:2" ht="12.75">
      <c r="A92">
        <v>0</v>
      </c>
      <c r="B92">
        <v>-0.35</v>
      </c>
    </row>
    <row r="93" spans="1:2" ht="12.75">
      <c r="A93">
        <v>0</v>
      </c>
      <c r="B93">
        <v>-0.35</v>
      </c>
    </row>
    <row r="94" spans="1:2" ht="12.75">
      <c r="A94">
        <v>0</v>
      </c>
      <c r="B94">
        <v>-0.35</v>
      </c>
    </row>
    <row r="95" spans="1:2" ht="12.75">
      <c r="A95">
        <v>0</v>
      </c>
      <c r="B95">
        <v>-0.35</v>
      </c>
    </row>
    <row r="96" spans="1:2" ht="12.75">
      <c r="A96">
        <v>0</v>
      </c>
      <c r="B96">
        <v>-0.35</v>
      </c>
    </row>
    <row r="97" spans="1:2" ht="12.75">
      <c r="A97">
        <v>0</v>
      </c>
      <c r="B97">
        <v>-0.35</v>
      </c>
    </row>
    <row r="98" spans="1:6" ht="12.75">
      <c r="A98">
        <v>1.940047290695771E-05</v>
      </c>
      <c r="B98">
        <v>-0.35</v>
      </c>
      <c r="C98">
        <v>9.700236453478854E-06</v>
      </c>
      <c r="D98">
        <v>-0.4</v>
      </c>
      <c r="E98">
        <v>9.700236453478864E-06</v>
      </c>
      <c r="F98">
        <v>-0.3</v>
      </c>
    </row>
    <row r="99" spans="1:2" ht="12.75">
      <c r="A99">
        <v>0</v>
      </c>
      <c r="B99">
        <v>-0.35</v>
      </c>
    </row>
    <row r="100" spans="1:2" ht="12.75">
      <c r="A100">
        <v>0</v>
      </c>
      <c r="B100">
        <v>-0.35</v>
      </c>
    </row>
    <row r="101" spans="1:2" ht="12.75">
      <c r="A101">
        <v>0</v>
      </c>
      <c r="B101">
        <v>-0.35</v>
      </c>
    </row>
    <row r="102" spans="1:2" ht="12.75">
      <c r="A102">
        <v>0</v>
      </c>
      <c r="B102">
        <v>-0.35</v>
      </c>
    </row>
    <row r="103" spans="1:2" ht="12.75">
      <c r="A103">
        <v>0</v>
      </c>
      <c r="B103">
        <v>-0.35</v>
      </c>
    </row>
    <row r="104" spans="1:2" ht="12.75">
      <c r="A104">
        <v>0</v>
      </c>
      <c r="B104">
        <v>-0.35</v>
      </c>
    </row>
    <row r="105" spans="1:2" ht="12.75">
      <c r="A105">
        <v>0</v>
      </c>
      <c r="B105">
        <v>-0.35</v>
      </c>
    </row>
    <row r="106" spans="1:2" ht="12.75">
      <c r="A106">
        <v>0</v>
      </c>
      <c r="B106">
        <v>-0.3</v>
      </c>
    </row>
    <row r="107" spans="1:2" ht="12.75">
      <c r="A107">
        <v>0</v>
      </c>
      <c r="B107">
        <v>-0.3</v>
      </c>
    </row>
    <row r="108" spans="1:2" ht="12.75">
      <c r="A108">
        <v>0</v>
      </c>
      <c r="B108">
        <v>-0.3</v>
      </c>
    </row>
    <row r="109" spans="1:2" ht="12.75">
      <c r="A109">
        <v>0</v>
      </c>
      <c r="B109">
        <v>-0.3</v>
      </c>
    </row>
    <row r="110" spans="1:2" ht="12.75">
      <c r="A110">
        <v>0</v>
      </c>
      <c r="B110">
        <v>-0.3</v>
      </c>
    </row>
    <row r="111" spans="1:2" ht="12.75">
      <c r="A111">
        <v>0</v>
      </c>
      <c r="B111">
        <v>-0.3</v>
      </c>
    </row>
    <row r="112" spans="1:4" ht="12.75">
      <c r="A112">
        <v>0.00028334527460602705</v>
      </c>
      <c r="B112">
        <v>-0.3</v>
      </c>
      <c r="C112">
        <v>0.00028334527460602705</v>
      </c>
      <c r="D112">
        <v>-0.3</v>
      </c>
    </row>
    <row r="113" spans="1:4" ht="12.75">
      <c r="A113">
        <v>0.00015747373466596398</v>
      </c>
      <c r="B113">
        <v>-0.3</v>
      </c>
      <c r="C113">
        <v>0.00015747373466596398</v>
      </c>
      <c r="D113">
        <v>-0.3</v>
      </c>
    </row>
    <row r="114" spans="1:2" ht="12.75">
      <c r="A114">
        <v>0</v>
      </c>
      <c r="B114">
        <v>-0.3</v>
      </c>
    </row>
    <row r="115" spans="1:2" ht="12.75">
      <c r="A115">
        <v>0</v>
      </c>
      <c r="B115">
        <v>-0.3</v>
      </c>
    </row>
    <row r="116" spans="1:2" ht="12.75">
      <c r="A116">
        <v>0</v>
      </c>
      <c r="B116">
        <v>-0.3</v>
      </c>
    </row>
    <row r="117" spans="1:2" ht="12.75">
      <c r="A117">
        <v>0</v>
      </c>
      <c r="B117">
        <v>-0.3</v>
      </c>
    </row>
    <row r="118" spans="1:2" ht="12.75">
      <c r="A118">
        <v>0</v>
      </c>
      <c r="B118">
        <v>-0.3</v>
      </c>
    </row>
    <row r="119" spans="1:2" ht="12.75">
      <c r="A119">
        <v>0</v>
      </c>
      <c r="B119">
        <v>-0.3</v>
      </c>
    </row>
    <row r="120" spans="1:2" ht="12.75">
      <c r="A120">
        <v>0</v>
      </c>
      <c r="B120">
        <v>-0.3</v>
      </c>
    </row>
    <row r="121" spans="1:2" ht="12.75">
      <c r="A121">
        <v>0</v>
      </c>
      <c r="B121">
        <v>-0.25</v>
      </c>
    </row>
    <row r="122" spans="1:2" ht="12.75">
      <c r="A122">
        <v>0</v>
      </c>
      <c r="B122">
        <v>-0.25</v>
      </c>
    </row>
    <row r="123" spans="1:2" ht="12.75">
      <c r="A123">
        <v>0</v>
      </c>
      <c r="B123">
        <v>-0.25</v>
      </c>
    </row>
    <row r="124" spans="1:2" ht="12.75">
      <c r="A124">
        <v>0</v>
      </c>
      <c r="B124">
        <v>-0.25</v>
      </c>
    </row>
    <row r="125" spans="1:2" ht="12.75">
      <c r="A125">
        <v>0</v>
      </c>
      <c r="B125">
        <v>-0.25</v>
      </c>
    </row>
    <row r="126" spans="1:2" ht="12.75">
      <c r="A126">
        <v>0</v>
      </c>
      <c r="B126">
        <v>-0.25</v>
      </c>
    </row>
    <row r="127" spans="1:6" ht="12.75">
      <c r="A127">
        <v>0.0007262943043552582</v>
      </c>
      <c r="B127">
        <v>-0.25</v>
      </c>
      <c r="C127">
        <v>0.00036314715217762903</v>
      </c>
      <c r="D127">
        <v>-0.3</v>
      </c>
      <c r="E127">
        <v>0.00036314715217762903</v>
      </c>
      <c r="F127">
        <v>-0.2</v>
      </c>
    </row>
    <row r="128" spans="1:6" ht="12.75">
      <c r="A128">
        <v>0.002299914997235045</v>
      </c>
      <c r="B128">
        <v>-0.25</v>
      </c>
      <c r="C128">
        <v>0.0011499574986175223</v>
      </c>
      <c r="D128">
        <v>-0.3</v>
      </c>
      <c r="E128">
        <v>0.0011499574986175223</v>
      </c>
      <c r="F128">
        <v>-0.2</v>
      </c>
    </row>
    <row r="129" spans="1:6" ht="12.75">
      <c r="A129">
        <v>0.0005381686012011923</v>
      </c>
      <c r="B129">
        <v>-0.25</v>
      </c>
      <c r="C129">
        <v>0.0002690843006005961</v>
      </c>
      <c r="D129">
        <v>-0.3</v>
      </c>
      <c r="E129">
        <v>0.0002690843006005961</v>
      </c>
      <c r="F129">
        <v>-0.2</v>
      </c>
    </row>
    <row r="130" spans="1:2" ht="12.75">
      <c r="A130">
        <v>0</v>
      </c>
      <c r="B130">
        <v>-0.25</v>
      </c>
    </row>
    <row r="131" spans="1:2" ht="12.75">
      <c r="A131">
        <v>0</v>
      </c>
      <c r="B131">
        <v>-0.25</v>
      </c>
    </row>
    <row r="132" spans="1:2" ht="12.75">
      <c r="A132">
        <v>0</v>
      </c>
      <c r="B132">
        <v>-0.25</v>
      </c>
    </row>
    <row r="133" spans="1:2" ht="12.75">
      <c r="A133">
        <v>0</v>
      </c>
      <c r="B133">
        <v>-0.25</v>
      </c>
    </row>
    <row r="134" spans="1:2" ht="12.75">
      <c r="A134">
        <v>0</v>
      </c>
      <c r="B134">
        <v>-0.25</v>
      </c>
    </row>
    <row r="135" spans="1:2" ht="12.75">
      <c r="A135">
        <v>0</v>
      </c>
      <c r="B135">
        <v>-0.25</v>
      </c>
    </row>
    <row r="136" spans="1:2" ht="12.75">
      <c r="A136">
        <v>0</v>
      </c>
      <c r="B136">
        <v>-0.25</v>
      </c>
    </row>
    <row r="137" spans="1:2" ht="12.75">
      <c r="A137">
        <v>0</v>
      </c>
      <c r="B137">
        <v>-0.2</v>
      </c>
    </row>
    <row r="138" spans="1:2" ht="12.75">
      <c r="A138">
        <v>0</v>
      </c>
      <c r="B138">
        <v>-0.2</v>
      </c>
    </row>
    <row r="139" spans="1:2" ht="12.75">
      <c r="A139">
        <v>0</v>
      </c>
      <c r="B139">
        <v>-0.2</v>
      </c>
    </row>
    <row r="140" spans="1:2" ht="12.75">
      <c r="A140">
        <v>0</v>
      </c>
      <c r="B140">
        <v>-0.2</v>
      </c>
    </row>
    <row r="141" spans="1:2" ht="12.75">
      <c r="A141">
        <v>0</v>
      </c>
      <c r="B141">
        <v>-0.2</v>
      </c>
    </row>
    <row r="142" spans="1:2" ht="12.75">
      <c r="A142">
        <v>0</v>
      </c>
      <c r="B142">
        <v>-0.2</v>
      </c>
    </row>
    <row r="143" spans="1:4" ht="12.75">
      <c r="A143">
        <v>0.0012556096946683645</v>
      </c>
      <c r="B143">
        <v>-0.2</v>
      </c>
      <c r="C143">
        <v>0.0012556096946683645</v>
      </c>
      <c r="D143">
        <v>-0.2</v>
      </c>
    </row>
    <row r="144" spans="1:4" ht="12.75">
      <c r="A144">
        <v>0.005895334465399696</v>
      </c>
      <c r="B144">
        <v>-0.2</v>
      </c>
      <c r="C144">
        <v>0.005895334465399696</v>
      </c>
      <c r="D144">
        <v>-0.2</v>
      </c>
    </row>
    <row r="145" spans="1:4" ht="12.75">
      <c r="A145">
        <v>0.007859990363276443</v>
      </c>
      <c r="B145">
        <v>-0.2</v>
      </c>
      <c r="C145">
        <v>0.007859990363276443</v>
      </c>
      <c r="D145">
        <v>-0.2</v>
      </c>
    </row>
    <row r="146" spans="1:4" ht="12.75">
      <c r="A146">
        <v>0.0010976316218631248</v>
      </c>
      <c r="B146">
        <v>-0.2</v>
      </c>
      <c r="C146">
        <v>0.0010976316218631248</v>
      </c>
      <c r="D146">
        <v>-0.2</v>
      </c>
    </row>
    <row r="147" spans="1:2" ht="12.75">
      <c r="A147">
        <v>0</v>
      </c>
      <c r="B147">
        <v>-0.2</v>
      </c>
    </row>
    <row r="148" spans="1:2" ht="12.75">
      <c r="A148">
        <v>0</v>
      </c>
      <c r="B148">
        <v>-0.2</v>
      </c>
    </row>
    <row r="149" spans="1:2" ht="12.75">
      <c r="A149">
        <v>0</v>
      </c>
      <c r="B149">
        <v>-0.2</v>
      </c>
    </row>
    <row r="150" spans="1:2" ht="12.75">
      <c r="A150">
        <v>0</v>
      </c>
      <c r="B150">
        <v>-0.2</v>
      </c>
    </row>
    <row r="151" spans="1:2" ht="12.75">
      <c r="A151">
        <v>0</v>
      </c>
      <c r="B151">
        <v>-0.2</v>
      </c>
    </row>
    <row r="152" spans="1:2" ht="12.75">
      <c r="A152">
        <v>0</v>
      </c>
      <c r="B152">
        <v>-0.2</v>
      </c>
    </row>
    <row r="153" spans="1:2" ht="12.75">
      <c r="A153">
        <v>0</v>
      </c>
      <c r="B153">
        <v>-0.2</v>
      </c>
    </row>
    <row r="154" spans="1:2" ht="12.75">
      <c r="A154">
        <v>0</v>
      </c>
      <c r="B154">
        <v>-0.15</v>
      </c>
    </row>
    <row r="155" spans="1:2" ht="12.75">
      <c r="A155">
        <v>0</v>
      </c>
      <c r="B155">
        <v>-0.15</v>
      </c>
    </row>
    <row r="156" spans="1:2" ht="12.75">
      <c r="A156">
        <v>0</v>
      </c>
      <c r="B156">
        <v>-0.15</v>
      </c>
    </row>
    <row r="157" spans="1:2" ht="12.75">
      <c r="A157">
        <v>0</v>
      </c>
      <c r="B157">
        <v>-0.15</v>
      </c>
    </row>
    <row r="158" spans="1:2" ht="12.75">
      <c r="A158">
        <v>0</v>
      </c>
      <c r="B158">
        <v>-0.15</v>
      </c>
    </row>
    <row r="159" spans="1:2" ht="12.75">
      <c r="A159">
        <v>0</v>
      </c>
      <c r="B159">
        <v>-0.15</v>
      </c>
    </row>
    <row r="160" spans="1:6" ht="12.75">
      <c r="A160">
        <v>0.0009971142481927477</v>
      </c>
      <c r="B160">
        <v>-0.15</v>
      </c>
      <c r="C160">
        <v>0.0004985571240963738</v>
      </c>
      <c r="D160">
        <v>-0.2</v>
      </c>
      <c r="E160">
        <v>0.000498557124096374</v>
      </c>
      <c r="F160">
        <v>-0.1</v>
      </c>
    </row>
    <row r="161" spans="1:6" ht="12.75">
      <c r="A161">
        <v>0.010191790109987811</v>
      </c>
      <c r="B161">
        <v>-0.15</v>
      </c>
      <c r="C161">
        <v>0.005095895054993905</v>
      </c>
      <c r="D161">
        <v>-0.2</v>
      </c>
      <c r="E161">
        <v>0.005095895054993907</v>
      </c>
      <c r="F161">
        <v>-0.1</v>
      </c>
    </row>
    <row r="162" spans="1:6" ht="12.75">
      <c r="A162">
        <v>0.02014738463901479</v>
      </c>
      <c r="B162">
        <v>-0.15</v>
      </c>
      <c r="C162">
        <v>0.010073692319507393</v>
      </c>
      <c r="D162">
        <v>-0.2</v>
      </c>
      <c r="E162">
        <v>0.010073692319507397</v>
      </c>
      <c r="F162">
        <v>-0.1</v>
      </c>
    </row>
    <row r="163" spans="1:6" ht="12.75">
      <c r="A163">
        <v>0.016030987224106636</v>
      </c>
      <c r="B163">
        <v>-0.15</v>
      </c>
      <c r="C163">
        <v>0.008015493612053316</v>
      </c>
      <c r="D163">
        <v>-0.2</v>
      </c>
      <c r="E163">
        <v>0.00801549361205332</v>
      </c>
      <c r="F163">
        <v>-0.1</v>
      </c>
    </row>
    <row r="164" spans="1:6" ht="12.75">
      <c r="A164">
        <v>0.0015226142322426078</v>
      </c>
      <c r="B164">
        <v>-0.15</v>
      </c>
      <c r="C164">
        <v>0.0007613071161213037</v>
      </c>
      <c r="D164">
        <v>-0.2</v>
      </c>
      <c r="E164">
        <v>0.0007613071161213041</v>
      </c>
      <c r="F164">
        <v>-0.1</v>
      </c>
    </row>
    <row r="165" spans="1:2" ht="12.75">
      <c r="A165">
        <v>0</v>
      </c>
      <c r="B165">
        <v>-0.15</v>
      </c>
    </row>
    <row r="166" spans="1:2" ht="12.75">
      <c r="A166">
        <v>0</v>
      </c>
      <c r="B166">
        <v>-0.15</v>
      </c>
    </row>
    <row r="167" spans="1:2" ht="12.75">
      <c r="A167">
        <v>0</v>
      </c>
      <c r="B167">
        <v>-0.15</v>
      </c>
    </row>
    <row r="168" spans="1:2" ht="12.75">
      <c r="A168">
        <v>0</v>
      </c>
      <c r="B168">
        <v>-0.15</v>
      </c>
    </row>
    <row r="169" spans="1:2" ht="12.75">
      <c r="A169">
        <v>0</v>
      </c>
      <c r="B169">
        <v>-0.15</v>
      </c>
    </row>
    <row r="170" spans="1:2" ht="12.75">
      <c r="A170">
        <v>0</v>
      </c>
      <c r="B170">
        <v>-0.15</v>
      </c>
    </row>
    <row r="171" spans="1:2" ht="12.75">
      <c r="A171">
        <v>0</v>
      </c>
      <c r="B171">
        <v>-0.15</v>
      </c>
    </row>
    <row r="172" spans="1:2" ht="12.75">
      <c r="A172">
        <v>0</v>
      </c>
      <c r="B172">
        <v>-0.1</v>
      </c>
    </row>
    <row r="173" spans="1:2" ht="12.75">
      <c r="A173">
        <v>0</v>
      </c>
      <c r="B173">
        <v>-0.1</v>
      </c>
    </row>
    <row r="174" spans="1:2" ht="12.75">
      <c r="A174">
        <v>0</v>
      </c>
      <c r="B174">
        <v>-0.1</v>
      </c>
    </row>
    <row r="175" spans="1:2" ht="12.75">
      <c r="A175">
        <v>0</v>
      </c>
      <c r="B175">
        <v>-0.1</v>
      </c>
    </row>
    <row r="176" spans="1:2" ht="12.75">
      <c r="A176">
        <v>0</v>
      </c>
      <c r="B176">
        <v>-0.1</v>
      </c>
    </row>
    <row r="177" spans="1:2" ht="12.75">
      <c r="A177">
        <v>0</v>
      </c>
      <c r="B177">
        <v>-0.1</v>
      </c>
    </row>
    <row r="178" spans="1:4" ht="12.75">
      <c r="A178">
        <v>0.00016182862054320212</v>
      </c>
      <c r="B178">
        <v>-0.1</v>
      </c>
      <c r="C178">
        <v>0.00016182862054320212</v>
      </c>
      <c r="D178">
        <v>-0.1</v>
      </c>
    </row>
    <row r="179" spans="1:4" ht="12.75">
      <c r="A179">
        <v>0.008093581290755244</v>
      </c>
      <c r="B179">
        <v>-0.1</v>
      </c>
      <c r="C179">
        <v>0.008093581290755244</v>
      </c>
      <c r="D179">
        <v>-0.1</v>
      </c>
    </row>
    <row r="180" spans="1:4" ht="12.75">
      <c r="A180">
        <v>0.03483057945417345</v>
      </c>
      <c r="B180">
        <v>-0.1</v>
      </c>
      <c r="C180">
        <v>0.03483057945417345</v>
      </c>
      <c r="D180">
        <v>-0.1</v>
      </c>
    </row>
    <row r="181" spans="1:4" ht="12.75">
      <c r="A181">
        <v>0.04109196714238373</v>
      </c>
      <c r="B181">
        <v>-0.1</v>
      </c>
      <c r="C181">
        <v>0.04109196714238373</v>
      </c>
      <c r="D181">
        <v>-0.1</v>
      </c>
    </row>
    <row r="182" spans="1:4" ht="12.75">
      <c r="A182">
        <v>0.02223788821143128</v>
      </c>
      <c r="B182">
        <v>-0.1</v>
      </c>
      <c r="C182">
        <v>0.02223788821143128</v>
      </c>
      <c r="D182">
        <v>-0.1</v>
      </c>
    </row>
    <row r="183" spans="1:4" ht="12.75">
      <c r="A183">
        <v>0.0013683229565618145</v>
      </c>
      <c r="B183">
        <v>-0.1</v>
      </c>
      <c r="C183">
        <v>0.0013683229565618145</v>
      </c>
      <c r="D183">
        <v>-0.1</v>
      </c>
    </row>
    <row r="184" spans="1:2" ht="12.75">
      <c r="A184">
        <v>0</v>
      </c>
      <c r="B184">
        <v>-0.1</v>
      </c>
    </row>
    <row r="185" spans="1:2" ht="12.75">
      <c r="A185">
        <v>0</v>
      </c>
      <c r="B185">
        <v>-0.1</v>
      </c>
    </row>
    <row r="186" spans="1:2" ht="12.75">
      <c r="A186">
        <v>0</v>
      </c>
      <c r="B186">
        <v>-0.1</v>
      </c>
    </row>
    <row r="187" spans="1:2" ht="12.75">
      <c r="A187">
        <v>0</v>
      </c>
      <c r="B187">
        <v>-0.1</v>
      </c>
    </row>
    <row r="188" spans="1:2" ht="12.75">
      <c r="A188">
        <v>0</v>
      </c>
      <c r="B188">
        <v>-0.1</v>
      </c>
    </row>
    <row r="189" spans="1:2" ht="12.75">
      <c r="A189">
        <v>0</v>
      </c>
      <c r="B189">
        <v>-0.1</v>
      </c>
    </row>
    <row r="190" spans="1:8" ht="12.75">
      <c r="A190">
        <v>0</v>
      </c>
      <c r="B190">
        <v>-0.1</v>
      </c>
      <c r="G190" s="27"/>
      <c r="H190" s="27"/>
    </row>
    <row r="191" spans="1:6" ht="12.75">
      <c r="A191">
        <v>0.0013135637143999609</v>
      </c>
      <c r="B191">
        <v>-0.05000000000000014</v>
      </c>
      <c r="C191">
        <v>0.0006567818571999822</v>
      </c>
      <c r="D191">
        <v>-0.1</v>
      </c>
      <c r="E191">
        <v>0.0006567818571999786</v>
      </c>
      <c r="F191">
        <v>0</v>
      </c>
    </row>
    <row r="192" spans="1:6" ht="12.75">
      <c r="A192">
        <v>0.027659922660711007</v>
      </c>
      <c r="B192">
        <v>-0.05000000000000014</v>
      </c>
      <c r="C192">
        <v>0.01382996133035554</v>
      </c>
      <c r="D192">
        <v>-0.1</v>
      </c>
      <c r="E192">
        <v>0.013829961330355465</v>
      </c>
      <c r="F192">
        <v>0</v>
      </c>
    </row>
    <row r="193" spans="1:6" ht="12.75">
      <c r="A193">
        <v>0.07103934590644069</v>
      </c>
      <c r="B193">
        <v>-0.05000000000000014</v>
      </c>
      <c r="C193">
        <v>0.03551967295322044</v>
      </c>
      <c r="D193">
        <v>-0.1</v>
      </c>
      <c r="E193">
        <v>0.03551967295322025</v>
      </c>
      <c r="F193">
        <v>0</v>
      </c>
    </row>
    <row r="194" spans="1:6" ht="12.75">
      <c r="A194">
        <v>0.05700201484322874</v>
      </c>
      <c r="B194">
        <v>-0.05000000000000014</v>
      </c>
      <c r="C194">
        <v>0.028501007421614447</v>
      </c>
      <c r="D194">
        <v>-0.1</v>
      </c>
      <c r="E194">
        <v>0.02850100742161429</v>
      </c>
      <c r="F194">
        <v>0</v>
      </c>
    </row>
    <row r="195" spans="1:6" ht="12.75">
      <c r="A195">
        <v>0.01998445325204893</v>
      </c>
      <c r="B195">
        <v>-0.05000000000000014</v>
      </c>
      <c r="C195">
        <v>0.00999222662602449</v>
      </c>
      <c r="D195">
        <v>-0.1</v>
      </c>
      <c r="E195">
        <v>0.009992226626024437</v>
      </c>
      <c r="F195">
        <v>0</v>
      </c>
    </row>
    <row r="196" spans="1:6" ht="12.75">
      <c r="A196">
        <v>0.0007136599861698736</v>
      </c>
      <c r="B196">
        <v>-0.05000000000000014</v>
      </c>
      <c r="C196">
        <v>0.00035682999308493776</v>
      </c>
      <c r="D196">
        <v>-0.1</v>
      </c>
      <c r="E196">
        <v>0.0003568299930849358</v>
      </c>
      <c r="F196">
        <v>0</v>
      </c>
    </row>
    <row r="197" spans="1:2" ht="12.75">
      <c r="A197">
        <v>0</v>
      </c>
      <c r="B197">
        <v>-0.05000000000000013</v>
      </c>
    </row>
    <row r="198" spans="1:2" ht="12.75">
      <c r="A198">
        <v>0</v>
      </c>
      <c r="B198">
        <v>-0.05000000000000013</v>
      </c>
    </row>
    <row r="199" spans="1:2" ht="12.75">
      <c r="A199">
        <v>0</v>
      </c>
      <c r="B199">
        <v>-0.0500000000000001</v>
      </c>
    </row>
    <row r="200" spans="1:2" ht="12.75">
      <c r="A200">
        <v>0</v>
      </c>
      <c r="B200">
        <v>-0.0500000000000001</v>
      </c>
    </row>
    <row r="201" spans="1:2" ht="12.75">
      <c r="A201">
        <v>0</v>
      </c>
      <c r="B201">
        <v>-0.0500000000000001</v>
      </c>
    </row>
    <row r="202" spans="1:2" ht="12.75">
      <c r="A202">
        <v>0</v>
      </c>
      <c r="B202">
        <v>-0.0500000000000001</v>
      </c>
    </row>
    <row r="203" spans="1:2" ht="12.75">
      <c r="A203">
        <v>0</v>
      </c>
      <c r="B203">
        <v>-0.0500000000000001</v>
      </c>
    </row>
    <row r="204" spans="1:2" ht="12.75">
      <c r="A204">
        <v>0</v>
      </c>
      <c r="B204">
        <v>-0.0500000000000001</v>
      </c>
    </row>
    <row r="205" spans="1:2" ht="12.75">
      <c r="A205">
        <v>0</v>
      </c>
      <c r="B205">
        <v>-0.0500000000000001</v>
      </c>
    </row>
    <row r="206" spans="1:2" ht="12.75">
      <c r="A206">
        <v>0</v>
      </c>
      <c r="B206">
        <v>-0.0500000000000001</v>
      </c>
    </row>
    <row r="207" spans="1:2" ht="12.75">
      <c r="A207">
        <v>0</v>
      </c>
      <c r="B207">
        <v>-0.0500000000000001</v>
      </c>
    </row>
    <row r="208" spans="1:2" ht="12.75">
      <c r="A208">
        <v>0</v>
      </c>
      <c r="B208">
        <v>-0.0500000000000001</v>
      </c>
    </row>
    <row r="209" spans="1:2" ht="12.75">
      <c r="A209">
        <v>0</v>
      </c>
      <c r="B209">
        <v>-0.0500000000000001</v>
      </c>
    </row>
    <row r="210" spans="1:2" ht="12.75">
      <c r="A210">
        <v>0</v>
      </c>
      <c r="B210">
        <v>-0.0500000000000001</v>
      </c>
    </row>
    <row r="211" spans="1:2" ht="12.75">
      <c r="A211">
        <v>0</v>
      </c>
      <c r="B211">
        <v>-1.3877787807814457E-16</v>
      </c>
    </row>
    <row r="212" spans="1:4" ht="12.75">
      <c r="A212">
        <v>0.004489121619340506</v>
      </c>
      <c r="B212">
        <v>0</v>
      </c>
      <c r="C212">
        <v>0.004489121619340506</v>
      </c>
      <c r="D212">
        <v>0</v>
      </c>
    </row>
    <row r="213" spans="1:4" ht="12.75">
      <c r="A213">
        <v>0.05641430158303624</v>
      </c>
      <c r="B213">
        <v>0</v>
      </c>
      <c r="C213">
        <v>0.05641430158303624</v>
      </c>
      <c r="D213">
        <v>0</v>
      </c>
    </row>
    <row r="214" spans="1:4" ht="12.75">
      <c r="A214">
        <v>0.09854446334440657</v>
      </c>
      <c r="B214">
        <v>0</v>
      </c>
      <c r="C214">
        <v>0.09854446334440657</v>
      </c>
      <c r="D214">
        <v>0</v>
      </c>
    </row>
    <row r="215" spans="1:4" ht="12.75">
      <c r="A215">
        <v>0.05122582189803109</v>
      </c>
      <c r="B215">
        <v>0</v>
      </c>
      <c r="C215">
        <v>0.05122582189803109</v>
      </c>
      <c r="D215">
        <v>0</v>
      </c>
    </row>
    <row r="216" spans="1:4" ht="12.75">
      <c r="A216">
        <v>0.010423054413488845</v>
      </c>
      <c r="B216">
        <v>0</v>
      </c>
      <c r="C216">
        <v>0.010423054413488845</v>
      </c>
      <c r="D216">
        <v>0</v>
      </c>
    </row>
    <row r="217" spans="1:4" ht="12.75">
      <c r="A217">
        <v>0.00019369578834957667</v>
      </c>
      <c r="B217">
        <v>0</v>
      </c>
      <c r="C217">
        <v>0.00019369578834957667</v>
      </c>
      <c r="D217">
        <v>0</v>
      </c>
    </row>
    <row r="218" spans="1:2" ht="12.75">
      <c r="A218">
        <v>0</v>
      </c>
      <c r="B218">
        <v>-1.1102230246251565E-16</v>
      </c>
    </row>
    <row r="219" spans="1:2" ht="12.75">
      <c r="A219">
        <v>0</v>
      </c>
      <c r="B219">
        <v>-1.1102230246251565E-16</v>
      </c>
    </row>
    <row r="220" spans="1:2" ht="12.75">
      <c r="A220">
        <v>0</v>
      </c>
      <c r="B220">
        <v>-1.1102230246251565E-16</v>
      </c>
    </row>
    <row r="221" spans="1:2" ht="12.75">
      <c r="A221">
        <v>0</v>
      </c>
      <c r="B221">
        <v>-1.1102230246251565E-16</v>
      </c>
    </row>
    <row r="222" spans="1:2" ht="12.75">
      <c r="A222">
        <v>0</v>
      </c>
      <c r="B222">
        <v>-1.1102230246251565E-16</v>
      </c>
    </row>
    <row r="223" spans="1:2" ht="12.75">
      <c r="A223">
        <v>0</v>
      </c>
      <c r="B223">
        <v>-1.1102230246251565E-16</v>
      </c>
    </row>
    <row r="224" spans="1:2" ht="12.75">
      <c r="A224">
        <v>0</v>
      </c>
      <c r="B224">
        <v>-1.1102230246251565E-16</v>
      </c>
    </row>
    <row r="225" spans="1:2" ht="12.75">
      <c r="A225">
        <v>0</v>
      </c>
      <c r="B225">
        <v>-1.1102230246251565E-16</v>
      </c>
    </row>
    <row r="226" spans="1:2" ht="12.75">
      <c r="A226">
        <v>0</v>
      </c>
      <c r="B226">
        <v>-1.1102230246251565E-16</v>
      </c>
    </row>
    <row r="227" spans="1:2" ht="12.75">
      <c r="A227">
        <v>0</v>
      </c>
      <c r="B227">
        <v>-1.1102230246251565E-16</v>
      </c>
    </row>
    <row r="228" spans="1:2" ht="12.75">
      <c r="A228">
        <v>0</v>
      </c>
      <c r="B228">
        <v>-1.1102230246251565E-16</v>
      </c>
    </row>
    <row r="229" spans="1:2" ht="12.75">
      <c r="A229">
        <v>0</v>
      </c>
      <c r="B229">
        <v>-1.1102230246251565E-16</v>
      </c>
    </row>
    <row r="230" spans="1:2" ht="12.75">
      <c r="A230">
        <v>0</v>
      </c>
      <c r="B230">
        <v>-1.1102230246251565E-16</v>
      </c>
    </row>
    <row r="231" spans="1:2" ht="12.75">
      <c r="A231">
        <v>0</v>
      </c>
      <c r="B231">
        <v>-1.1102230246251565E-16</v>
      </c>
    </row>
    <row r="232" spans="1:2" ht="12.75">
      <c r="A232">
        <v>0</v>
      </c>
      <c r="B232">
        <v>0.049999999999999864</v>
      </c>
    </row>
    <row r="233" spans="1:6" ht="12.75">
      <c r="A233">
        <v>0.00915587017298961</v>
      </c>
      <c r="B233">
        <v>0.049999999999999864</v>
      </c>
      <c r="C233">
        <v>0.004577935086494817</v>
      </c>
      <c r="D233">
        <v>0</v>
      </c>
      <c r="E233">
        <v>0.004577935086494792</v>
      </c>
      <c r="F233">
        <v>0.1</v>
      </c>
    </row>
    <row r="234" spans="1:6" ht="12.75">
      <c r="A234">
        <v>0.07825687305414483</v>
      </c>
      <c r="B234">
        <v>0.049999999999999864</v>
      </c>
      <c r="C234">
        <v>0.03912843652707252</v>
      </c>
      <c r="D234">
        <v>0</v>
      </c>
      <c r="E234">
        <v>0.039128436527072305</v>
      </c>
      <c r="F234">
        <v>0.1</v>
      </c>
    </row>
    <row r="235" spans="1:6" ht="12.75">
      <c r="A235">
        <v>0.08855864379883896</v>
      </c>
      <c r="B235">
        <v>0.049999999999999864</v>
      </c>
      <c r="C235">
        <v>0.0442793218994196</v>
      </c>
      <c r="D235">
        <v>0</v>
      </c>
      <c r="E235">
        <v>0.044279321899419355</v>
      </c>
      <c r="F235">
        <v>0.1</v>
      </c>
    </row>
    <row r="236" spans="1:6" ht="12.75">
      <c r="A236">
        <v>0.026717244764458328</v>
      </c>
      <c r="B236">
        <v>0.049999999999999864</v>
      </c>
      <c r="C236">
        <v>0.0133586223822292</v>
      </c>
      <c r="D236">
        <v>0</v>
      </c>
      <c r="E236">
        <v>0.013358622382229127</v>
      </c>
      <c r="F236">
        <v>0.1</v>
      </c>
    </row>
    <row r="237" spans="1:6" ht="12.75">
      <c r="A237">
        <v>0.0028289406450632834</v>
      </c>
      <c r="B237">
        <v>0.049999999999999864</v>
      </c>
      <c r="C237">
        <v>0.0014144703225316454</v>
      </c>
      <c r="D237">
        <v>0</v>
      </c>
      <c r="E237">
        <v>0.0014144703225316378</v>
      </c>
      <c r="F237">
        <v>0.1</v>
      </c>
    </row>
    <row r="238" spans="1:2" ht="12.75">
      <c r="A238">
        <v>0</v>
      </c>
      <c r="B238">
        <v>0.04999999999999988</v>
      </c>
    </row>
    <row r="239" spans="1:2" ht="12.75">
      <c r="A239">
        <v>0</v>
      </c>
      <c r="B239">
        <v>0.04999999999999988</v>
      </c>
    </row>
    <row r="240" spans="1:2" ht="12.75">
      <c r="A240">
        <v>0</v>
      </c>
      <c r="B240">
        <v>0.04999999999999988</v>
      </c>
    </row>
    <row r="241" spans="1:2" ht="12.75">
      <c r="A241">
        <v>0</v>
      </c>
      <c r="B241">
        <v>0.04999999999999988</v>
      </c>
    </row>
    <row r="242" spans="1:2" ht="12.75">
      <c r="A242">
        <v>0</v>
      </c>
      <c r="B242">
        <v>0.04999999999999988</v>
      </c>
    </row>
    <row r="243" spans="1:2" ht="12.75">
      <c r="A243">
        <v>0</v>
      </c>
      <c r="B243">
        <v>0.04999999999999988</v>
      </c>
    </row>
    <row r="244" spans="1:2" ht="12.75">
      <c r="A244">
        <v>0</v>
      </c>
      <c r="B244">
        <v>0.04999999999999988</v>
      </c>
    </row>
    <row r="245" spans="1:6" ht="12.75">
      <c r="A245">
        <v>2.2012853518541138E-05</v>
      </c>
      <c r="B245">
        <v>0.04999999999999988</v>
      </c>
      <c r="C245">
        <v>1.1006426759270596E-05</v>
      </c>
      <c r="D245">
        <v>0</v>
      </c>
      <c r="E245">
        <v>1.1006426759270542E-05</v>
      </c>
      <c r="F245">
        <v>0.1</v>
      </c>
    </row>
    <row r="246" spans="1:2" ht="12.75">
      <c r="A246">
        <v>0</v>
      </c>
      <c r="B246">
        <v>0.04999999999999988</v>
      </c>
    </row>
    <row r="247" spans="1:2" ht="12.75">
      <c r="A247">
        <v>0</v>
      </c>
      <c r="B247">
        <v>0.04999999999999988</v>
      </c>
    </row>
    <row r="248" spans="1:2" ht="12.75">
      <c r="A248">
        <v>0</v>
      </c>
      <c r="B248">
        <v>0.04999999999999988</v>
      </c>
    </row>
    <row r="249" spans="1:2" ht="12.75">
      <c r="A249">
        <v>0</v>
      </c>
      <c r="B249">
        <v>0.04999999999999988</v>
      </c>
    </row>
    <row r="250" spans="1:2" ht="12.75">
      <c r="A250">
        <v>0</v>
      </c>
      <c r="B250">
        <v>0.04999999999999988</v>
      </c>
    </row>
    <row r="251" spans="1:2" ht="12.75">
      <c r="A251">
        <v>0</v>
      </c>
      <c r="B251">
        <v>0.04999999999999988</v>
      </c>
    </row>
    <row r="252" spans="1:2" ht="12.75">
      <c r="A252">
        <v>0</v>
      </c>
      <c r="B252">
        <v>0.09999999999999987</v>
      </c>
    </row>
    <row r="253" spans="1:2" ht="12.75">
      <c r="A253">
        <v>0</v>
      </c>
      <c r="B253">
        <v>0.09999999999999987</v>
      </c>
    </row>
    <row r="254" spans="1:2" ht="12.75">
      <c r="A254">
        <v>0</v>
      </c>
      <c r="B254">
        <v>0.09999999999999987</v>
      </c>
    </row>
    <row r="255" spans="1:2" ht="12.75">
      <c r="A255">
        <v>0</v>
      </c>
      <c r="B255">
        <v>0.09999999999999987</v>
      </c>
    </row>
    <row r="256" spans="1:2" ht="12.75">
      <c r="A256">
        <v>0</v>
      </c>
      <c r="B256">
        <v>0.09999999999999987</v>
      </c>
    </row>
    <row r="257" spans="1:2" ht="12.75">
      <c r="A257">
        <v>0</v>
      </c>
      <c r="B257">
        <v>0.09999999999999987</v>
      </c>
    </row>
    <row r="258" spans="1:2" ht="12.75">
      <c r="A258">
        <v>0</v>
      </c>
      <c r="B258">
        <v>0.09999999999999987</v>
      </c>
    </row>
    <row r="259" spans="1:6" ht="12.75">
      <c r="A259">
        <v>0.012700853324812465</v>
      </c>
      <c r="B259">
        <v>0.09999999999999987</v>
      </c>
      <c r="C259">
        <v>1.7625974741992213E-17</v>
      </c>
      <c r="D259">
        <v>0</v>
      </c>
      <c r="E259">
        <v>0.012700853324812448</v>
      </c>
      <c r="F259">
        <v>0.1</v>
      </c>
    </row>
    <row r="260" spans="1:6" ht="12.75">
      <c r="A260">
        <v>0.07032685866269257</v>
      </c>
      <c r="B260">
        <v>0.09999999999999987</v>
      </c>
      <c r="C260">
        <v>9.759812217110055E-17</v>
      </c>
      <c r="D260">
        <v>0</v>
      </c>
      <c r="E260">
        <v>0.07032685866269248</v>
      </c>
      <c r="F260">
        <v>0.1</v>
      </c>
    </row>
    <row r="261" spans="1:6" ht="12.75">
      <c r="A261">
        <v>0.04618848218954591</v>
      </c>
      <c r="B261">
        <v>0.09999999999999987</v>
      </c>
      <c r="C261">
        <v>6.409939549915354E-17</v>
      </c>
      <c r="D261">
        <v>0</v>
      </c>
      <c r="E261">
        <v>0.04618848218954585</v>
      </c>
      <c r="F261">
        <v>0.1</v>
      </c>
    </row>
    <row r="262" spans="1:6" ht="12.75">
      <c r="A262">
        <v>0.007251377248925005</v>
      </c>
      <c r="B262">
        <v>0.09999999999999987</v>
      </c>
      <c r="C262">
        <v>1.0063307477499457E-17</v>
      </c>
      <c r="D262">
        <v>0</v>
      </c>
      <c r="E262">
        <v>0.007251377248924996</v>
      </c>
      <c r="F262">
        <v>0.1</v>
      </c>
    </row>
    <row r="263" spans="1:6" ht="12.75">
      <c r="A263">
        <v>8.083780724380024E-07</v>
      </c>
      <c r="B263">
        <v>0.09999999999999987</v>
      </c>
      <c r="C263">
        <v>1.121849935778466E-21</v>
      </c>
      <c r="D263">
        <v>0</v>
      </c>
      <c r="E263">
        <v>8.083780724380013E-07</v>
      </c>
      <c r="F263">
        <v>0.1</v>
      </c>
    </row>
    <row r="264" spans="1:2" ht="12.75">
      <c r="A264">
        <v>0</v>
      </c>
      <c r="B264">
        <v>0.09999999999999987</v>
      </c>
    </row>
    <row r="265" spans="1:2" ht="12.75">
      <c r="A265">
        <v>0</v>
      </c>
      <c r="B265">
        <v>0.09999999999999987</v>
      </c>
    </row>
    <row r="266" spans="1:2" ht="12.75">
      <c r="A266">
        <v>0</v>
      </c>
      <c r="B266">
        <v>0.09999999999999987</v>
      </c>
    </row>
    <row r="267" spans="1:2" ht="12.75">
      <c r="A267">
        <v>0</v>
      </c>
      <c r="B267">
        <v>0.09999999999999987</v>
      </c>
    </row>
    <row r="268" spans="1:2" ht="12.75">
      <c r="A268">
        <v>0</v>
      </c>
      <c r="B268">
        <v>0.09999999999999987</v>
      </c>
    </row>
    <row r="269" spans="1:2" ht="12.75">
      <c r="A269">
        <v>0</v>
      </c>
      <c r="B269">
        <v>0.09999999999999988</v>
      </c>
    </row>
    <row r="270" spans="1:6" ht="12.75">
      <c r="A270">
        <v>0.0003214992776200001</v>
      </c>
      <c r="B270">
        <v>0.09999999999999988</v>
      </c>
      <c r="C270">
        <v>4.0155288796583935E-19</v>
      </c>
      <c r="D270">
        <v>0</v>
      </c>
      <c r="E270">
        <v>0.00032149927761999974</v>
      </c>
      <c r="F270">
        <v>0.1</v>
      </c>
    </row>
    <row r="271" spans="1:2" ht="12.75">
      <c r="A271">
        <v>0</v>
      </c>
      <c r="B271">
        <v>0.15</v>
      </c>
    </row>
    <row r="272" spans="1:2" ht="12.75">
      <c r="A272">
        <v>0</v>
      </c>
      <c r="B272">
        <v>0.15</v>
      </c>
    </row>
    <row r="273" spans="1:2" ht="12.75">
      <c r="A273">
        <v>0</v>
      </c>
      <c r="B273">
        <v>0.15</v>
      </c>
    </row>
    <row r="274" spans="1:2" ht="12.75">
      <c r="A274">
        <v>0</v>
      </c>
      <c r="B274">
        <v>0.15</v>
      </c>
    </row>
    <row r="275" spans="1:2" ht="12.75">
      <c r="A275">
        <v>0</v>
      </c>
      <c r="B275">
        <v>0.15</v>
      </c>
    </row>
    <row r="276" spans="1:2" ht="12.75">
      <c r="A276">
        <v>0</v>
      </c>
      <c r="B276">
        <v>0.15</v>
      </c>
    </row>
    <row r="277" spans="1:2" ht="12.75">
      <c r="A277">
        <v>0</v>
      </c>
      <c r="B277">
        <v>0.15</v>
      </c>
    </row>
    <row r="278" spans="1:2" ht="12.75">
      <c r="A278">
        <v>0</v>
      </c>
      <c r="B278">
        <v>0.15</v>
      </c>
    </row>
    <row r="279" spans="1:6" ht="12.75">
      <c r="A279">
        <v>0.011413836022449749</v>
      </c>
      <c r="B279">
        <v>0.15</v>
      </c>
      <c r="C279">
        <v>0.005706918011224875</v>
      </c>
      <c r="D279">
        <v>0.1</v>
      </c>
      <c r="E279">
        <v>0.0057069180112248735</v>
      </c>
      <c r="F279">
        <v>0.2</v>
      </c>
    </row>
    <row r="280" spans="1:6" ht="12.75">
      <c r="A280">
        <v>0.03667954611146693</v>
      </c>
      <c r="B280">
        <v>0.15</v>
      </c>
      <c r="C280">
        <v>0.01833977305573347</v>
      </c>
      <c r="D280">
        <v>0.1</v>
      </c>
      <c r="E280">
        <v>0.018339773055733463</v>
      </c>
      <c r="F280">
        <v>0.2</v>
      </c>
    </row>
    <row r="281" spans="1:6" ht="12.75">
      <c r="A281">
        <v>0.012536102126713494</v>
      </c>
      <c r="B281">
        <v>0.15</v>
      </c>
      <c r="C281">
        <v>0.006268051063356749</v>
      </c>
      <c r="D281">
        <v>0.1</v>
      </c>
      <c r="E281">
        <v>0.006268051063356745</v>
      </c>
      <c r="F281">
        <v>0.2</v>
      </c>
    </row>
    <row r="282" spans="1:6" ht="12.75">
      <c r="A282">
        <v>0.0008240938357430053</v>
      </c>
      <c r="B282">
        <v>0.15</v>
      </c>
      <c r="C282">
        <v>0.00041204691787150277</v>
      </c>
      <c r="D282">
        <v>0.1</v>
      </c>
      <c r="E282">
        <v>0.00041204691787150255</v>
      </c>
      <c r="F282">
        <v>0.2</v>
      </c>
    </row>
    <row r="283" spans="1:6" ht="12.75">
      <c r="A283">
        <v>1.1806418741384957E-05</v>
      </c>
      <c r="B283">
        <v>0.15</v>
      </c>
      <c r="C283">
        <v>5.90320937069248E-06</v>
      </c>
      <c r="D283">
        <v>0.1</v>
      </c>
      <c r="E283">
        <v>5.903209370692477E-06</v>
      </c>
      <c r="F283">
        <v>0.2</v>
      </c>
    </row>
    <row r="284" spans="1:2" ht="12.75">
      <c r="A284">
        <v>0</v>
      </c>
      <c r="B284">
        <v>0.15</v>
      </c>
    </row>
    <row r="285" spans="1:2" ht="12.75">
      <c r="A285">
        <v>0</v>
      </c>
      <c r="B285">
        <v>0.15</v>
      </c>
    </row>
    <row r="286" spans="1:2" ht="12.75">
      <c r="A286">
        <v>0</v>
      </c>
      <c r="B286">
        <v>0.15</v>
      </c>
    </row>
    <row r="287" spans="1:2" ht="12.75">
      <c r="A287">
        <v>0</v>
      </c>
      <c r="B287">
        <v>0.15</v>
      </c>
    </row>
    <row r="288" spans="1:2" ht="12.75">
      <c r="A288">
        <v>0</v>
      </c>
      <c r="B288">
        <v>0.15</v>
      </c>
    </row>
    <row r="289" spans="1:2" ht="12.75">
      <c r="A289">
        <v>0</v>
      </c>
      <c r="B289">
        <v>0.2</v>
      </c>
    </row>
    <row r="290" spans="1:2" ht="12.75">
      <c r="A290">
        <v>0</v>
      </c>
      <c r="B290">
        <v>0.2</v>
      </c>
    </row>
    <row r="291" spans="1:2" ht="12.75">
      <c r="A291">
        <v>0</v>
      </c>
      <c r="B291">
        <v>0.2</v>
      </c>
    </row>
    <row r="292" spans="1:2" ht="12.75">
      <c r="A292">
        <v>0</v>
      </c>
      <c r="B292">
        <v>0.2</v>
      </c>
    </row>
    <row r="293" spans="1:2" ht="12.75">
      <c r="A293">
        <v>0</v>
      </c>
      <c r="B293">
        <v>0.2</v>
      </c>
    </row>
    <row r="294" spans="1:2" ht="12.75">
      <c r="A294">
        <v>0</v>
      </c>
      <c r="B294">
        <v>0.2</v>
      </c>
    </row>
    <row r="295" spans="1:2" ht="12.75">
      <c r="A295">
        <v>0</v>
      </c>
      <c r="B295">
        <v>0.2</v>
      </c>
    </row>
    <row r="296" spans="1:2" ht="12.75">
      <c r="A296">
        <v>0</v>
      </c>
      <c r="B296">
        <v>0.2</v>
      </c>
    </row>
    <row r="297" spans="1:4" ht="12.75">
      <c r="A297">
        <v>0.0059529791697671575</v>
      </c>
      <c r="B297">
        <v>0.2</v>
      </c>
      <c r="C297">
        <v>0.0059529791697671575</v>
      </c>
      <c r="D297">
        <v>0.2</v>
      </c>
    </row>
    <row r="298" spans="1:4" ht="12.75">
      <c r="A298">
        <v>0.009955264044569957</v>
      </c>
      <c r="B298">
        <v>0.2</v>
      </c>
      <c r="C298">
        <v>0.009955264044569957</v>
      </c>
      <c r="D298">
        <v>0.2</v>
      </c>
    </row>
    <row r="299" spans="1:4" ht="12.75">
      <c r="A299">
        <v>0.0014246844609278738</v>
      </c>
      <c r="B299">
        <v>0.2</v>
      </c>
      <c r="C299">
        <v>0.0014246844609278738</v>
      </c>
      <c r="D299">
        <v>0.2</v>
      </c>
    </row>
    <row r="300" spans="1:4" ht="12.75">
      <c r="A300">
        <v>3.0263199902041607E-05</v>
      </c>
      <c r="B300">
        <v>0.2</v>
      </c>
      <c r="C300">
        <v>3.0263199902041607E-05</v>
      </c>
      <c r="D300">
        <v>0.2</v>
      </c>
    </row>
    <row r="301" spans="1:2" ht="12.75">
      <c r="A301">
        <v>0</v>
      </c>
      <c r="B301">
        <v>0.2</v>
      </c>
    </row>
    <row r="302" spans="1:2" ht="12.75">
      <c r="A302">
        <v>0</v>
      </c>
      <c r="B302">
        <v>0.2</v>
      </c>
    </row>
    <row r="303" spans="1:2" ht="12.75">
      <c r="A303">
        <v>0</v>
      </c>
      <c r="B303">
        <v>0.2</v>
      </c>
    </row>
    <row r="304" spans="1:2" ht="12.75">
      <c r="A304">
        <v>0</v>
      </c>
      <c r="B304">
        <v>0.2</v>
      </c>
    </row>
    <row r="305" spans="1:2" ht="12.75">
      <c r="A305">
        <v>0</v>
      </c>
      <c r="B305">
        <v>0.2</v>
      </c>
    </row>
    <row r="306" spans="1:2" ht="12.75">
      <c r="A306">
        <v>0</v>
      </c>
      <c r="B306">
        <v>0.25</v>
      </c>
    </row>
    <row r="307" spans="1:2" ht="12.75">
      <c r="A307">
        <v>0</v>
      </c>
      <c r="B307">
        <v>0.25</v>
      </c>
    </row>
    <row r="308" spans="1:2" ht="12.75">
      <c r="A308">
        <v>0</v>
      </c>
      <c r="B308">
        <v>0.25</v>
      </c>
    </row>
    <row r="309" spans="1:2" ht="12.75">
      <c r="A309">
        <v>0</v>
      </c>
      <c r="B309">
        <v>0.25</v>
      </c>
    </row>
    <row r="310" spans="1:2" ht="12.75">
      <c r="A310">
        <v>0</v>
      </c>
      <c r="B310">
        <v>0.25</v>
      </c>
    </row>
    <row r="311" spans="1:2" ht="12.75">
      <c r="A311">
        <v>0</v>
      </c>
      <c r="B311">
        <v>0.25</v>
      </c>
    </row>
    <row r="312" spans="1:2" ht="12.75">
      <c r="A312">
        <v>0</v>
      </c>
      <c r="B312">
        <v>0.25</v>
      </c>
    </row>
    <row r="313" spans="1:2" ht="12.75">
      <c r="A313">
        <v>0</v>
      </c>
      <c r="B313">
        <v>0.25</v>
      </c>
    </row>
    <row r="314" spans="1:6" ht="12.75">
      <c r="A314">
        <v>0.0016157091831714263</v>
      </c>
      <c r="B314">
        <v>0.25</v>
      </c>
      <c r="C314">
        <v>0.0008078545915857129</v>
      </c>
      <c r="D314">
        <v>0.2</v>
      </c>
      <c r="E314">
        <v>0.0008078545915857129</v>
      </c>
      <c r="F314">
        <v>0.3</v>
      </c>
    </row>
    <row r="315" spans="1:6" ht="12.75">
      <c r="A315">
        <v>0.0011313811777673422</v>
      </c>
      <c r="B315">
        <v>0.25</v>
      </c>
      <c r="C315">
        <v>0.000565690588883671</v>
      </c>
      <c r="D315">
        <v>0.2</v>
      </c>
      <c r="E315">
        <v>0.000565690588883671</v>
      </c>
      <c r="F315">
        <v>0.3</v>
      </c>
    </row>
    <row r="316" spans="1:6" ht="12.75">
      <c r="A316">
        <v>5.2318690867915024E-05</v>
      </c>
      <c r="B316">
        <v>0.25</v>
      </c>
      <c r="C316">
        <v>2.6159345433957505E-05</v>
      </c>
      <c r="D316">
        <v>0.2</v>
      </c>
      <c r="E316">
        <v>2.6159345433957505E-05</v>
      </c>
      <c r="F316">
        <v>0.3</v>
      </c>
    </row>
    <row r="317" spans="1:2" ht="12.75">
      <c r="A317">
        <v>0</v>
      </c>
      <c r="B317">
        <v>0.25</v>
      </c>
    </row>
    <row r="318" spans="1:2" ht="12.75">
      <c r="A318">
        <v>0</v>
      </c>
      <c r="B318">
        <v>0.25</v>
      </c>
    </row>
    <row r="319" spans="1:2" ht="12.75">
      <c r="A319">
        <v>0</v>
      </c>
      <c r="B319">
        <v>0.25</v>
      </c>
    </row>
    <row r="320" spans="1:2" ht="12.75">
      <c r="A320">
        <v>0</v>
      </c>
      <c r="B320">
        <v>0.25</v>
      </c>
    </row>
    <row r="321" spans="1:2" ht="12.75">
      <c r="A321">
        <v>0</v>
      </c>
      <c r="B321">
        <v>0.25</v>
      </c>
    </row>
    <row r="322" spans="1:2" ht="12.75">
      <c r="A322">
        <v>0</v>
      </c>
      <c r="B322">
        <v>0.3</v>
      </c>
    </row>
    <row r="323" spans="1:2" ht="12.75">
      <c r="A323">
        <v>0</v>
      </c>
      <c r="B323">
        <v>0.3</v>
      </c>
    </row>
    <row r="324" spans="1:2" ht="12.75">
      <c r="A324">
        <v>0</v>
      </c>
      <c r="B324">
        <v>0.3</v>
      </c>
    </row>
    <row r="325" spans="1:2" ht="12.75">
      <c r="A325">
        <v>0</v>
      </c>
      <c r="B325">
        <v>0.3</v>
      </c>
    </row>
    <row r="326" spans="1:2" ht="12.75">
      <c r="A326">
        <v>0</v>
      </c>
      <c r="B326">
        <v>0.3</v>
      </c>
    </row>
    <row r="327" spans="1:2" ht="12.75">
      <c r="A327">
        <v>0</v>
      </c>
      <c r="B327">
        <v>0.3</v>
      </c>
    </row>
    <row r="328" spans="1:2" ht="12.75">
      <c r="A328">
        <v>0</v>
      </c>
      <c r="B328">
        <v>0.3</v>
      </c>
    </row>
    <row r="329" spans="1:2" ht="12.75">
      <c r="A329">
        <v>0</v>
      </c>
      <c r="B329">
        <v>0.3</v>
      </c>
    </row>
    <row r="330" spans="1:4" ht="12.75">
      <c r="A330">
        <v>0.00018361973629248555</v>
      </c>
      <c r="B330">
        <v>0.3</v>
      </c>
      <c r="C330">
        <v>0.00018361973629248555</v>
      </c>
      <c r="D330">
        <v>0.3</v>
      </c>
    </row>
    <row r="331" spans="1:4" ht="12.75">
      <c r="A331">
        <v>4.154771369853795E-05</v>
      </c>
      <c r="B331">
        <v>0.3</v>
      </c>
      <c r="C331">
        <v>4.154771369853795E-05</v>
      </c>
      <c r="D331">
        <v>0.3</v>
      </c>
    </row>
    <row r="332" spans="1:2" ht="12.75">
      <c r="A332">
        <v>0</v>
      </c>
      <c r="B332">
        <v>0.3</v>
      </c>
    </row>
    <row r="333" spans="1:2" ht="12.75">
      <c r="A333">
        <v>0</v>
      </c>
      <c r="B333">
        <v>0.3</v>
      </c>
    </row>
    <row r="334" spans="1:2" ht="12.75">
      <c r="A334">
        <v>0</v>
      </c>
      <c r="B334">
        <v>0.3</v>
      </c>
    </row>
    <row r="335" spans="1:2" ht="12.75">
      <c r="A335">
        <v>0</v>
      </c>
      <c r="B335">
        <v>0.3</v>
      </c>
    </row>
    <row r="336" spans="1:2" ht="12.75">
      <c r="A336">
        <v>0</v>
      </c>
      <c r="B336">
        <v>0.3</v>
      </c>
    </row>
    <row r="337" spans="1:2" ht="12.75">
      <c r="A337">
        <v>0</v>
      </c>
      <c r="B337">
        <v>0.35</v>
      </c>
    </row>
    <row r="338" spans="1:2" ht="12.75">
      <c r="A338">
        <v>0</v>
      </c>
      <c r="B338">
        <v>0.35</v>
      </c>
    </row>
    <row r="339" spans="1:2" ht="12.75">
      <c r="A339">
        <v>0</v>
      </c>
      <c r="B339">
        <v>0.35</v>
      </c>
    </row>
    <row r="340" spans="1:2" ht="12.75">
      <c r="A340">
        <v>0</v>
      </c>
      <c r="B340">
        <v>0.35</v>
      </c>
    </row>
    <row r="341" spans="1:2" ht="12.75">
      <c r="A341">
        <v>0</v>
      </c>
      <c r="B341">
        <v>0.35</v>
      </c>
    </row>
    <row r="342" spans="1:2" ht="12.75">
      <c r="A342">
        <v>0</v>
      </c>
      <c r="B342">
        <v>0.35</v>
      </c>
    </row>
    <row r="343" spans="1:2" ht="12.75">
      <c r="A343">
        <v>0</v>
      </c>
      <c r="B343">
        <v>0.35</v>
      </c>
    </row>
    <row r="344" spans="1:2" ht="12.75">
      <c r="A344">
        <v>0</v>
      </c>
      <c r="B344">
        <v>0.35</v>
      </c>
    </row>
    <row r="345" spans="1:6" ht="12.75">
      <c r="A345">
        <v>6.743068015269789E-06</v>
      </c>
      <c r="B345">
        <v>0.35</v>
      </c>
      <c r="C345">
        <v>3.3715340076348974E-06</v>
      </c>
      <c r="D345">
        <v>0.3</v>
      </c>
      <c r="E345">
        <v>3.3715340076348936E-06</v>
      </c>
      <c r="F345">
        <v>0.4</v>
      </c>
    </row>
    <row r="346" spans="1:2" ht="12.75">
      <c r="A346">
        <v>0</v>
      </c>
      <c r="B346">
        <v>0.35</v>
      </c>
    </row>
    <row r="347" spans="1:2" ht="12.75">
      <c r="A347">
        <v>0</v>
      </c>
      <c r="B347">
        <v>0.35</v>
      </c>
    </row>
    <row r="348" spans="1:2" ht="12.75">
      <c r="A348">
        <v>0</v>
      </c>
      <c r="B348">
        <v>0.35</v>
      </c>
    </row>
    <row r="349" spans="1:2" ht="12.75">
      <c r="A349">
        <v>0</v>
      </c>
      <c r="B349">
        <v>0.35</v>
      </c>
    </row>
    <row r="350" spans="1:2" ht="12.75">
      <c r="A350">
        <v>0</v>
      </c>
      <c r="B350">
        <v>0.35</v>
      </c>
    </row>
    <row r="351" spans="1:2" ht="12.75">
      <c r="A351">
        <v>0</v>
      </c>
      <c r="B351">
        <v>0.4</v>
      </c>
    </row>
    <row r="352" spans="1:2" ht="12.75">
      <c r="A352">
        <v>0</v>
      </c>
      <c r="B352">
        <v>0.4</v>
      </c>
    </row>
    <row r="353" spans="1:2" ht="12.75">
      <c r="A353">
        <v>0</v>
      </c>
      <c r="B353">
        <v>0.4</v>
      </c>
    </row>
    <row r="354" spans="1:2" ht="12.75">
      <c r="A354">
        <v>0</v>
      </c>
      <c r="B354">
        <v>0.4</v>
      </c>
    </row>
    <row r="355" spans="1:2" ht="12.75">
      <c r="A355">
        <v>0</v>
      </c>
      <c r="B355">
        <v>0.4</v>
      </c>
    </row>
    <row r="356" spans="1:2" ht="12.75">
      <c r="A356">
        <v>0</v>
      </c>
      <c r="B356">
        <v>0.4</v>
      </c>
    </row>
    <row r="357" spans="1:2" ht="12.75">
      <c r="A357">
        <v>0</v>
      </c>
      <c r="B357">
        <v>0.4</v>
      </c>
    </row>
    <row r="358" spans="1:2" ht="12.75">
      <c r="A358">
        <v>0</v>
      </c>
      <c r="B358">
        <v>0.4</v>
      </c>
    </row>
    <row r="359" spans="1:2" ht="12.75">
      <c r="A359">
        <v>0</v>
      </c>
      <c r="B359">
        <v>0.4</v>
      </c>
    </row>
    <row r="360" spans="1:2" ht="12.75">
      <c r="A360">
        <v>0</v>
      </c>
      <c r="B360">
        <v>0.4</v>
      </c>
    </row>
    <row r="361" spans="1:2" ht="12.75">
      <c r="A361">
        <v>0</v>
      </c>
      <c r="B361">
        <v>0.4</v>
      </c>
    </row>
    <row r="362" spans="1:2" ht="12.75">
      <c r="A362">
        <v>0</v>
      </c>
      <c r="B362">
        <v>0.4</v>
      </c>
    </row>
    <row r="363" spans="1:2" ht="12.75">
      <c r="A363">
        <v>0</v>
      </c>
      <c r="B363">
        <v>0.4</v>
      </c>
    </row>
    <row r="364" spans="1:2" ht="12.75">
      <c r="A364">
        <v>0</v>
      </c>
      <c r="B364">
        <v>0.45</v>
      </c>
    </row>
    <row r="365" spans="1:2" ht="12.75">
      <c r="A365">
        <v>0</v>
      </c>
      <c r="B365">
        <v>0.45</v>
      </c>
    </row>
    <row r="366" spans="1:2" ht="12.75">
      <c r="A366">
        <v>0</v>
      </c>
      <c r="B366">
        <v>0.45</v>
      </c>
    </row>
    <row r="367" spans="1:2" ht="12.75">
      <c r="A367">
        <v>0</v>
      </c>
      <c r="B367">
        <v>0.45</v>
      </c>
    </row>
    <row r="368" spans="1:2" ht="12.75">
      <c r="A368">
        <v>0</v>
      </c>
      <c r="B368">
        <v>0.45</v>
      </c>
    </row>
    <row r="369" spans="1:2" ht="12.75">
      <c r="A369">
        <v>0</v>
      </c>
      <c r="B369">
        <v>0.45</v>
      </c>
    </row>
    <row r="370" spans="1:2" ht="12.75">
      <c r="A370">
        <v>0</v>
      </c>
      <c r="B370">
        <v>0.45</v>
      </c>
    </row>
    <row r="371" spans="1:2" ht="12.75">
      <c r="A371">
        <v>0</v>
      </c>
      <c r="B371">
        <v>0.45</v>
      </c>
    </row>
    <row r="372" spans="1:2" ht="12.75">
      <c r="A372">
        <v>0</v>
      </c>
      <c r="B372">
        <v>0.45</v>
      </c>
    </row>
    <row r="373" spans="1:2" ht="12.75">
      <c r="A373">
        <v>0</v>
      </c>
      <c r="B373">
        <v>0.45</v>
      </c>
    </row>
    <row r="374" spans="1:2" ht="12.75">
      <c r="A374">
        <v>0</v>
      </c>
      <c r="B374">
        <v>0.45</v>
      </c>
    </row>
    <row r="375" spans="1:2" ht="12.75">
      <c r="A375">
        <v>0</v>
      </c>
      <c r="B375">
        <v>0.45</v>
      </c>
    </row>
    <row r="376" spans="1:2" ht="12.75">
      <c r="A376">
        <v>0</v>
      </c>
      <c r="B376">
        <v>0.5</v>
      </c>
    </row>
    <row r="377" spans="1:2" ht="12.75">
      <c r="A377">
        <v>0</v>
      </c>
      <c r="B377">
        <v>0.5</v>
      </c>
    </row>
    <row r="378" spans="1:2" ht="12.75">
      <c r="A378">
        <v>0</v>
      </c>
      <c r="B378">
        <v>0.5</v>
      </c>
    </row>
    <row r="379" spans="1:2" ht="12.75">
      <c r="A379">
        <v>0</v>
      </c>
      <c r="B379">
        <v>0.5</v>
      </c>
    </row>
    <row r="380" spans="1:2" ht="12.75">
      <c r="A380">
        <v>0</v>
      </c>
      <c r="B380">
        <v>0.5</v>
      </c>
    </row>
    <row r="381" spans="1:2" ht="12.75">
      <c r="A381">
        <v>0</v>
      </c>
      <c r="B381">
        <v>0.5</v>
      </c>
    </row>
    <row r="382" spans="1:2" ht="12.75">
      <c r="A382">
        <v>0</v>
      </c>
      <c r="B382">
        <v>0.5</v>
      </c>
    </row>
    <row r="383" spans="1:2" ht="12.75">
      <c r="A383">
        <v>0</v>
      </c>
      <c r="B383">
        <v>0.5</v>
      </c>
    </row>
    <row r="384" spans="1:2" ht="12.75">
      <c r="A384">
        <v>0</v>
      </c>
      <c r="B384">
        <v>0.5</v>
      </c>
    </row>
    <row r="385" spans="1:2" ht="12.75">
      <c r="A385">
        <v>0</v>
      </c>
      <c r="B385">
        <v>0.5</v>
      </c>
    </row>
    <row r="386" spans="1:2" ht="12.75">
      <c r="A386">
        <v>0</v>
      </c>
      <c r="B386">
        <v>0.5</v>
      </c>
    </row>
    <row r="387" spans="1:2" ht="12.75">
      <c r="A387">
        <v>0</v>
      </c>
      <c r="B387">
        <v>0.55</v>
      </c>
    </row>
    <row r="388" spans="1:2" ht="12.75">
      <c r="A388">
        <v>0</v>
      </c>
      <c r="B388">
        <v>0.55</v>
      </c>
    </row>
    <row r="389" spans="1:2" ht="12.75">
      <c r="A389">
        <v>0</v>
      </c>
      <c r="B389">
        <v>0.55</v>
      </c>
    </row>
    <row r="390" spans="1:2" ht="12.75">
      <c r="A390">
        <v>0</v>
      </c>
      <c r="B390">
        <v>0.55</v>
      </c>
    </row>
    <row r="391" spans="1:2" ht="12.75">
      <c r="A391">
        <v>0</v>
      </c>
      <c r="B391">
        <v>0.55</v>
      </c>
    </row>
    <row r="392" spans="1:2" ht="12.75">
      <c r="A392">
        <v>0</v>
      </c>
      <c r="B392">
        <v>0.55</v>
      </c>
    </row>
    <row r="393" spans="1:2" ht="12.75">
      <c r="A393">
        <v>0</v>
      </c>
      <c r="B393">
        <v>0.55</v>
      </c>
    </row>
    <row r="394" spans="1:2" ht="12.75">
      <c r="A394">
        <v>0</v>
      </c>
      <c r="B394">
        <v>0.55</v>
      </c>
    </row>
    <row r="395" spans="1:2" ht="12.75">
      <c r="A395">
        <v>0</v>
      </c>
      <c r="B395">
        <v>0.55</v>
      </c>
    </row>
    <row r="396" spans="1:2" ht="12.75">
      <c r="A396">
        <v>0</v>
      </c>
      <c r="B396">
        <v>0.55</v>
      </c>
    </row>
    <row r="397" spans="1:2" ht="12.75">
      <c r="A397">
        <v>0</v>
      </c>
      <c r="B397">
        <v>0.6</v>
      </c>
    </row>
    <row r="398" spans="1:2" ht="12.75">
      <c r="A398">
        <v>0</v>
      </c>
      <c r="B398">
        <v>0.6</v>
      </c>
    </row>
    <row r="399" spans="1:2" ht="12.75">
      <c r="A399">
        <v>0</v>
      </c>
      <c r="B399">
        <v>0.6</v>
      </c>
    </row>
    <row r="400" spans="1:2" ht="12.75">
      <c r="A400">
        <v>0</v>
      </c>
      <c r="B400">
        <v>0.6</v>
      </c>
    </row>
    <row r="401" spans="1:2" ht="12.75">
      <c r="A401">
        <v>0</v>
      </c>
      <c r="B401">
        <v>0.6</v>
      </c>
    </row>
    <row r="402" spans="1:2" ht="12.75">
      <c r="A402">
        <v>0</v>
      </c>
      <c r="B402">
        <v>0.6</v>
      </c>
    </row>
    <row r="403" spans="1:2" ht="12.75">
      <c r="A403">
        <v>0</v>
      </c>
      <c r="B403">
        <v>0.6</v>
      </c>
    </row>
    <row r="404" spans="1:2" ht="12.75">
      <c r="A404">
        <v>0</v>
      </c>
      <c r="B404">
        <v>0.6</v>
      </c>
    </row>
    <row r="405" spans="1:2" ht="12.75">
      <c r="A405">
        <v>0</v>
      </c>
      <c r="B405">
        <v>0.6</v>
      </c>
    </row>
    <row r="406" spans="1:2" ht="12.75">
      <c r="A406">
        <v>0</v>
      </c>
      <c r="B406">
        <v>0.65</v>
      </c>
    </row>
    <row r="407" spans="1:2" ht="12.75">
      <c r="A407">
        <v>0</v>
      </c>
      <c r="B407">
        <v>0.65</v>
      </c>
    </row>
    <row r="408" spans="1:2" ht="12.75">
      <c r="A408">
        <v>0</v>
      </c>
      <c r="B408">
        <v>0.65</v>
      </c>
    </row>
    <row r="409" spans="1:2" ht="12.75">
      <c r="A409">
        <v>0</v>
      </c>
      <c r="B409">
        <v>0.65</v>
      </c>
    </row>
    <row r="410" spans="1:2" ht="12.75">
      <c r="A410">
        <v>0</v>
      </c>
      <c r="B410">
        <v>0.65</v>
      </c>
    </row>
    <row r="411" spans="1:2" ht="12.75">
      <c r="A411">
        <v>0</v>
      </c>
      <c r="B411">
        <v>0.65</v>
      </c>
    </row>
    <row r="412" spans="1:2" ht="12.75">
      <c r="A412">
        <v>0</v>
      </c>
      <c r="B412">
        <v>0.65</v>
      </c>
    </row>
    <row r="413" spans="1:2" ht="12.75">
      <c r="A413">
        <v>0</v>
      </c>
      <c r="B413">
        <v>0.65</v>
      </c>
    </row>
    <row r="414" spans="1:2" ht="12.75">
      <c r="A414">
        <v>0</v>
      </c>
      <c r="B414">
        <v>0.7</v>
      </c>
    </row>
    <row r="415" spans="1:2" ht="12.75">
      <c r="A415">
        <v>0</v>
      </c>
      <c r="B415">
        <v>0.7</v>
      </c>
    </row>
    <row r="416" spans="1:2" ht="12.75">
      <c r="A416">
        <v>0</v>
      </c>
      <c r="B416">
        <v>0.7</v>
      </c>
    </row>
    <row r="417" spans="1:2" ht="12.75">
      <c r="A417">
        <v>0</v>
      </c>
      <c r="B417">
        <v>0.7</v>
      </c>
    </row>
    <row r="418" spans="1:2" ht="12.75">
      <c r="A418">
        <v>0</v>
      </c>
      <c r="B418">
        <v>0.7</v>
      </c>
    </row>
    <row r="419" spans="1:2" ht="12.75">
      <c r="A419">
        <v>0</v>
      </c>
      <c r="B419">
        <v>0.7</v>
      </c>
    </row>
    <row r="420" spans="1:2" ht="12.75">
      <c r="A420">
        <v>0</v>
      </c>
      <c r="B420">
        <v>0.7</v>
      </c>
    </row>
    <row r="421" spans="1:2" ht="12.75">
      <c r="A421">
        <v>0</v>
      </c>
      <c r="B421">
        <v>0.75</v>
      </c>
    </row>
    <row r="422" spans="1:2" ht="12.75">
      <c r="A422">
        <v>0</v>
      </c>
      <c r="B422">
        <v>0.75</v>
      </c>
    </row>
    <row r="423" spans="1:2" ht="12.75">
      <c r="A423">
        <v>0</v>
      </c>
      <c r="B423">
        <v>0.75</v>
      </c>
    </row>
    <row r="424" spans="1:2" ht="12.75">
      <c r="A424">
        <v>0</v>
      </c>
      <c r="B424">
        <v>0.75</v>
      </c>
    </row>
    <row r="425" spans="1:2" ht="12.75">
      <c r="A425">
        <v>0</v>
      </c>
      <c r="B425">
        <v>0.75</v>
      </c>
    </row>
    <row r="426" spans="1:2" ht="12.75">
      <c r="A426">
        <v>0</v>
      </c>
      <c r="B426">
        <v>0.75</v>
      </c>
    </row>
    <row r="427" spans="1:2" ht="12.75">
      <c r="A427">
        <v>0</v>
      </c>
      <c r="B427">
        <v>0.8</v>
      </c>
    </row>
    <row r="428" spans="1:2" ht="12.75">
      <c r="A428">
        <v>0</v>
      </c>
      <c r="B428">
        <v>0.8</v>
      </c>
    </row>
    <row r="429" spans="1:2" ht="12.75">
      <c r="A429">
        <v>0</v>
      </c>
      <c r="B429">
        <v>0.8</v>
      </c>
    </row>
    <row r="430" spans="1:2" ht="12.75">
      <c r="A430">
        <v>0</v>
      </c>
      <c r="B430">
        <v>0.8</v>
      </c>
    </row>
    <row r="431" spans="1:2" ht="12.75">
      <c r="A431">
        <v>0</v>
      </c>
      <c r="B431">
        <v>0.8</v>
      </c>
    </row>
    <row r="432" spans="1:2" ht="12.75">
      <c r="A432">
        <v>0</v>
      </c>
      <c r="B432">
        <v>0.85</v>
      </c>
    </row>
    <row r="433" spans="1:2" ht="12.75">
      <c r="A433">
        <v>0</v>
      </c>
      <c r="B433">
        <v>0.85</v>
      </c>
    </row>
    <row r="434" spans="1:2" ht="12.75">
      <c r="A434">
        <v>0</v>
      </c>
      <c r="B434">
        <v>0.85</v>
      </c>
    </row>
    <row r="435" spans="1:2" ht="12.75">
      <c r="A435">
        <v>0</v>
      </c>
      <c r="B435">
        <v>0.85</v>
      </c>
    </row>
    <row r="436" spans="1:2" ht="12.75">
      <c r="A436">
        <v>0</v>
      </c>
      <c r="B436">
        <v>0.9</v>
      </c>
    </row>
    <row r="437" spans="1:2" ht="12.75">
      <c r="A437">
        <v>0</v>
      </c>
      <c r="B437">
        <v>0.9</v>
      </c>
    </row>
    <row r="438" spans="1:2" ht="12.75">
      <c r="A438">
        <v>0</v>
      </c>
      <c r="B438">
        <v>0.9</v>
      </c>
    </row>
    <row r="439" spans="1:2" ht="12.75">
      <c r="A439">
        <v>0</v>
      </c>
      <c r="B439">
        <v>0.95</v>
      </c>
    </row>
    <row r="440" spans="1:2" ht="12.75">
      <c r="A440">
        <v>0</v>
      </c>
      <c r="B440">
        <v>0.95</v>
      </c>
    </row>
    <row r="441" spans="1:2" ht="12.75">
      <c r="A441">
        <v>0</v>
      </c>
      <c r="B441">
        <v>1</v>
      </c>
    </row>
  </sheetData>
  <printOptions/>
  <pageMargins left="0.75" right="0.75" top="1" bottom="1" header="0.5" footer="0.5"/>
  <pageSetup orientation="portrait" r:id="rId2"/>
  <drawing r:id="rId1"/>
</worksheet>
</file>

<file path=xl/worksheets/sheet7.xml><?xml version="1.0" encoding="utf-8"?>
<worksheet xmlns="http://schemas.openxmlformats.org/spreadsheetml/2006/main" xmlns:r="http://schemas.openxmlformats.org/officeDocument/2006/relationships">
  <sheetPr codeName="Sheet8"/>
  <dimension ref="A2:V480"/>
  <sheetViews>
    <sheetView zoomScale="75" zoomScaleNormal="75" workbookViewId="0" topLeftCell="A1">
      <selection activeCell="B38" sqref="B38:V38"/>
    </sheetView>
  </sheetViews>
  <sheetFormatPr defaultColWidth="9.140625" defaultRowHeight="12.75"/>
  <cols>
    <col min="1" max="1" width="16.8515625" style="0" customWidth="1"/>
    <col min="2" max="9" width="9.28125" style="0" bestFit="1" customWidth="1"/>
    <col min="10" max="10" width="13.421875" style="0" bestFit="1" customWidth="1"/>
    <col min="11" max="22" width="9.28125" style="0" bestFit="1" customWidth="1"/>
  </cols>
  <sheetData>
    <row r="2" spans="1:5" ht="12.75">
      <c r="A2" s="21" t="s">
        <v>304</v>
      </c>
      <c r="B2" s="112">
        <f>Lists!Z2</f>
        <v>40</v>
      </c>
      <c r="D2" s="21" t="s">
        <v>306</v>
      </c>
      <c r="E2">
        <f>Lists!AB2</f>
        <v>2</v>
      </c>
    </row>
    <row r="3" spans="1:5" ht="12.75">
      <c r="A3" s="21" t="s">
        <v>294</v>
      </c>
      <c r="B3" s="112">
        <f>Lists!V2</f>
        <v>150</v>
      </c>
      <c r="D3" s="21" t="s">
        <v>302</v>
      </c>
      <c r="E3">
        <f>(B6*(1+B6)^B2)/(((1+B6)^B2)-1)</f>
        <v>0.10225941441436948</v>
      </c>
    </row>
    <row r="4" spans="1:8" ht="12.75">
      <c r="A4" s="21" t="s">
        <v>293</v>
      </c>
      <c r="B4">
        <f>Main!H19</f>
        <v>1500</v>
      </c>
      <c r="D4" s="21" t="s">
        <v>309</v>
      </c>
      <c r="E4">
        <f>Lists!AA2</f>
        <v>0.05</v>
      </c>
      <c r="G4" s="21" t="s">
        <v>310</v>
      </c>
      <c r="H4">
        <f>E4/(3*(((1+E4)^B2)-1))</f>
        <v>0.002759387055344999</v>
      </c>
    </row>
    <row r="5" spans="1:5" ht="12.75">
      <c r="A5" s="21" t="s">
        <v>292</v>
      </c>
      <c r="B5">
        <f>Main!H13</f>
        <v>1500</v>
      </c>
      <c r="D5" s="21" t="s">
        <v>312</v>
      </c>
      <c r="E5">
        <f>Lists!X2</f>
        <v>0.9</v>
      </c>
    </row>
    <row r="6" spans="1:2" ht="12.75">
      <c r="A6" s="21" t="s">
        <v>289</v>
      </c>
      <c r="B6">
        <f>Lists!W2</f>
        <v>0.1</v>
      </c>
    </row>
    <row r="8" spans="1:22" ht="12.75">
      <c r="A8" t="s">
        <v>254</v>
      </c>
      <c r="B8" s="28">
        <f aca="true" t="shared" si="0" ref="B8:J8">E8+($K8-$M9)</f>
        <v>85</v>
      </c>
      <c r="C8" s="28">
        <f t="shared" si="0"/>
        <v>81.66666666666666</v>
      </c>
      <c r="D8" s="28">
        <f t="shared" si="0"/>
        <v>78.33333333333333</v>
      </c>
      <c r="E8" s="28">
        <f t="shared" si="0"/>
        <v>75</v>
      </c>
      <c r="F8" s="28">
        <f t="shared" si="0"/>
        <v>71.66666666666666</v>
      </c>
      <c r="G8" s="28">
        <f t="shared" si="0"/>
        <v>68.33333333333333</v>
      </c>
      <c r="H8" s="28">
        <f t="shared" si="0"/>
        <v>65</v>
      </c>
      <c r="I8" s="28">
        <f t="shared" si="0"/>
        <v>61.666666666666664</v>
      </c>
      <c r="J8" s="28">
        <f t="shared" si="0"/>
        <v>58.33333333333333</v>
      </c>
      <c r="K8" s="119">
        <v>55</v>
      </c>
      <c r="L8" s="28">
        <f>K9</f>
        <v>51.666666666666664</v>
      </c>
      <c r="M8" s="28">
        <f>L9</f>
        <v>48.33333333333333</v>
      </c>
      <c r="N8" s="28">
        <f aca="true" t="shared" si="1" ref="N8:V8">K8-($K8-$M9)</f>
        <v>45</v>
      </c>
      <c r="O8" s="28">
        <f t="shared" si="1"/>
        <v>41.666666666666664</v>
      </c>
      <c r="P8" s="28">
        <f t="shared" si="1"/>
        <v>38.33333333333333</v>
      </c>
      <c r="Q8" s="28">
        <f t="shared" si="1"/>
        <v>35</v>
      </c>
      <c r="R8" s="28">
        <f t="shared" si="1"/>
        <v>31.666666666666664</v>
      </c>
      <c r="S8" s="28">
        <f t="shared" si="1"/>
        <v>28.33333333333333</v>
      </c>
      <c r="T8" s="28">
        <f t="shared" si="1"/>
        <v>25</v>
      </c>
      <c r="U8" s="28">
        <f t="shared" si="1"/>
        <v>21.666666666666664</v>
      </c>
      <c r="V8" s="28">
        <f t="shared" si="1"/>
        <v>18.33333333333333</v>
      </c>
    </row>
    <row r="9" spans="1:22" ht="13.5" thickBot="1">
      <c r="A9" s="90" t="s">
        <v>255</v>
      </c>
      <c r="B9" s="118">
        <f aca="true" t="shared" si="2" ref="B9:J9">E9+($K8-$M9)</f>
        <v>81.66666666666666</v>
      </c>
      <c r="C9" s="118">
        <f t="shared" si="2"/>
        <v>78.33333333333333</v>
      </c>
      <c r="D9" s="118">
        <f t="shared" si="2"/>
        <v>75</v>
      </c>
      <c r="E9" s="118">
        <f t="shared" si="2"/>
        <v>71.66666666666666</v>
      </c>
      <c r="F9" s="118">
        <f t="shared" si="2"/>
        <v>68.33333333333333</v>
      </c>
      <c r="G9" s="118">
        <f t="shared" si="2"/>
        <v>65</v>
      </c>
      <c r="H9" s="118">
        <f t="shared" si="2"/>
        <v>61.666666666666664</v>
      </c>
      <c r="I9" s="118">
        <f t="shared" si="2"/>
        <v>58.33333333333333</v>
      </c>
      <c r="J9" s="118">
        <f t="shared" si="2"/>
        <v>55</v>
      </c>
      <c r="K9" s="118">
        <f>K8-(($K8-$M9)/3)</f>
        <v>51.666666666666664</v>
      </c>
      <c r="L9" s="118">
        <f>L8-(($K8-$M9)/3)</f>
        <v>48.33333333333333</v>
      </c>
      <c r="M9" s="120">
        <v>45</v>
      </c>
      <c r="N9" s="118">
        <f aca="true" t="shared" si="3" ref="N9:V9">K9-($K8-$M9)</f>
        <v>41.666666666666664</v>
      </c>
      <c r="O9" s="118">
        <f t="shared" si="3"/>
        <v>38.33333333333333</v>
      </c>
      <c r="P9" s="118">
        <f t="shared" si="3"/>
        <v>35</v>
      </c>
      <c r="Q9" s="118">
        <f t="shared" si="3"/>
        <v>31.666666666666664</v>
      </c>
      <c r="R9" s="118">
        <f t="shared" si="3"/>
        <v>28.33333333333333</v>
      </c>
      <c r="S9" s="118">
        <f t="shared" si="3"/>
        <v>25</v>
      </c>
      <c r="T9" s="118">
        <f t="shared" si="3"/>
        <v>21.666666666666664</v>
      </c>
      <c r="U9" s="118">
        <f t="shared" si="3"/>
        <v>18.33333333333333</v>
      </c>
      <c r="V9" s="118">
        <f t="shared" si="3"/>
        <v>15</v>
      </c>
    </row>
    <row r="10" spans="1:22" ht="12.75">
      <c r="A10" t="s">
        <v>256</v>
      </c>
      <c r="B10" s="29">
        <v>0</v>
      </c>
      <c r="C10" s="29">
        <v>0</v>
      </c>
      <c r="D10" s="29">
        <v>0</v>
      </c>
      <c r="E10" s="29">
        <v>0</v>
      </c>
      <c r="F10" s="29">
        <v>0</v>
      </c>
      <c r="G10" s="29">
        <v>0</v>
      </c>
      <c r="H10" s="29">
        <v>0</v>
      </c>
      <c r="I10" s="29">
        <v>0</v>
      </c>
      <c r="J10" s="29">
        <v>0</v>
      </c>
      <c r="K10" s="29">
        <v>0.3333333333333333</v>
      </c>
      <c r="L10" s="29">
        <v>0.3333333333333333</v>
      </c>
      <c r="M10" s="29">
        <v>0.3333333333333333</v>
      </c>
      <c r="N10" s="29">
        <v>0</v>
      </c>
      <c r="O10" s="29">
        <v>0</v>
      </c>
      <c r="P10" s="29">
        <v>0</v>
      </c>
      <c r="Q10" s="29">
        <v>0</v>
      </c>
      <c r="R10" s="29">
        <v>0</v>
      </c>
      <c r="S10" s="29">
        <v>0</v>
      </c>
      <c r="T10" s="29">
        <v>0</v>
      </c>
      <c r="U10" s="29">
        <v>0</v>
      </c>
      <c r="V10" s="29">
        <v>0</v>
      </c>
    </row>
    <row r="13" ht="12.75">
      <c r="A13" s="111" t="s">
        <v>288</v>
      </c>
    </row>
    <row r="14" spans="2:22" ht="12.75">
      <c r="B14">
        <f aca="true" t="shared" si="4" ref="B14:V14">1+($B$6*0.5*B8/12)</f>
        <v>1.3541666666666667</v>
      </c>
      <c r="C14">
        <f t="shared" si="4"/>
        <v>1.3402777777777777</v>
      </c>
      <c r="D14">
        <f t="shared" si="4"/>
        <v>1.3263888888888888</v>
      </c>
      <c r="E14">
        <f t="shared" si="4"/>
        <v>1.3125</v>
      </c>
      <c r="F14">
        <f t="shared" si="4"/>
        <v>1.2986111111111112</v>
      </c>
      <c r="G14">
        <f t="shared" si="4"/>
        <v>1.2847222222222223</v>
      </c>
      <c r="H14">
        <f t="shared" si="4"/>
        <v>1.2708333333333333</v>
      </c>
      <c r="I14">
        <f t="shared" si="4"/>
        <v>1.2569444444444444</v>
      </c>
      <c r="J14">
        <f t="shared" si="4"/>
        <v>1.2430555555555556</v>
      </c>
      <c r="K14">
        <f t="shared" si="4"/>
        <v>1.2291666666666667</v>
      </c>
      <c r="L14">
        <f t="shared" si="4"/>
        <v>1.2152777777777777</v>
      </c>
      <c r="M14">
        <f t="shared" si="4"/>
        <v>1.2013888888888888</v>
      </c>
      <c r="N14">
        <f t="shared" si="4"/>
        <v>1.1875</v>
      </c>
      <c r="O14">
        <f t="shared" si="4"/>
        <v>1.1736111111111112</v>
      </c>
      <c r="P14">
        <f t="shared" si="4"/>
        <v>1.1597222222222223</v>
      </c>
      <c r="Q14">
        <f t="shared" si="4"/>
        <v>1.1458333333333333</v>
      </c>
      <c r="R14">
        <f t="shared" si="4"/>
        <v>1.1319444444444444</v>
      </c>
      <c r="S14">
        <f t="shared" si="4"/>
        <v>1.1180555555555556</v>
      </c>
      <c r="T14">
        <f t="shared" si="4"/>
        <v>1.1041666666666667</v>
      </c>
      <c r="U14">
        <f t="shared" si="4"/>
        <v>1.0902777777777777</v>
      </c>
      <c r="V14">
        <f t="shared" si="4"/>
        <v>1.0763888888888888</v>
      </c>
    </row>
    <row r="15" spans="2:22" ht="13.5" thickBot="1">
      <c r="B15" s="90">
        <f aca="true" t="shared" si="5" ref="B15:V15">1+($B$6*0.5*B9/12)</f>
        <v>1.3402777777777777</v>
      </c>
      <c r="C15" s="90">
        <f t="shared" si="5"/>
        <v>1.3263888888888888</v>
      </c>
      <c r="D15" s="90">
        <f t="shared" si="5"/>
        <v>1.3125</v>
      </c>
      <c r="E15" s="90">
        <f t="shared" si="5"/>
        <v>1.2986111111111112</v>
      </c>
      <c r="F15" s="90">
        <f t="shared" si="5"/>
        <v>1.2847222222222223</v>
      </c>
      <c r="G15" s="90">
        <f t="shared" si="5"/>
        <v>1.2708333333333333</v>
      </c>
      <c r="H15" s="90">
        <f t="shared" si="5"/>
        <v>1.2569444444444444</v>
      </c>
      <c r="I15" s="90">
        <f t="shared" si="5"/>
        <v>1.2430555555555556</v>
      </c>
      <c r="J15" s="90">
        <f t="shared" si="5"/>
        <v>1.2291666666666667</v>
      </c>
      <c r="K15" s="90">
        <f t="shared" si="5"/>
        <v>1.2152777777777777</v>
      </c>
      <c r="L15" s="90">
        <f t="shared" si="5"/>
        <v>1.2013888888888888</v>
      </c>
      <c r="M15" s="90">
        <f t="shared" si="5"/>
        <v>1.1875</v>
      </c>
      <c r="N15" s="90">
        <f t="shared" si="5"/>
        <v>1.1736111111111112</v>
      </c>
      <c r="O15" s="90">
        <f t="shared" si="5"/>
        <v>1.1597222222222223</v>
      </c>
      <c r="P15" s="90">
        <f t="shared" si="5"/>
        <v>1.1458333333333333</v>
      </c>
      <c r="Q15" s="90">
        <f t="shared" si="5"/>
        <v>1.1319444444444444</v>
      </c>
      <c r="R15" s="90">
        <f t="shared" si="5"/>
        <v>1.1180555555555556</v>
      </c>
      <c r="S15" s="90">
        <f t="shared" si="5"/>
        <v>1.1041666666666667</v>
      </c>
      <c r="T15" s="90">
        <f t="shared" si="5"/>
        <v>1.0902777777777777</v>
      </c>
      <c r="U15" s="90">
        <f t="shared" si="5"/>
        <v>1.0763888888888888</v>
      </c>
      <c r="V15" s="90">
        <f t="shared" si="5"/>
        <v>1.0625</v>
      </c>
    </row>
    <row r="16" spans="2:22" ht="12.75">
      <c r="B16">
        <f aca="true" t="shared" si="6" ref="B16:V16">IF(B10&lt;1E-28,0,B10)</f>
        <v>0</v>
      </c>
      <c r="C16">
        <f t="shared" si="6"/>
        <v>0</v>
      </c>
      <c r="D16">
        <f t="shared" si="6"/>
        <v>0</v>
      </c>
      <c r="E16">
        <f t="shared" si="6"/>
        <v>0</v>
      </c>
      <c r="F16">
        <f t="shared" si="6"/>
        <v>0</v>
      </c>
      <c r="G16">
        <f t="shared" si="6"/>
        <v>0</v>
      </c>
      <c r="H16">
        <f t="shared" si="6"/>
        <v>0</v>
      </c>
      <c r="I16">
        <f t="shared" si="6"/>
        <v>0</v>
      </c>
      <c r="J16">
        <f t="shared" si="6"/>
        <v>0</v>
      </c>
      <c r="K16">
        <f t="shared" si="6"/>
        <v>0.3333333333333333</v>
      </c>
      <c r="L16">
        <f t="shared" si="6"/>
        <v>0.3333333333333333</v>
      </c>
      <c r="M16">
        <f t="shared" si="6"/>
        <v>0.3333333333333333</v>
      </c>
      <c r="N16">
        <f t="shared" si="6"/>
        <v>0</v>
      </c>
      <c r="O16">
        <f t="shared" si="6"/>
        <v>0</v>
      </c>
      <c r="P16">
        <f t="shared" si="6"/>
        <v>0</v>
      </c>
      <c r="Q16">
        <f t="shared" si="6"/>
        <v>0</v>
      </c>
      <c r="R16">
        <f t="shared" si="6"/>
        <v>0</v>
      </c>
      <c r="S16">
        <f t="shared" si="6"/>
        <v>0</v>
      </c>
      <c r="T16">
        <f t="shared" si="6"/>
        <v>0</v>
      </c>
      <c r="U16">
        <f t="shared" si="6"/>
        <v>0</v>
      </c>
      <c r="V16">
        <f t="shared" si="6"/>
        <v>0</v>
      </c>
    </row>
    <row r="17" spans="1:22" ht="24.75" customHeight="1">
      <c r="A17" t="s">
        <v>254</v>
      </c>
      <c r="B17" s="28">
        <f aca="true" t="shared" si="7" ref="B17:J17">E17+($K17-$M18)</f>
        <v>22</v>
      </c>
      <c r="C17" s="28">
        <f t="shared" si="7"/>
        <v>21.333333333333336</v>
      </c>
      <c r="D17" s="28">
        <f t="shared" si="7"/>
        <v>20.666666666666668</v>
      </c>
      <c r="E17" s="28">
        <f t="shared" si="7"/>
        <v>20</v>
      </c>
      <c r="F17" s="28">
        <f t="shared" si="7"/>
        <v>19.333333333333336</v>
      </c>
      <c r="G17" s="28">
        <f t="shared" si="7"/>
        <v>18.666666666666668</v>
      </c>
      <c r="H17" s="28">
        <f t="shared" si="7"/>
        <v>18</v>
      </c>
      <c r="I17" s="28">
        <f t="shared" si="7"/>
        <v>17.333333333333336</v>
      </c>
      <c r="J17" s="28">
        <f t="shared" si="7"/>
        <v>16.666666666666668</v>
      </c>
      <c r="K17" s="119">
        <v>16</v>
      </c>
      <c r="L17" s="28">
        <f>K18</f>
        <v>15.333333333333334</v>
      </c>
      <c r="M17" s="28">
        <f>L18</f>
        <v>14.666666666666668</v>
      </c>
      <c r="N17" s="28">
        <f aca="true" t="shared" si="8" ref="N17:V17">K17-($K17-$M18)</f>
        <v>14</v>
      </c>
      <c r="O17" s="28">
        <f t="shared" si="8"/>
        <v>13.333333333333334</v>
      </c>
      <c r="P17" s="28">
        <f t="shared" si="8"/>
        <v>12.666666666666668</v>
      </c>
      <c r="Q17" s="28">
        <f t="shared" si="8"/>
        <v>12</v>
      </c>
      <c r="R17" s="28">
        <f t="shared" si="8"/>
        <v>11.333333333333334</v>
      </c>
      <c r="S17" s="28">
        <f t="shared" si="8"/>
        <v>10.666666666666668</v>
      </c>
      <c r="T17" s="28">
        <f t="shared" si="8"/>
        <v>10</v>
      </c>
      <c r="U17" s="28">
        <f t="shared" si="8"/>
        <v>9.333333333333334</v>
      </c>
      <c r="V17" s="28">
        <f t="shared" si="8"/>
        <v>8.666666666666668</v>
      </c>
    </row>
    <row r="18" spans="1:22" ht="13.5" thickBot="1">
      <c r="A18" s="90" t="s">
        <v>255</v>
      </c>
      <c r="B18" s="118">
        <f aca="true" t="shared" si="9" ref="B18:J18">E18+($K17-$M18)</f>
        <v>21.333333333333336</v>
      </c>
      <c r="C18" s="118">
        <f t="shared" si="9"/>
        <v>20.666666666666668</v>
      </c>
      <c r="D18" s="118">
        <f t="shared" si="9"/>
        <v>20</v>
      </c>
      <c r="E18" s="118">
        <f t="shared" si="9"/>
        <v>19.333333333333336</v>
      </c>
      <c r="F18" s="118">
        <f t="shared" si="9"/>
        <v>18.666666666666668</v>
      </c>
      <c r="G18" s="118">
        <f t="shared" si="9"/>
        <v>18</v>
      </c>
      <c r="H18" s="118">
        <f t="shared" si="9"/>
        <v>17.333333333333336</v>
      </c>
      <c r="I18" s="118">
        <f t="shared" si="9"/>
        <v>16.666666666666668</v>
      </c>
      <c r="J18" s="118">
        <f t="shared" si="9"/>
        <v>16</v>
      </c>
      <c r="K18" s="118">
        <f>K17-(($K17-$M18)/3)</f>
        <v>15.333333333333334</v>
      </c>
      <c r="L18" s="118">
        <f>L17-(($K17-$M18)/3)</f>
        <v>14.666666666666668</v>
      </c>
      <c r="M18" s="120">
        <v>14</v>
      </c>
      <c r="N18" s="118">
        <f aca="true" t="shared" si="10" ref="N18:V18">K18-($K17-$M18)</f>
        <v>13.333333333333334</v>
      </c>
      <c r="O18" s="118">
        <f t="shared" si="10"/>
        <v>12.666666666666668</v>
      </c>
      <c r="P18" s="118">
        <f t="shared" si="10"/>
        <v>12</v>
      </c>
      <c r="Q18" s="118">
        <f t="shared" si="10"/>
        <v>11.333333333333334</v>
      </c>
      <c r="R18" s="118">
        <f t="shared" si="10"/>
        <v>10.666666666666668</v>
      </c>
      <c r="S18" s="118">
        <f t="shared" si="10"/>
        <v>10</v>
      </c>
      <c r="T18" s="118">
        <f t="shared" si="10"/>
        <v>9.333333333333334</v>
      </c>
      <c r="U18" s="118">
        <f t="shared" si="10"/>
        <v>8.666666666666668</v>
      </c>
      <c r="V18" s="118">
        <f t="shared" si="10"/>
        <v>8</v>
      </c>
    </row>
    <row r="19" spans="1:22" ht="12.75">
      <c r="A19" t="s">
        <v>307</v>
      </c>
      <c r="B19">
        <v>0</v>
      </c>
      <c r="C19">
        <v>0</v>
      </c>
      <c r="D19">
        <v>0</v>
      </c>
      <c r="E19">
        <v>0</v>
      </c>
      <c r="F19">
        <v>0</v>
      </c>
      <c r="G19">
        <v>0</v>
      </c>
      <c r="H19">
        <v>0</v>
      </c>
      <c r="I19">
        <v>0</v>
      </c>
      <c r="J19">
        <v>8.559688641721048E-33</v>
      </c>
      <c r="K19">
        <v>0.11111111111111135</v>
      </c>
      <c r="L19">
        <v>0.29629629629629606</v>
      </c>
      <c r="M19">
        <v>0.25925925925925924</v>
      </c>
      <c r="N19">
        <v>0.18518518518518526</v>
      </c>
      <c r="O19">
        <v>0.11111111111111097</v>
      </c>
      <c r="P19">
        <v>0.0370370370370371</v>
      </c>
      <c r="Q19">
        <v>0</v>
      </c>
      <c r="R19">
        <v>0</v>
      </c>
      <c r="S19">
        <v>0</v>
      </c>
      <c r="T19">
        <v>0</v>
      </c>
      <c r="U19">
        <v>0</v>
      </c>
      <c r="V19">
        <v>0</v>
      </c>
    </row>
    <row r="20" spans="1:22" ht="31.5" customHeight="1">
      <c r="A20" t="s">
        <v>254</v>
      </c>
      <c r="B20" s="28">
        <f aca="true" t="shared" si="11" ref="B20:J20">E20+($K20-$M21)</f>
        <v>2200</v>
      </c>
      <c r="C20" s="28">
        <f t="shared" si="11"/>
        <v>2133.333333333333</v>
      </c>
      <c r="D20" s="28">
        <f t="shared" si="11"/>
        <v>2066.6666666666665</v>
      </c>
      <c r="E20" s="28">
        <f t="shared" si="11"/>
        <v>2000</v>
      </c>
      <c r="F20" s="28">
        <f t="shared" si="11"/>
        <v>1933.3333333333333</v>
      </c>
      <c r="G20" s="28">
        <f t="shared" si="11"/>
        <v>1866.6666666666665</v>
      </c>
      <c r="H20" s="28">
        <f t="shared" si="11"/>
        <v>1800</v>
      </c>
      <c r="I20" s="28">
        <f t="shared" si="11"/>
        <v>1733.3333333333333</v>
      </c>
      <c r="J20" s="28">
        <f t="shared" si="11"/>
        <v>1666.6666666666665</v>
      </c>
      <c r="K20" s="119">
        <v>1600</v>
      </c>
      <c r="L20" s="28">
        <f>K21</f>
        <v>1533.3333333333333</v>
      </c>
      <c r="M20" s="28">
        <f>L21</f>
        <v>1466.6666666666665</v>
      </c>
      <c r="N20" s="28">
        <f aca="true" t="shared" si="12" ref="N20:V20">K20-($K20-$M21)</f>
        <v>1400</v>
      </c>
      <c r="O20" s="28">
        <f t="shared" si="12"/>
        <v>1333.3333333333333</v>
      </c>
      <c r="P20" s="28">
        <f t="shared" si="12"/>
        <v>1266.6666666666665</v>
      </c>
      <c r="Q20" s="28">
        <f t="shared" si="12"/>
        <v>1200</v>
      </c>
      <c r="R20" s="28">
        <f t="shared" si="12"/>
        <v>1133.3333333333333</v>
      </c>
      <c r="S20" s="28">
        <f t="shared" si="12"/>
        <v>1066.6666666666665</v>
      </c>
      <c r="T20" s="28">
        <f t="shared" si="12"/>
        <v>1000</v>
      </c>
      <c r="U20" s="28">
        <f t="shared" si="12"/>
        <v>933.3333333333333</v>
      </c>
      <c r="V20" s="28">
        <f t="shared" si="12"/>
        <v>866.6666666666665</v>
      </c>
    </row>
    <row r="21" spans="1:22" ht="13.5" thickBot="1">
      <c r="A21" s="90" t="s">
        <v>255</v>
      </c>
      <c r="B21" s="118">
        <f aca="true" t="shared" si="13" ref="B21:J21">E21+($K20-$M21)</f>
        <v>2133.333333333333</v>
      </c>
      <c r="C21" s="118">
        <f t="shared" si="13"/>
        <v>2066.6666666666665</v>
      </c>
      <c r="D21" s="118">
        <f t="shared" si="13"/>
        <v>2000</v>
      </c>
      <c r="E21" s="118">
        <f t="shared" si="13"/>
        <v>1933.3333333333333</v>
      </c>
      <c r="F21" s="118">
        <f t="shared" si="13"/>
        <v>1866.6666666666665</v>
      </c>
      <c r="G21" s="118">
        <f t="shared" si="13"/>
        <v>1800</v>
      </c>
      <c r="H21" s="118">
        <f t="shared" si="13"/>
        <v>1733.3333333333333</v>
      </c>
      <c r="I21" s="118">
        <f t="shared" si="13"/>
        <v>1666.6666666666665</v>
      </c>
      <c r="J21" s="118">
        <f t="shared" si="13"/>
        <v>1600</v>
      </c>
      <c r="K21" s="118">
        <f>K20-(($K20-$M21)/3)</f>
        <v>1533.3333333333333</v>
      </c>
      <c r="L21" s="118">
        <f>L20-(($K20-$M21)/3)</f>
        <v>1466.6666666666665</v>
      </c>
      <c r="M21" s="120">
        <v>1400</v>
      </c>
      <c r="N21" s="118">
        <f aca="true" t="shared" si="14" ref="N21:V21">K21-($K20-$M21)</f>
        <v>1333.3333333333333</v>
      </c>
      <c r="O21" s="118">
        <f t="shared" si="14"/>
        <v>1266.6666666666665</v>
      </c>
      <c r="P21" s="118">
        <f t="shared" si="14"/>
        <v>1200</v>
      </c>
      <c r="Q21" s="118">
        <f t="shared" si="14"/>
        <v>1133.3333333333333</v>
      </c>
      <c r="R21" s="118">
        <f t="shared" si="14"/>
        <v>1066.6666666666665</v>
      </c>
      <c r="S21" s="118">
        <f t="shared" si="14"/>
        <v>1000</v>
      </c>
      <c r="T21" s="118">
        <f t="shared" si="14"/>
        <v>933.3333333333333</v>
      </c>
      <c r="U21" s="118">
        <f t="shared" si="14"/>
        <v>866.6666666666665</v>
      </c>
      <c r="V21" s="118">
        <f t="shared" si="14"/>
        <v>800</v>
      </c>
    </row>
    <row r="22" spans="1:22" ht="12.75">
      <c r="A22" t="s">
        <v>291</v>
      </c>
      <c r="B22">
        <v>0</v>
      </c>
      <c r="C22">
        <v>0</v>
      </c>
      <c r="D22">
        <v>0</v>
      </c>
      <c r="E22">
        <v>0</v>
      </c>
      <c r="F22">
        <v>0</v>
      </c>
      <c r="G22">
        <v>0</v>
      </c>
      <c r="H22">
        <v>0</v>
      </c>
      <c r="I22">
        <v>0</v>
      </c>
      <c r="J22">
        <v>0</v>
      </c>
      <c r="K22">
        <v>0</v>
      </c>
      <c r="L22">
        <v>0</v>
      </c>
      <c r="M22">
        <v>0</v>
      </c>
      <c r="N22">
        <v>0</v>
      </c>
      <c r="O22">
        <v>0</v>
      </c>
      <c r="P22">
        <v>0</v>
      </c>
      <c r="Q22">
        <v>0.037037037037037</v>
      </c>
      <c r="R22">
        <v>0.11111111111111091</v>
      </c>
      <c r="S22">
        <v>0.1851851851851848</v>
      </c>
      <c r="T22">
        <v>0.25925925925925875</v>
      </c>
      <c r="U22">
        <v>0.296296296296295</v>
      </c>
      <c r="V22">
        <v>0.11111111111111356</v>
      </c>
    </row>
    <row r="23" ht="24.75" customHeight="1"/>
    <row r="27" spans="1:22" ht="12.75">
      <c r="A27" s="111" t="s">
        <v>313</v>
      </c>
      <c r="B27">
        <f>((B14*$E$3)+$H$4)*1000/8760/$E$5</f>
        <v>0.01791421580519242</v>
      </c>
      <c r="C27">
        <f aca="true" t="shared" si="15" ref="C27:V27">((C14*$E$3)+$H$4)*1000/8760/$E$5</f>
        <v>0.017734069985222346</v>
      </c>
      <c r="D27">
        <f t="shared" si="15"/>
        <v>0.01755392416525228</v>
      </c>
      <c r="E27">
        <f t="shared" si="15"/>
        <v>0.01737377834528221</v>
      </c>
      <c r="F27">
        <f t="shared" si="15"/>
        <v>0.01719363252531214</v>
      </c>
      <c r="G27">
        <f t="shared" si="15"/>
        <v>0.017013486705342074</v>
      </c>
      <c r="H27">
        <f t="shared" si="15"/>
        <v>0.016833340885372</v>
      </c>
      <c r="I27">
        <f t="shared" si="15"/>
        <v>0.016653195065401936</v>
      </c>
      <c r="J27">
        <f t="shared" si="15"/>
        <v>0.016473049245431866</v>
      </c>
      <c r="K27">
        <f t="shared" si="15"/>
        <v>0.0162929034254618</v>
      </c>
      <c r="L27">
        <f t="shared" si="15"/>
        <v>0.016112757605491728</v>
      </c>
      <c r="M27">
        <f t="shared" si="15"/>
        <v>0.015932611785521657</v>
      </c>
      <c r="N27">
        <f t="shared" si="15"/>
        <v>0.01575246596555159</v>
      </c>
      <c r="O27">
        <f t="shared" si="15"/>
        <v>0.015572320145581525</v>
      </c>
      <c r="P27">
        <f t="shared" si="15"/>
        <v>0.015392174325611456</v>
      </c>
      <c r="Q27">
        <f t="shared" si="15"/>
        <v>0.015212028505641384</v>
      </c>
      <c r="R27">
        <f t="shared" si="15"/>
        <v>0.015031882685671316</v>
      </c>
      <c r="S27">
        <f t="shared" si="15"/>
        <v>0.01485173686570125</v>
      </c>
      <c r="T27">
        <f t="shared" si="15"/>
        <v>0.01467159104573118</v>
      </c>
      <c r="U27">
        <f t="shared" si="15"/>
        <v>0.01449144522576111</v>
      </c>
      <c r="V27">
        <f t="shared" si="15"/>
        <v>0.014311299405791043</v>
      </c>
    </row>
    <row r="28" spans="2:22" ht="13.5" thickBot="1">
      <c r="B28" s="90">
        <f>((B15*$E$3)+$H$4)*1000/8760/$E$5</f>
        <v>0.017734069985222346</v>
      </c>
      <c r="C28" s="90">
        <f aca="true" t="shared" si="16" ref="C28:V28">((C15*$E$3)+$H$4)*1000/8760/$E$5</f>
        <v>0.01755392416525228</v>
      </c>
      <c r="D28" s="90">
        <f t="shared" si="16"/>
        <v>0.01737377834528221</v>
      </c>
      <c r="E28" s="90">
        <f t="shared" si="16"/>
        <v>0.01719363252531214</v>
      </c>
      <c r="F28" s="90">
        <f t="shared" si="16"/>
        <v>0.017013486705342074</v>
      </c>
      <c r="G28" s="90">
        <f t="shared" si="16"/>
        <v>0.016833340885372</v>
      </c>
      <c r="H28" s="90">
        <f t="shared" si="16"/>
        <v>0.016653195065401936</v>
      </c>
      <c r="I28" s="90">
        <f t="shared" si="16"/>
        <v>0.016473049245431866</v>
      </c>
      <c r="J28" s="90">
        <f t="shared" si="16"/>
        <v>0.0162929034254618</v>
      </c>
      <c r="K28" s="90">
        <f t="shared" si="16"/>
        <v>0.016112757605491728</v>
      </c>
      <c r="L28" s="90">
        <f t="shared" si="16"/>
        <v>0.015932611785521657</v>
      </c>
      <c r="M28" s="90">
        <f t="shared" si="16"/>
        <v>0.01575246596555159</v>
      </c>
      <c r="N28" s="90">
        <f t="shared" si="16"/>
        <v>0.015572320145581525</v>
      </c>
      <c r="O28" s="90">
        <f t="shared" si="16"/>
        <v>0.015392174325611456</v>
      </c>
      <c r="P28" s="90">
        <f t="shared" si="16"/>
        <v>0.015212028505641384</v>
      </c>
      <c r="Q28" s="90">
        <f t="shared" si="16"/>
        <v>0.015031882685671316</v>
      </c>
      <c r="R28" s="90">
        <f t="shared" si="16"/>
        <v>0.01485173686570125</v>
      </c>
      <c r="S28" s="90">
        <f t="shared" si="16"/>
        <v>0.01467159104573118</v>
      </c>
      <c r="T28" s="90">
        <f t="shared" si="16"/>
        <v>0.01449144522576111</v>
      </c>
      <c r="U28" s="90">
        <f t="shared" si="16"/>
        <v>0.014311299405791043</v>
      </c>
      <c r="V28" s="90">
        <f t="shared" si="16"/>
        <v>0.014131153585820976</v>
      </c>
    </row>
    <row r="29" spans="2:22" ht="12.75">
      <c r="B29">
        <f>IF(B16&lt;1E-28,0,B16)</f>
        <v>0</v>
      </c>
      <c r="C29">
        <f aca="true" t="shared" si="17" ref="C29:V29">IF(C16&lt;1E-28,0,C16)</f>
        <v>0</v>
      </c>
      <c r="D29">
        <f t="shared" si="17"/>
        <v>0</v>
      </c>
      <c r="E29">
        <f t="shared" si="17"/>
        <v>0</v>
      </c>
      <c r="F29">
        <f t="shared" si="17"/>
        <v>0</v>
      </c>
      <c r="G29">
        <f t="shared" si="17"/>
        <v>0</v>
      </c>
      <c r="H29">
        <f t="shared" si="17"/>
        <v>0</v>
      </c>
      <c r="I29">
        <f t="shared" si="17"/>
        <v>0</v>
      </c>
      <c r="J29">
        <f t="shared" si="17"/>
        <v>0</v>
      </c>
      <c r="K29">
        <f t="shared" si="17"/>
        <v>0.3333333333333333</v>
      </c>
      <c r="L29">
        <f t="shared" si="17"/>
        <v>0.3333333333333333</v>
      </c>
      <c r="M29">
        <f t="shared" si="17"/>
        <v>0.3333333333333333</v>
      </c>
      <c r="N29">
        <f t="shared" si="17"/>
        <v>0</v>
      </c>
      <c r="O29">
        <f t="shared" si="17"/>
        <v>0</v>
      </c>
      <c r="P29">
        <f t="shared" si="17"/>
        <v>0</v>
      </c>
      <c r="Q29">
        <f t="shared" si="17"/>
        <v>0</v>
      </c>
      <c r="R29">
        <f t="shared" si="17"/>
        <v>0</v>
      </c>
      <c r="S29">
        <f t="shared" si="17"/>
        <v>0</v>
      </c>
      <c r="T29">
        <f t="shared" si="17"/>
        <v>0</v>
      </c>
      <c r="U29">
        <f t="shared" si="17"/>
        <v>0</v>
      </c>
      <c r="V29">
        <f t="shared" si="17"/>
        <v>0</v>
      </c>
    </row>
    <row r="33" spans="1:22" ht="12.75">
      <c r="A33" s="111" t="s">
        <v>314</v>
      </c>
      <c r="B33" s="28">
        <f aca="true" t="shared" si="18" ref="B33:J33">E33+($K33-$M34)</f>
        <v>33</v>
      </c>
      <c r="C33" s="28">
        <f t="shared" si="18"/>
        <v>31.666666666666668</v>
      </c>
      <c r="D33" s="28">
        <f t="shared" si="18"/>
        <v>30.333333333333336</v>
      </c>
      <c r="E33" s="28">
        <f t="shared" si="18"/>
        <v>29</v>
      </c>
      <c r="F33" s="28">
        <f t="shared" si="18"/>
        <v>27.666666666666668</v>
      </c>
      <c r="G33" s="28">
        <f t="shared" si="18"/>
        <v>26.333333333333336</v>
      </c>
      <c r="H33" s="28">
        <f t="shared" si="18"/>
        <v>25</v>
      </c>
      <c r="I33" s="28">
        <f t="shared" si="18"/>
        <v>23.666666666666668</v>
      </c>
      <c r="J33" s="28">
        <f t="shared" si="18"/>
        <v>22.333333333333336</v>
      </c>
      <c r="K33" s="119">
        <v>21</v>
      </c>
      <c r="L33" s="28">
        <f>K34</f>
        <v>19.666666666666668</v>
      </c>
      <c r="M33" s="28">
        <f>L34</f>
        <v>18.333333333333336</v>
      </c>
      <c r="N33" s="28">
        <f aca="true" t="shared" si="19" ref="N33:V33">K33-($K33-$M34)</f>
        <v>17</v>
      </c>
      <c r="O33" s="28">
        <f t="shared" si="19"/>
        <v>15.666666666666668</v>
      </c>
      <c r="P33" s="28">
        <f t="shared" si="19"/>
        <v>14.333333333333336</v>
      </c>
      <c r="Q33" s="28">
        <f t="shared" si="19"/>
        <v>13</v>
      </c>
      <c r="R33" s="28">
        <f t="shared" si="19"/>
        <v>11.666666666666668</v>
      </c>
      <c r="S33" s="28">
        <f t="shared" si="19"/>
        <v>10.333333333333336</v>
      </c>
      <c r="T33" s="28">
        <f t="shared" si="19"/>
        <v>9</v>
      </c>
      <c r="U33" s="28">
        <f t="shared" si="19"/>
        <v>7.666666666666668</v>
      </c>
      <c r="V33" s="28">
        <f t="shared" si="19"/>
        <v>6.333333333333336</v>
      </c>
    </row>
    <row r="34" spans="2:22" ht="13.5" thickBot="1">
      <c r="B34" s="118">
        <f aca="true" t="shared" si="20" ref="B34:J34">E34+($K33-$M34)</f>
        <v>31.666666666666668</v>
      </c>
      <c r="C34" s="118">
        <f t="shared" si="20"/>
        <v>30.333333333333336</v>
      </c>
      <c r="D34" s="118">
        <f t="shared" si="20"/>
        <v>29</v>
      </c>
      <c r="E34" s="118">
        <f t="shared" si="20"/>
        <v>27.666666666666668</v>
      </c>
      <c r="F34" s="118">
        <f t="shared" si="20"/>
        <v>26.333333333333336</v>
      </c>
      <c r="G34" s="118">
        <f t="shared" si="20"/>
        <v>25</v>
      </c>
      <c r="H34" s="118">
        <f t="shared" si="20"/>
        <v>23.666666666666668</v>
      </c>
      <c r="I34" s="118">
        <f t="shared" si="20"/>
        <v>22.333333333333336</v>
      </c>
      <c r="J34" s="118">
        <f t="shared" si="20"/>
        <v>21</v>
      </c>
      <c r="K34" s="118">
        <f>K33-(($K33-$M34)/3)</f>
        <v>19.666666666666668</v>
      </c>
      <c r="L34" s="118">
        <f>L33-(($K33-$M34)/3)</f>
        <v>18.333333333333336</v>
      </c>
      <c r="M34" s="120">
        <v>17</v>
      </c>
      <c r="N34" s="118">
        <f aca="true" t="shared" si="21" ref="N34:V34">K34-($K33-$M34)</f>
        <v>15.666666666666668</v>
      </c>
      <c r="O34" s="118">
        <f t="shared" si="21"/>
        <v>14.333333333333336</v>
      </c>
      <c r="P34" s="118">
        <f t="shared" si="21"/>
        <v>13</v>
      </c>
      <c r="Q34" s="118">
        <f t="shared" si="21"/>
        <v>11.666666666666668</v>
      </c>
      <c r="R34" s="118">
        <f t="shared" si="21"/>
        <v>10.333333333333336</v>
      </c>
      <c r="S34" s="118">
        <f t="shared" si="21"/>
        <v>9</v>
      </c>
      <c r="T34" s="118">
        <f t="shared" si="21"/>
        <v>7.666666666666668</v>
      </c>
      <c r="U34" s="118">
        <f t="shared" si="21"/>
        <v>6.333333333333336</v>
      </c>
      <c r="V34" s="118">
        <f t="shared" si="21"/>
        <v>5</v>
      </c>
    </row>
    <row r="35" spans="2:22" ht="12" customHeight="1">
      <c r="B35">
        <v>0</v>
      </c>
      <c r="C35">
        <v>0</v>
      </c>
      <c r="D35">
        <v>0</v>
      </c>
      <c r="E35">
        <v>0</v>
      </c>
      <c r="F35">
        <v>0</v>
      </c>
      <c r="G35">
        <v>0</v>
      </c>
      <c r="H35">
        <v>0</v>
      </c>
      <c r="I35">
        <v>0</v>
      </c>
      <c r="J35">
        <v>0</v>
      </c>
      <c r="K35">
        <v>0</v>
      </c>
      <c r="L35">
        <v>0.03281541198083235</v>
      </c>
      <c r="M35">
        <v>0.13703153199412144</v>
      </c>
      <c r="N35">
        <v>0.2563444210726462</v>
      </c>
      <c r="O35">
        <v>0.3359919280151362</v>
      </c>
      <c r="P35">
        <v>0.21457173691105452</v>
      </c>
      <c r="Q35">
        <v>0.02324497002620919</v>
      </c>
      <c r="R35">
        <v>0</v>
      </c>
      <c r="S35">
        <v>0</v>
      </c>
      <c r="T35">
        <v>0</v>
      </c>
      <c r="U35">
        <v>0</v>
      </c>
      <c r="V35">
        <v>0</v>
      </c>
    </row>
    <row r="36" spans="1:22" ht="30.75" customHeight="1">
      <c r="A36" t="s">
        <v>300</v>
      </c>
      <c r="B36" s="28">
        <f aca="true" t="shared" si="22" ref="B36:J37">E36+($K$36-$M$37)</f>
        <v>46</v>
      </c>
      <c r="C36" s="28">
        <f t="shared" si="22"/>
        <v>44.666666666666664</v>
      </c>
      <c r="D36" s="28">
        <f t="shared" si="22"/>
        <v>43.33333333333333</v>
      </c>
      <c r="E36" s="28">
        <f t="shared" si="22"/>
        <v>42</v>
      </c>
      <c r="F36" s="28">
        <f t="shared" si="22"/>
        <v>40.666666666666664</v>
      </c>
      <c r="G36" s="28">
        <f t="shared" si="22"/>
        <v>39.33333333333333</v>
      </c>
      <c r="H36" s="28">
        <f t="shared" si="22"/>
        <v>38</v>
      </c>
      <c r="I36" s="28">
        <f t="shared" si="22"/>
        <v>36.666666666666664</v>
      </c>
      <c r="J36" s="28">
        <f t="shared" si="22"/>
        <v>35.33333333333333</v>
      </c>
      <c r="K36" s="119">
        <v>34</v>
      </c>
      <c r="L36" s="28">
        <f>K37</f>
        <v>32.666666666666664</v>
      </c>
      <c r="M36" s="28">
        <f>L37</f>
        <v>31.333333333333332</v>
      </c>
      <c r="N36" s="28">
        <f aca="true" t="shared" si="23" ref="N36:V37">K36-($K$36-$M$37)</f>
        <v>30</v>
      </c>
      <c r="O36" s="28">
        <f t="shared" si="23"/>
        <v>28.666666666666664</v>
      </c>
      <c r="P36" s="28">
        <f t="shared" si="23"/>
        <v>27.333333333333332</v>
      </c>
      <c r="Q36" s="28">
        <f t="shared" si="23"/>
        <v>26</v>
      </c>
      <c r="R36" s="28">
        <f t="shared" si="23"/>
        <v>24.666666666666664</v>
      </c>
      <c r="S36" s="28">
        <f t="shared" si="23"/>
        <v>23.333333333333332</v>
      </c>
      <c r="T36" s="28">
        <f t="shared" si="23"/>
        <v>22</v>
      </c>
      <c r="U36" s="28">
        <f t="shared" si="23"/>
        <v>20.666666666666664</v>
      </c>
      <c r="V36" s="28">
        <f t="shared" si="23"/>
        <v>19.333333333333332</v>
      </c>
    </row>
    <row r="37" spans="1:22" ht="13.5" thickBot="1">
      <c r="A37" t="s">
        <v>301</v>
      </c>
      <c r="B37" s="118">
        <f t="shared" si="22"/>
        <v>44.666666666666664</v>
      </c>
      <c r="C37" s="118">
        <f t="shared" si="22"/>
        <v>43.33333333333333</v>
      </c>
      <c r="D37" s="118">
        <f t="shared" si="22"/>
        <v>42</v>
      </c>
      <c r="E37" s="118">
        <f t="shared" si="22"/>
        <v>40.666666666666664</v>
      </c>
      <c r="F37" s="118">
        <f t="shared" si="22"/>
        <v>39.33333333333333</v>
      </c>
      <c r="G37" s="118">
        <f t="shared" si="22"/>
        <v>38</v>
      </c>
      <c r="H37" s="118">
        <f t="shared" si="22"/>
        <v>36.666666666666664</v>
      </c>
      <c r="I37" s="118">
        <f t="shared" si="22"/>
        <v>35.33333333333333</v>
      </c>
      <c r="J37" s="118">
        <f t="shared" si="22"/>
        <v>34</v>
      </c>
      <c r="K37" s="118">
        <f>K36-(($K$36-$M$37)/3)</f>
        <v>32.666666666666664</v>
      </c>
      <c r="L37" s="118">
        <f>L36-(($K$36-$M$37)/3)</f>
        <v>31.333333333333332</v>
      </c>
      <c r="M37" s="120">
        <v>30</v>
      </c>
      <c r="N37" s="118">
        <f t="shared" si="23"/>
        <v>28.666666666666664</v>
      </c>
      <c r="O37" s="118">
        <f t="shared" si="23"/>
        <v>27.333333333333332</v>
      </c>
      <c r="P37" s="118">
        <f t="shared" si="23"/>
        <v>26</v>
      </c>
      <c r="Q37" s="118">
        <f t="shared" si="23"/>
        <v>24.666666666666664</v>
      </c>
      <c r="R37" s="118">
        <f t="shared" si="23"/>
        <v>23.333333333333332</v>
      </c>
      <c r="S37" s="118">
        <f t="shared" si="23"/>
        <v>22</v>
      </c>
      <c r="T37" s="118">
        <f t="shared" si="23"/>
        <v>20.666666666666664</v>
      </c>
      <c r="U37" s="118">
        <f t="shared" si="23"/>
        <v>19.333333333333332</v>
      </c>
      <c r="V37" s="118">
        <f t="shared" si="23"/>
        <v>18</v>
      </c>
    </row>
    <row r="38" spans="1:22" ht="13.5" thickBot="1">
      <c r="A38" s="90" t="s">
        <v>299</v>
      </c>
      <c r="B38" s="115">
        <v>0</v>
      </c>
      <c r="C38" s="116">
        <v>0</v>
      </c>
      <c r="D38" s="116">
        <v>0</v>
      </c>
      <c r="E38" s="116">
        <v>0</v>
      </c>
      <c r="F38" s="116">
        <v>0</v>
      </c>
      <c r="G38" s="116">
        <v>0</v>
      </c>
      <c r="H38" s="116">
        <v>0.0034435926152725574</v>
      </c>
      <c r="I38" s="116">
        <v>0.02795165831244372</v>
      </c>
      <c r="J38" s="116">
        <v>0.09552516733771739</v>
      </c>
      <c r="K38" s="116">
        <v>0.19483010365082004</v>
      </c>
      <c r="L38" s="116">
        <v>0.2702647070102665</v>
      </c>
      <c r="M38" s="116">
        <v>0.24287793659062312</v>
      </c>
      <c r="N38" s="116">
        <v>0.12667496663489705</v>
      </c>
      <c r="O38" s="116">
        <v>0.034381089036792746</v>
      </c>
      <c r="P38" s="116">
        <v>0.003907291341869248</v>
      </c>
      <c r="Q38" s="116">
        <v>0.00014348746929758734</v>
      </c>
      <c r="R38" s="116">
        <v>0</v>
      </c>
      <c r="S38" s="116">
        <v>0</v>
      </c>
      <c r="T38" s="116">
        <v>0</v>
      </c>
      <c r="U38" s="116">
        <v>0</v>
      </c>
      <c r="V38" s="117">
        <v>0</v>
      </c>
    </row>
    <row r="39" spans="1:3" ht="13.5" thickBot="1">
      <c r="A39" s="114" t="s">
        <v>297</v>
      </c>
      <c r="B39" s="114" t="s">
        <v>298</v>
      </c>
      <c r="C39" s="114" t="s">
        <v>299</v>
      </c>
    </row>
    <row r="40" spans="1:3" ht="12.75">
      <c r="A40">
        <v>57</v>
      </c>
      <c r="B40">
        <v>55</v>
      </c>
      <c r="C40">
        <v>0</v>
      </c>
    </row>
    <row r="41" spans="1:3" ht="12.75">
      <c r="A41">
        <v>56.333333333333336</v>
      </c>
      <c r="B41">
        <v>54.333333333333336</v>
      </c>
      <c r="C41">
        <v>0</v>
      </c>
    </row>
    <row r="42" spans="1:3" ht="12.75">
      <c r="A42">
        <v>55.66666666666667</v>
      </c>
      <c r="B42">
        <v>53.66666666666667</v>
      </c>
      <c r="C42">
        <v>0</v>
      </c>
    </row>
    <row r="43" spans="1:3" ht="12.75">
      <c r="A43" s="112">
        <v>55</v>
      </c>
      <c r="B43">
        <v>53</v>
      </c>
      <c r="C43">
        <v>0</v>
      </c>
    </row>
    <row r="44" spans="1:3" ht="12.75">
      <c r="A44">
        <v>54.333333333333336</v>
      </c>
      <c r="B44">
        <v>52.333333333333336</v>
      </c>
      <c r="C44">
        <v>0</v>
      </c>
    </row>
    <row r="45" spans="1:3" ht="12.75">
      <c r="A45">
        <v>53.66666666666667</v>
      </c>
      <c r="B45">
        <v>51.66666666666667</v>
      </c>
      <c r="C45">
        <v>0</v>
      </c>
    </row>
    <row r="46" spans="1:3" ht="12.75">
      <c r="A46">
        <v>53</v>
      </c>
      <c r="B46">
        <v>51</v>
      </c>
      <c r="C46">
        <v>0</v>
      </c>
    </row>
    <row r="47" spans="1:3" ht="12.75">
      <c r="A47">
        <v>52.333333333333336</v>
      </c>
      <c r="B47">
        <v>50.333333333333336</v>
      </c>
      <c r="C47">
        <v>0</v>
      </c>
    </row>
    <row r="48" spans="1:3" ht="12.75">
      <c r="A48">
        <v>51.66666666666667</v>
      </c>
      <c r="B48">
        <v>49.66666666666667</v>
      </c>
      <c r="C48">
        <v>0</v>
      </c>
    </row>
    <row r="49" spans="1:3" ht="12.75">
      <c r="A49">
        <v>51</v>
      </c>
      <c r="B49">
        <v>49</v>
      </c>
      <c r="C49">
        <v>0</v>
      </c>
    </row>
    <row r="50" spans="1:3" ht="12.75">
      <c r="A50">
        <v>50.333333333333336</v>
      </c>
      <c r="B50">
        <v>48.333333333333336</v>
      </c>
      <c r="C50">
        <v>0</v>
      </c>
    </row>
    <row r="51" spans="1:3" ht="12.75">
      <c r="A51">
        <v>49.66666666666667</v>
      </c>
      <c r="B51">
        <v>47.66666666666667</v>
      </c>
      <c r="C51">
        <v>0</v>
      </c>
    </row>
    <row r="52" spans="1:3" ht="12.75">
      <c r="A52">
        <v>49</v>
      </c>
      <c r="B52">
        <v>47</v>
      </c>
      <c r="C52">
        <v>0</v>
      </c>
    </row>
    <row r="53" spans="1:3" ht="12.75">
      <c r="A53">
        <v>48.333333333333336</v>
      </c>
      <c r="B53">
        <v>46.333333333333336</v>
      </c>
      <c r="C53">
        <v>0</v>
      </c>
    </row>
    <row r="54" spans="1:3" ht="12.75">
      <c r="A54">
        <v>47.66666666666667</v>
      </c>
      <c r="B54">
        <v>45.66666666666667</v>
      </c>
      <c r="C54">
        <v>0</v>
      </c>
    </row>
    <row r="55" spans="1:3" ht="12.75">
      <c r="A55">
        <v>47</v>
      </c>
      <c r="B55">
        <v>45</v>
      </c>
      <c r="C55">
        <v>0</v>
      </c>
    </row>
    <row r="56" spans="1:3" ht="12.75">
      <c r="A56">
        <v>46.333333333333336</v>
      </c>
      <c r="B56">
        <v>44.333333333333336</v>
      </c>
      <c r="C56">
        <v>0</v>
      </c>
    </row>
    <row r="57" spans="1:3" ht="12.75">
      <c r="A57">
        <v>45.66666666666667</v>
      </c>
      <c r="B57">
        <v>43.66666666666667</v>
      </c>
      <c r="C57">
        <v>0</v>
      </c>
    </row>
    <row r="58" spans="1:3" ht="12.75">
      <c r="A58">
        <v>45</v>
      </c>
      <c r="B58">
        <v>43</v>
      </c>
      <c r="C58">
        <v>0</v>
      </c>
    </row>
    <row r="59" spans="1:3" ht="12.75">
      <c r="A59">
        <v>44.333333333333336</v>
      </c>
      <c r="B59">
        <v>42.333333333333336</v>
      </c>
      <c r="C59">
        <v>0</v>
      </c>
    </row>
    <row r="60" spans="1:3" ht="12.75">
      <c r="A60">
        <v>43.66666666666667</v>
      </c>
      <c r="B60">
        <v>41.66666666666667</v>
      </c>
      <c r="C60">
        <v>0</v>
      </c>
    </row>
    <row r="61" spans="1:3" ht="12.75">
      <c r="A61">
        <v>55.66666666666667</v>
      </c>
      <c r="B61">
        <v>53.66666666666667</v>
      </c>
      <c r="C61">
        <v>0</v>
      </c>
    </row>
    <row r="62" spans="1:3" ht="12.75">
      <c r="A62">
        <v>55</v>
      </c>
      <c r="B62">
        <v>53</v>
      </c>
      <c r="C62">
        <v>0</v>
      </c>
    </row>
    <row r="63" spans="1:3" ht="12.75">
      <c r="A63">
        <v>54.333333333333336</v>
      </c>
      <c r="B63">
        <v>52.333333333333336</v>
      </c>
      <c r="C63">
        <v>0</v>
      </c>
    </row>
    <row r="64" spans="1:3" ht="12.75">
      <c r="A64">
        <v>53.66666666666667</v>
      </c>
      <c r="B64">
        <v>51.66666666666667</v>
      </c>
      <c r="C64">
        <v>0</v>
      </c>
    </row>
    <row r="65" spans="1:3" ht="12.75">
      <c r="A65">
        <v>53</v>
      </c>
      <c r="B65">
        <v>51</v>
      </c>
      <c r="C65">
        <v>0</v>
      </c>
    </row>
    <row r="66" spans="1:3" ht="12.75">
      <c r="A66">
        <v>52.333333333333336</v>
      </c>
      <c r="B66">
        <v>50.333333333333336</v>
      </c>
      <c r="C66">
        <v>0</v>
      </c>
    </row>
    <row r="67" spans="1:3" ht="12.75">
      <c r="A67">
        <v>51.66666666666667</v>
      </c>
      <c r="B67">
        <v>49.66666666666667</v>
      </c>
      <c r="C67">
        <v>0</v>
      </c>
    </row>
    <row r="68" spans="1:3" ht="12.75">
      <c r="A68">
        <v>51</v>
      </c>
      <c r="B68">
        <v>49</v>
      </c>
      <c r="C68">
        <v>0</v>
      </c>
    </row>
    <row r="69" spans="1:3" ht="12.75">
      <c r="A69">
        <v>50.333333333333336</v>
      </c>
      <c r="B69">
        <v>48.333333333333336</v>
      </c>
      <c r="C69">
        <v>0</v>
      </c>
    </row>
    <row r="70" spans="1:3" ht="12.75">
      <c r="A70">
        <v>49.66666666666667</v>
      </c>
      <c r="B70">
        <v>47.66666666666667</v>
      </c>
      <c r="C70">
        <v>0</v>
      </c>
    </row>
    <row r="71" spans="1:3" ht="12.75">
      <c r="A71">
        <v>49</v>
      </c>
      <c r="B71">
        <v>47</v>
      </c>
      <c r="C71">
        <v>0</v>
      </c>
    </row>
    <row r="72" spans="1:3" ht="12.75">
      <c r="A72">
        <v>48.333333333333336</v>
      </c>
      <c r="B72">
        <v>46.333333333333336</v>
      </c>
      <c r="C72">
        <v>0</v>
      </c>
    </row>
    <row r="73" spans="1:3" ht="12.75">
      <c r="A73">
        <v>47.66666666666667</v>
      </c>
      <c r="B73">
        <v>45.66666666666667</v>
      </c>
      <c r="C73">
        <v>0</v>
      </c>
    </row>
    <row r="74" spans="1:3" ht="12.75">
      <c r="A74">
        <v>47</v>
      </c>
      <c r="B74">
        <v>45</v>
      </c>
      <c r="C74">
        <v>0</v>
      </c>
    </row>
    <row r="75" spans="1:3" ht="12.75">
      <c r="A75">
        <v>46.333333333333336</v>
      </c>
      <c r="B75">
        <v>44.333333333333336</v>
      </c>
      <c r="C75">
        <v>0</v>
      </c>
    </row>
    <row r="76" spans="1:3" ht="12.75">
      <c r="A76">
        <v>45.66666666666667</v>
      </c>
      <c r="B76">
        <v>43.66666666666667</v>
      </c>
      <c r="C76">
        <v>0</v>
      </c>
    </row>
    <row r="77" spans="1:3" ht="12.75">
      <c r="A77">
        <v>45</v>
      </c>
      <c r="B77">
        <v>43</v>
      </c>
      <c r="C77">
        <v>0</v>
      </c>
    </row>
    <row r="78" spans="1:3" ht="12.75">
      <c r="A78">
        <v>44.333333333333336</v>
      </c>
      <c r="B78">
        <v>42.333333333333336</v>
      </c>
      <c r="C78">
        <v>0</v>
      </c>
    </row>
    <row r="79" spans="1:3" ht="12.75">
      <c r="A79">
        <v>43.66666666666667</v>
      </c>
      <c r="B79">
        <v>41.66666666666667</v>
      </c>
      <c r="C79">
        <v>0</v>
      </c>
    </row>
    <row r="80" spans="1:3" ht="12.75">
      <c r="A80">
        <v>43</v>
      </c>
      <c r="B80">
        <v>41</v>
      </c>
      <c r="C80">
        <v>0</v>
      </c>
    </row>
    <row r="81" spans="1:3" ht="12.75">
      <c r="A81">
        <v>42.333333333333336</v>
      </c>
      <c r="B81">
        <v>40.333333333333336</v>
      </c>
      <c r="C81">
        <v>0</v>
      </c>
    </row>
    <row r="82" spans="1:3" ht="12.75">
      <c r="A82">
        <v>54.333333333333336</v>
      </c>
      <c r="B82">
        <v>52.333333333333336</v>
      </c>
      <c r="C82">
        <v>0</v>
      </c>
    </row>
    <row r="83" spans="1:3" ht="12.75">
      <c r="A83">
        <v>53.66666666666667</v>
      </c>
      <c r="B83">
        <v>51.66666666666667</v>
      </c>
      <c r="C83">
        <v>0</v>
      </c>
    </row>
    <row r="84" spans="1:3" ht="12.75">
      <c r="A84">
        <v>53</v>
      </c>
      <c r="B84">
        <v>51</v>
      </c>
      <c r="C84">
        <v>0</v>
      </c>
    </row>
    <row r="85" spans="1:3" ht="12.75">
      <c r="A85">
        <v>52.333333333333336</v>
      </c>
      <c r="B85">
        <v>50.333333333333336</v>
      </c>
      <c r="C85">
        <v>0</v>
      </c>
    </row>
    <row r="86" spans="1:3" ht="12.75">
      <c r="A86">
        <v>51.66666666666667</v>
      </c>
      <c r="B86">
        <v>49.66666666666667</v>
      </c>
      <c r="C86">
        <v>0</v>
      </c>
    </row>
    <row r="87" spans="1:3" ht="12.75">
      <c r="A87">
        <v>51</v>
      </c>
      <c r="B87">
        <v>49</v>
      </c>
      <c r="C87">
        <v>0</v>
      </c>
    </row>
    <row r="88" spans="1:3" ht="12.75">
      <c r="A88">
        <v>50.333333333333336</v>
      </c>
      <c r="B88">
        <v>48.333333333333336</v>
      </c>
      <c r="C88">
        <v>0</v>
      </c>
    </row>
    <row r="89" spans="1:3" ht="12.75">
      <c r="A89">
        <v>49.66666666666667</v>
      </c>
      <c r="B89">
        <v>47.66666666666667</v>
      </c>
      <c r="C89">
        <v>0</v>
      </c>
    </row>
    <row r="90" spans="1:3" ht="12.75">
      <c r="A90">
        <v>49</v>
      </c>
      <c r="B90">
        <v>47</v>
      </c>
      <c r="C90">
        <v>0</v>
      </c>
    </row>
    <row r="91" spans="1:3" ht="12.75">
      <c r="A91">
        <v>48.333333333333336</v>
      </c>
      <c r="B91">
        <v>46.333333333333336</v>
      </c>
      <c r="C91">
        <v>0</v>
      </c>
    </row>
    <row r="92" spans="1:3" ht="12.75">
      <c r="A92">
        <v>47.66666666666667</v>
      </c>
      <c r="B92">
        <v>45.66666666666667</v>
      </c>
      <c r="C92">
        <v>0</v>
      </c>
    </row>
    <row r="93" spans="1:3" ht="12.75">
      <c r="A93">
        <v>47</v>
      </c>
      <c r="B93">
        <v>45</v>
      </c>
      <c r="C93">
        <v>0</v>
      </c>
    </row>
    <row r="94" spans="1:3" ht="12.75">
      <c r="A94">
        <v>46.333333333333336</v>
      </c>
      <c r="B94">
        <v>44.333333333333336</v>
      </c>
      <c r="C94">
        <v>0</v>
      </c>
    </row>
    <row r="95" spans="1:3" ht="12.75">
      <c r="A95">
        <v>45.66666666666667</v>
      </c>
      <c r="B95">
        <v>43.66666666666667</v>
      </c>
      <c r="C95">
        <v>0</v>
      </c>
    </row>
    <row r="96" spans="1:3" ht="12.75">
      <c r="A96">
        <v>45</v>
      </c>
      <c r="B96">
        <v>43</v>
      </c>
      <c r="C96">
        <v>0</v>
      </c>
    </row>
    <row r="97" spans="1:3" ht="12.75">
      <c r="A97">
        <v>44.333333333333336</v>
      </c>
      <c r="B97">
        <v>42.333333333333336</v>
      </c>
      <c r="C97">
        <v>0</v>
      </c>
    </row>
    <row r="98" spans="1:3" ht="12.75">
      <c r="A98">
        <v>43.66666666666667</v>
      </c>
      <c r="B98">
        <v>41.66666666666667</v>
      </c>
      <c r="C98">
        <v>0</v>
      </c>
    </row>
    <row r="99" spans="1:3" ht="12.75">
      <c r="A99">
        <v>43</v>
      </c>
      <c r="B99">
        <v>41</v>
      </c>
      <c r="C99">
        <v>0</v>
      </c>
    </row>
    <row r="100" spans="1:3" ht="12.75">
      <c r="A100">
        <v>42.333333333333336</v>
      </c>
      <c r="B100">
        <v>40.333333333333336</v>
      </c>
      <c r="C100">
        <v>0</v>
      </c>
    </row>
    <row r="101" spans="1:3" ht="12.75">
      <c r="A101">
        <v>41.66666666666667</v>
      </c>
      <c r="B101">
        <v>39.66666666666667</v>
      </c>
      <c r="C101">
        <v>0</v>
      </c>
    </row>
    <row r="102" spans="1:3" ht="12.75">
      <c r="A102">
        <v>41</v>
      </c>
      <c r="B102">
        <v>39</v>
      </c>
      <c r="C102">
        <v>0</v>
      </c>
    </row>
    <row r="103" spans="1:3" ht="12.75">
      <c r="A103">
        <v>53</v>
      </c>
      <c r="B103">
        <v>51</v>
      </c>
      <c r="C103">
        <v>0</v>
      </c>
    </row>
    <row r="104" spans="1:3" ht="12.75">
      <c r="A104">
        <v>52.333333333333336</v>
      </c>
      <c r="B104">
        <v>50.333333333333336</v>
      </c>
      <c r="C104">
        <v>0</v>
      </c>
    </row>
    <row r="105" spans="1:3" ht="12.75">
      <c r="A105">
        <v>51.66666666666667</v>
      </c>
      <c r="B105">
        <v>49.66666666666667</v>
      </c>
      <c r="C105">
        <v>0</v>
      </c>
    </row>
    <row r="106" spans="1:3" ht="12.75">
      <c r="A106">
        <v>51</v>
      </c>
      <c r="B106">
        <v>49</v>
      </c>
      <c r="C106">
        <v>0</v>
      </c>
    </row>
    <row r="107" spans="1:3" ht="12.75">
      <c r="A107">
        <v>50.333333333333336</v>
      </c>
      <c r="B107">
        <v>48.333333333333336</v>
      </c>
      <c r="C107">
        <v>0</v>
      </c>
    </row>
    <row r="108" spans="1:3" ht="12.75">
      <c r="A108">
        <v>49.66666666666667</v>
      </c>
      <c r="B108">
        <v>47.66666666666667</v>
      </c>
      <c r="C108">
        <v>0</v>
      </c>
    </row>
    <row r="109" spans="1:3" ht="12.75">
      <c r="A109">
        <v>49</v>
      </c>
      <c r="B109">
        <v>47</v>
      </c>
      <c r="C109">
        <v>0</v>
      </c>
    </row>
    <row r="110" spans="1:3" ht="12.75">
      <c r="A110">
        <v>48.333333333333336</v>
      </c>
      <c r="B110">
        <v>46.333333333333336</v>
      </c>
      <c r="C110">
        <v>0</v>
      </c>
    </row>
    <row r="111" spans="1:3" ht="12.75">
      <c r="A111">
        <v>47.66666666666667</v>
      </c>
      <c r="B111">
        <v>45.66666666666667</v>
      </c>
      <c r="C111">
        <v>0</v>
      </c>
    </row>
    <row r="112" spans="1:3" ht="12.75">
      <c r="A112">
        <v>47</v>
      </c>
      <c r="B112">
        <v>45</v>
      </c>
      <c r="C112">
        <v>0</v>
      </c>
    </row>
    <row r="113" spans="1:3" ht="12.75">
      <c r="A113">
        <v>46.333333333333336</v>
      </c>
      <c r="B113">
        <v>44.333333333333336</v>
      </c>
      <c r="C113">
        <v>0</v>
      </c>
    </row>
    <row r="114" spans="1:3" ht="12.75">
      <c r="A114">
        <v>45.66666666666667</v>
      </c>
      <c r="B114">
        <v>43.66666666666667</v>
      </c>
      <c r="C114">
        <v>0</v>
      </c>
    </row>
    <row r="115" spans="1:3" ht="12.75">
      <c r="A115">
        <v>45</v>
      </c>
      <c r="B115">
        <v>43</v>
      </c>
      <c r="C115">
        <v>0</v>
      </c>
    </row>
    <row r="116" spans="1:3" ht="12.75">
      <c r="A116">
        <v>44.333333333333336</v>
      </c>
      <c r="B116">
        <v>42.333333333333336</v>
      </c>
      <c r="C116">
        <v>0</v>
      </c>
    </row>
    <row r="117" spans="1:3" ht="12.75">
      <c r="A117">
        <v>43.66666666666667</v>
      </c>
      <c r="B117">
        <v>41.66666666666667</v>
      </c>
      <c r="C117">
        <v>0</v>
      </c>
    </row>
    <row r="118" spans="1:3" ht="12.75">
      <c r="A118">
        <v>43</v>
      </c>
      <c r="B118">
        <v>41</v>
      </c>
      <c r="C118">
        <v>0</v>
      </c>
    </row>
    <row r="119" spans="1:3" ht="12.75">
      <c r="A119">
        <v>42.333333333333336</v>
      </c>
      <c r="B119">
        <v>40.333333333333336</v>
      </c>
      <c r="C119">
        <v>0</v>
      </c>
    </row>
    <row r="120" spans="1:3" ht="12.75">
      <c r="A120">
        <v>41.66666666666667</v>
      </c>
      <c r="B120">
        <v>39.66666666666667</v>
      </c>
      <c r="C120">
        <v>0</v>
      </c>
    </row>
    <row r="121" spans="1:3" ht="12.75">
      <c r="A121">
        <v>41</v>
      </c>
      <c r="B121">
        <v>39</v>
      </c>
      <c r="C121">
        <v>0</v>
      </c>
    </row>
    <row r="122" spans="1:3" ht="12.75">
      <c r="A122">
        <v>40.333333333333336</v>
      </c>
      <c r="B122">
        <v>38.333333333333336</v>
      </c>
      <c r="C122">
        <v>0</v>
      </c>
    </row>
    <row r="123" spans="1:3" ht="12.75">
      <c r="A123">
        <v>39.66666666666667</v>
      </c>
      <c r="B123">
        <v>37.66666666666667</v>
      </c>
      <c r="C123">
        <v>0</v>
      </c>
    </row>
    <row r="124" spans="1:3" ht="12.75">
      <c r="A124">
        <v>51.66666666666667</v>
      </c>
      <c r="B124">
        <v>49.66666666666667</v>
      </c>
      <c r="C124">
        <v>0</v>
      </c>
    </row>
    <row r="125" spans="1:3" ht="12.75">
      <c r="A125">
        <v>51</v>
      </c>
      <c r="B125">
        <v>49</v>
      </c>
      <c r="C125">
        <v>0</v>
      </c>
    </row>
    <row r="126" spans="1:3" ht="12.75">
      <c r="A126">
        <v>50.333333333333336</v>
      </c>
      <c r="B126">
        <v>48.333333333333336</v>
      </c>
      <c r="C126">
        <v>0</v>
      </c>
    </row>
    <row r="127" spans="1:3" ht="12.75">
      <c r="A127">
        <v>49.66666666666667</v>
      </c>
      <c r="B127">
        <v>47.66666666666667</v>
      </c>
      <c r="C127">
        <v>0</v>
      </c>
    </row>
    <row r="128" spans="1:3" ht="12.75">
      <c r="A128">
        <v>49</v>
      </c>
      <c r="B128">
        <v>47</v>
      </c>
      <c r="C128">
        <v>0</v>
      </c>
    </row>
    <row r="129" spans="1:3" ht="12.75">
      <c r="A129">
        <v>48.333333333333336</v>
      </c>
      <c r="B129">
        <v>46.333333333333336</v>
      </c>
      <c r="C129">
        <v>0</v>
      </c>
    </row>
    <row r="130" spans="1:3" ht="12.75">
      <c r="A130">
        <v>47.66666666666667</v>
      </c>
      <c r="B130">
        <v>45.66666666666667</v>
      </c>
      <c r="C130">
        <v>0</v>
      </c>
    </row>
    <row r="131" spans="1:3" ht="12.75">
      <c r="A131">
        <v>47</v>
      </c>
      <c r="B131">
        <v>45</v>
      </c>
      <c r="C131">
        <v>0</v>
      </c>
    </row>
    <row r="132" spans="1:3" ht="12.75">
      <c r="A132">
        <v>46.333333333333336</v>
      </c>
      <c r="B132">
        <v>44.333333333333336</v>
      </c>
      <c r="C132">
        <v>0</v>
      </c>
    </row>
    <row r="133" spans="1:3" ht="12.75">
      <c r="A133">
        <v>45.66666666666667</v>
      </c>
      <c r="B133">
        <v>43.66666666666667</v>
      </c>
      <c r="C133">
        <v>0</v>
      </c>
    </row>
    <row r="134" spans="1:3" ht="12.75">
      <c r="A134">
        <v>45</v>
      </c>
      <c r="B134">
        <v>43</v>
      </c>
      <c r="C134">
        <v>0</v>
      </c>
    </row>
    <row r="135" spans="1:3" ht="12.75">
      <c r="A135">
        <v>44.333333333333336</v>
      </c>
      <c r="B135">
        <v>42.333333333333336</v>
      </c>
      <c r="C135">
        <v>0</v>
      </c>
    </row>
    <row r="136" spans="1:3" ht="12.75">
      <c r="A136">
        <v>43.66666666666667</v>
      </c>
      <c r="B136">
        <v>41.66666666666667</v>
      </c>
      <c r="C136">
        <v>0</v>
      </c>
    </row>
    <row r="137" spans="1:3" ht="12.75">
      <c r="A137">
        <v>43</v>
      </c>
      <c r="B137">
        <v>41</v>
      </c>
      <c r="C137">
        <v>0</v>
      </c>
    </row>
    <row r="138" spans="1:3" ht="12.75">
      <c r="A138">
        <v>42.333333333333336</v>
      </c>
      <c r="B138">
        <v>40.333333333333336</v>
      </c>
      <c r="C138">
        <v>0</v>
      </c>
    </row>
    <row r="139" spans="1:3" ht="12.75">
      <c r="A139">
        <v>41.66666666666667</v>
      </c>
      <c r="B139">
        <v>39.66666666666667</v>
      </c>
      <c r="C139">
        <v>0</v>
      </c>
    </row>
    <row r="140" spans="1:3" ht="12.75">
      <c r="A140">
        <v>41</v>
      </c>
      <c r="B140">
        <v>39</v>
      </c>
      <c r="C140">
        <v>0</v>
      </c>
    </row>
    <row r="141" spans="1:3" ht="12.75">
      <c r="A141">
        <v>40.333333333333336</v>
      </c>
      <c r="B141">
        <v>38.333333333333336</v>
      </c>
      <c r="C141">
        <v>0</v>
      </c>
    </row>
    <row r="142" spans="1:3" ht="12.75">
      <c r="A142">
        <v>39.66666666666667</v>
      </c>
      <c r="B142">
        <v>37.66666666666667</v>
      </c>
      <c r="C142">
        <v>0</v>
      </c>
    </row>
    <row r="143" spans="1:3" ht="12.75">
      <c r="A143">
        <v>39</v>
      </c>
      <c r="B143">
        <v>37</v>
      </c>
      <c r="C143">
        <v>0</v>
      </c>
    </row>
    <row r="144" spans="1:3" ht="12.75">
      <c r="A144">
        <v>38.333333333333336</v>
      </c>
      <c r="B144">
        <v>36.333333333333336</v>
      </c>
      <c r="C144">
        <v>0</v>
      </c>
    </row>
    <row r="145" spans="1:3" ht="12.75">
      <c r="A145">
        <v>50.333333333333336</v>
      </c>
      <c r="B145">
        <v>48.333333333333336</v>
      </c>
      <c r="C145">
        <v>0</v>
      </c>
    </row>
    <row r="146" spans="1:3" ht="12.75">
      <c r="A146">
        <v>49.66666666666667</v>
      </c>
      <c r="B146">
        <v>47.66666666666667</v>
      </c>
      <c r="C146">
        <v>0</v>
      </c>
    </row>
    <row r="147" spans="1:3" ht="12.75">
      <c r="A147">
        <v>49</v>
      </c>
      <c r="B147">
        <v>47</v>
      </c>
      <c r="C147">
        <v>0</v>
      </c>
    </row>
    <row r="148" spans="1:3" ht="12.75">
      <c r="A148">
        <v>48.333333333333336</v>
      </c>
      <c r="B148">
        <v>46.333333333333336</v>
      </c>
      <c r="C148">
        <v>0</v>
      </c>
    </row>
    <row r="149" spans="1:3" ht="12.75">
      <c r="A149">
        <v>47.66666666666667</v>
      </c>
      <c r="B149">
        <v>45.66666666666667</v>
      </c>
      <c r="C149">
        <v>0</v>
      </c>
    </row>
    <row r="150" spans="1:3" ht="12.75">
      <c r="A150">
        <v>47</v>
      </c>
      <c r="B150">
        <v>45</v>
      </c>
      <c r="C150">
        <v>0</v>
      </c>
    </row>
    <row r="151" spans="1:3" ht="12.75">
      <c r="A151">
        <v>46.333333333333336</v>
      </c>
      <c r="B151">
        <v>44.333333333333336</v>
      </c>
      <c r="C151">
        <v>0</v>
      </c>
    </row>
    <row r="152" spans="1:3" ht="12.75">
      <c r="A152">
        <v>45.66666666666667</v>
      </c>
      <c r="B152">
        <v>43.66666666666667</v>
      </c>
      <c r="C152">
        <v>0</v>
      </c>
    </row>
    <row r="153" spans="1:3" ht="12.75">
      <c r="A153">
        <v>45</v>
      </c>
      <c r="B153">
        <v>43</v>
      </c>
      <c r="C153">
        <v>0</v>
      </c>
    </row>
    <row r="154" spans="1:3" ht="12.75">
      <c r="A154">
        <v>44.333333333333336</v>
      </c>
      <c r="B154">
        <v>42.333333333333336</v>
      </c>
      <c r="C154">
        <v>0</v>
      </c>
    </row>
    <row r="155" spans="1:3" ht="12.75">
      <c r="A155">
        <v>43.66666666666667</v>
      </c>
      <c r="B155">
        <v>41.66666666666667</v>
      </c>
      <c r="C155">
        <v>0</v>
      </c>
    </row>
    <row r="156" spans="1:3" ht="12.75">
      <c r="A156">
        <v>43</v>
      </c>
      <c r="B156">
        <v>41</v>
      </c>
      <c r="C156">
        <v>0</v>
      </c>
    </row>
    <row r="157" spans="1:3" ht="12.75">
      <c r="A157">
        <v>42.333333333333336</v>
      </c>
      <c r="B157">
        <v>40.333333333333336</v>
      </c>
      <c r="C157">
        <v>0</v>
      </c>
    </row>
    <row r="158" spans="1:3" ht="12.75">
      <c r="A158">
        <v>41.66666666666667</v>
      </c>
      <c r="B158">
        <v>39.66666666666667</v>
      </c>
      <c r="C158">
        <v>0</v>
      </c>
    </row>
    <row r="159" spans="1:3" ht="12.75">
      <c r="A159">
        <v>41</v>
      </c>
      <c r="B159">
        <v>39</v>
      </c>
      <c r="C159">
        <v>0</v>
      </c>
    </row>
    <row r="160" spans="1:3" ht="12.75">
      <c r="A160">
        <v>40.333333333333336</v>
      </c>
      <c r="B160">
        <v>38.333333333333336</v>
      </c>
      <c r="C160">
        <v>0</v>
      </c>
    </row>
    <row r="161" spans="1:3" ht="12.75">
      <c r="A161">
        <v>39.66666666666667</v>
      </c>
      <c r="B161">
        <v>37.66666666666667</v>
      </c>
      <c r="C161">
        <v>0</v>
      </c>
    </row>
    <row r="162" spans="1:3" ht="12.75">
      <c r="A162">
        <v>39</v>
      </c>
      <c r="B162">
        <v>37</v>
      </c>
      <c r="C162">
        <v>0</v>
      </c>
    </row>
    <row r="163" spans="1:3" ht="12.75">
      <c r="A163">
        <v>38.333333333333336</v>
      </c>
      <c r="B163">
        <v>36.333333333333336</v>
      </c>
      <c r="C163">
        <v>0</v>
      </c>
    </row>
    <row r="164" spans="1:3" ht="12.75">
      <c r="A164">
        <v>37.66666666666667</v>
      </c>
      <c r="B164">
        <v>35.66666666666667</v>
      </c>
      <c r="C164">
        <v>0</v>
      </c>
    </row>
    <row r="165" spans="1:3" ht="12.75">
      <c r="A165">
        <v>37</v>
      </c>
      <c r="B165">
        <v>35</v>
      </c>
      <c r="C165">
        <v>0</v>
      </c>
    </row>
    <row r="166" spans="1:3" ht="12.75">
      <c r="A166">
        <v>49</v>
      </c>
      <c r="B166">
        <v>47</v>
      </c>
      <c r="C166">
        <v>0</v>
      </c>
    </row>
    <row r="167" spans="1:3" ht="12.75">
      <c r="A167">
        <v>48.333333333333336</v>
      </c>
      <c r="B167">
        <v>46.333333333333336</v>
      </c>
      <c r="C167">
        <v>0</v>
      </c>
    </row>
    <row r="168" spans="1:3" ht="12.75">
      <c r="A168">
        <v>47.66666666666667</v>
      </c>
      <c r="B168">
        <v>45.66666666666667</v>
      </c>
      <c r="C168">
        <v>0</v>
      </c>
    </row>
    <row r="169" spans="1:3" ht="12.75">
      <c r="A169">
        <v>47</v>
      </c>
      <c r="B169">
        <v>45</v>
      </c>
      <c r="C169">
        <v>0</v>
      </c>
    </row>
    <row r="170" spans="1:3" ht="12.75">
      <c r="A170">
        <v>46.333333333333336</v>
      </c>
      <c r="B170">
        <v>44.333333333333336</v>
      </c>
      <c r="C170">
        <v>0</v>
      </c>
    </row>
    <row r="171" spans="1:3" ht="12.75">
      <c r="A171">
        <v>45.66666666666667</v>
      </c>
      <c r="B171">
        <v>43.66666666666667</v>
      </c>
      <c r="C171">
        <v>0</v>
      </c>
    </row>
    <row r="172" spans="1:3" ht="12.75">
      <c r="A172">
        <v>45</v>
      </c>
      <c r="B172">
        <v>43</v>
      </c>
      <c r="C172">
        <v>0</v>
      </c>
    </row>
    <row r="173" spans="1:3" ht="12.75">
      <c r="A173">
        <v>44.333333333333336</v>
      </c>
      <c r="B173">
        <v>42.333333333333336</v>
      </c>
      <c r="C173">
        <v>0</v>
      </c>
    </row>
    <row r="174" spans="1:3" ht="12.75">
      <c r="A174">
        <v>43.66666666666667</v>
      </c>
      <c r="B174">
        <v>41.66666666666667</v>
      </c>
      <c r="C174">
        <v>0</v>
      </c>
    </row>
    <row r="175" spans="1:3" ht="12.75">
      <c r="A175">
        <v>43</v>
      </c>
      <c r="B175">
        <v>41</v>
      </c>
      <c r="C175">
        <v>0</v>
      </c>
    </row>
    <row r="176" spans="1:3" ht="12.75">
      <c r="A176">
        <v>42.333333333333336</v>
      </c>
      <c r="B176">
        <v>40.333333333333336</v>
      </c>
      <c r="C176">
        <v>0</v>
      </c>
    </row>
    <row r="177" spans="1:3" ht="12.75">
      <c r="A177">
        <v>41.66666666666667</v>
      </c>
      <c r="B177">
        <v>39.66666666666667</v>
      </c>
      <c r="C177">
        <v>0</v>
      </c>
    </row>
    <row r="178" spans="1:3" ht="12.75">
      <c r="A178">
        <v>41</v>
      </c>
      <c r="B178">
        <v>39</v>
      </c>
      <c r="C178">
        <v>0</v>
      </c>
    </row>
    <row r="179" spans="1:3" ht="12.75">
      <c r="A179">
        <v>40.333333333333336</v>
      </c>
      <c r="B179">
        <v>38.333333333333336</v>
      </c>
      <c r="C179">
        <v>0</v>
      </c>
    </row>
    <row r="180" spans="1:3" ht="12.75">
      <c r="A180">
        <v>39.66666666666667</v>
      </c>
      <c r="B180">
        <v>37.66666666666667</v>
      </c>
      <c r="C180">
        <v>0</v>
      </c>
    </row>
    <row r="181" spans="1:3" ht="12.75">
      <c r="A181">
        <v>39</v>
      </c>
      <c r="B181">
        <v>37</v>
      </c>
      <c r="C181">
        <v>0</v>
      </c>
    </row>
    <row r="182" spans="1:3" ht="12.75">
      <c r="A182">
        <v>38.333333333333336</v>
      </c>
      <c r="B182">
        <v>36.333333333333336</v>
      </c>
      <c r="C182">
        <v>0</v>
      </c>
    </row>
    <row r="183" spans="1:3" ht="12.75">
      <c r="A183">
        <v>37.66666666666667</v>
      </c>
      <c r="B183">
        <v>35.66666666666667</v>
      </c>
      <c r="C183">
        <v>0</v>
      </c>
    </row>
    <row r="184" spans="1:3" ht="12.75">
      <c r="A184">
        <v>37</v>
      </c>
      <c r="B184">
        <v>35</v>
      </c>
      <c r="C184">
        <v>0</v>
      </c>
    </row>
    <row r="185" spans="1:3" ht="12.75">
      <c r="A185">
        <v>36.333333333333336</v>
      </c>
      <c r="B185">
        <v>34.333333333333336</v>
      </c>
      <c r="C185">
        <v>0</v>
      </c>
    </row>
    <row r="186" spans="1:3" ht="12.75">
      <c r="A186">
        <v>35.66666666666667</v>
      </c>
      <c r="B186">
        <v>33.66666666666667</v>
      </c>
      <c r="C186">
        <v>0</v>
      </c>
    </row>
    <row r="187" spans="1:3" ht="12.75">
      <c r="A187">
        <v>47.66666666666667</v>
      </c>
      <c r="B187">
        <v>45.66666666666667</v>
      </c>
      <c r="C187">
        <v>0</v>
      </c>
    </row>
    <row r="188" spans="1:3" ht="12.75">
      <c r="A188">
        <v>47</v>
      </c>
      <c r="B188">
        <v>45</v>
      </c>
      <c r="C188">
        <v>0</v>
      </c>
    </row>
    <row r="189" spans="1:3" ht="12.75">
      <c r="A189">
        <v>46.333333333333336</v>
      </c>
      <c r="B189">
        <v>44.333333333333336</v>
      </c>
      <c r="C189">
        <v>0</v>
      </c>
    </row>
    <row r="190" spans="1:3" ht="12.75">
      <c r="A190">
        <v>45.66666666666667</v>
      </c>
      <c r="B190">
        <v>43.66666666666667</v>
      </c>
      <c r="C190">
        <v>0</v>
      </c>
    </row>
    <row r="191" spans="1:3" ht="12.75">
      <c r="A191">
        <v>45</v>
      </c>
      <c r="B191">
        <v>43</v>
      </c>
      <c r="C191">
        <v>0</v>
      </c>
    </row>
    <row r="192" spans="1:3" ht="12.75">
      <c r="A192">
        <v>44.333333333333336</v>
      </c>
      <c r="B192">
        <v>42.333333333333336</v>
      </c>
      <c r="C192">
        <v>0</v>
      </c>
    </row>
    <row r="193" spans="1:3" ht="12.75">
      <c r="A193">
        <v>43.66666666666667</v>
      </c>
      <c r="B193">
        <v>41.66666666666667</v>
      </c>
      <c r="C193">
        <v>0</v>
      </c>
    </row>
    <row r="194" spans="1:3" ht="12.75">
      <c r="A194">
        <v>43</v>
      </c>
      <c r="B194">
        <v>41</v>
      </c>
      <c r="C194">
        <v>0</v>
      </c>
    </row>
    <row r="195" spans="1:3" ht="12.75">
      <c r="A195">
        <v>42.333333333333336</v>
      </c>
      <c r="B195">
        <v>40.333333333333336</v>
      </c>
      <c r="C195">
        <v>0</v>
      </c>
    </row>
    <row r="196" spans="1:3" ht="12.75">
      <c r="A196">
        <v>41.66666666666667</v>
      </c>
      <c r="B196">
        <v>39.66666666666667</v>
      </c>
      <c r="C196">
        <v>0</v>
      </c>
    </row>
    <row r="197" spans="1:3" ht="12.75">
      <c r="A197">
        <v>41</v>
      </c>
      <c r="B197">
        <v>39</v>
      </c>
      <c r="C197">
        <v>0</v>
      </c>
    </row>
    <row r="198" spans="1:3" ht="12.75">
      <c r="A198">
        <v>40.333333333333336</v>
      </c>
      <c r="B198">
        <v>38.333333333333336</v>
      </c>
      <c r="C198">
        <v>0</v>
      </c>
    </row>
    <row r="199" spans="1:3" ht="12.75">
      <c r="A199">
        <v>39.66666666666667</v>
      </c>
      <c r="B199">
        <v>37.66666666666667</v>
      </c>
      <c r="C199">
        <v>0</v>
      </c>
    </row>
    <row r="200" spans="1:3" ht="12.75">
      <c r="A200">
        <v>39</v>
      </c>
      <c r="B200">
        <v>37</v>
      </c>
      <c r="C200">
        <v>0</v>
      </c>
    </row>
    <row r="201" spans="1:3" ht="12.75">
      <c r="A201">
        <v>38.333333333333336</v>
      </c>
      <c r="B201">
        <v>36.333333333333336</v>
      </c>
      <c r="C201">
        <v>0</v>
      </c>
    </row>
    <row r="202" spans="1:3" ht="12.75">
      <c r="A202">
        <v>37.66666666666667</v>
      </c>
      <c r="B202">
        <v>35.66666666666667</v>
      </c>
      <c r="C202">
        <v>0</v>
      </c>
    </row>
    <row r="203" spans="1:3" ht="12.75">
      <c r="A203">
        <v>37</v>
      </c>
      <c r="B203">
        <v>35</v>
      </c>
      <c r="C203">
        <v>0</v>
      </c>
    </row>
    <row r="204" spans="1:3" ht="12.75">
      <c r="A204">
        <v>36.333333333333336</v>
      </c>
      <c r="B204">
        <v>34.333333333333336</v>
      </c>
      <c r="C204">
        <v>0</v>
      </c>
    </row>
    <row r="205" spans="1:3" ht="12.75">
      <c r="A205">
        <v>35.66666666666667</v>
      </c>
      <c r="B205">
        <v>33.66666666666667</v>
      </c>
      <c r="C205">
        <v>0</v>
      </c>
    </row>
    <row r="206" spans="1:3" ht="12.75">
      <c r="A206">
        <v>35</v>
      </c>
      <c r="B206">
        <v>33</v>
      </c>
      <c r="C206">
        <v>0</v>
      </c>
    </row>
    <row r="207" spans="1:3" ht="12.75">
      <c r="A207">
        <v>34.333333333333336</v>
      </c>
      <c r="B207">
        <v>32.333333333333336</v>
      </c>
      <c r="C207">
        <v>0</v>
      </c>
    </row>
    <row r="208" spans="1:3" ht="12.75">
      <c r="A208">
        <v>46.333333333333336</v>
      </c>
      <c r="B208">
        <v>44.333333333333336</v>
      </c>
      <c r="C208">
        <v>0</v>
      </c>
    </row>
    <row r="209" spans="1:3" ht="12.75">
      <c r="A209">
        <v>45.66666666666667</v>
      </c>
      <c r="B209">
        <v>43.66666666666667</v>
      </c>
      <c r="C209">
        <v>0</v>
      </c>
    </row>
    <row r="210" spans="1:3" ht="12.75">
      <c r="A210">
        <v>45</v>
      </c>
      <c r="B210">
        <v>43</v>
      </c>
      <c r="C210">
        <v>0</v>
      </c>
    </row>
    <row r="211" spans="1:3" ht="12.75">
      <c r="A211">
        <v>44.333333333333336</v>
      </c>
      <c r="B211">
        <v>42.333333333333336</v>
      </c>
      <c r="C211">
        <v>0</v>
      </c>
    </row>
    <row r="212" spans="1:3" ht="12.75">
      <c r="A212">
        <v>43.66666666666667</v>
      </c>
      <c r="B212">
        <v>41.66666666666667</v>
      </c>
      <c r="C212">
        <v>0</v>
      </c>
    </row>
    <row r="213" spans="1:3" ht="12.75">
      <c r="A213">
        <v>43</v>
      </c>
      <c r="B213">
        <v>41</v>
      </c>
      <c r="C213">
        <v>0</v>
      </c>
    </row>
    <row r="214" spans="1:3" ht="12.75">
      <c r="A214">
        <v>42.333333333333336</v>
      </c>
      <c r="B214">
        <v>40.333333333333336</v>
      </c>
      <c r="C214">
        <v>0</v>
      </c>
    </row>
    <row r="215" spans="1:3" ht="12.75">
      <c r="A215">
        <v>41.66666666666667</v>
      </c>
      <c r="B215">
        <v>39.66666666666667</v>
      </c>
      <c r="C215">
        <v>0</v>
      </c>
    </row>
    <row r="216" spans="1:3" ht="12.75">
      <c r="A216">
        <v>41</v>
      </c>
      <c r="B216">
        <v>39</v>
      </c>
      <c r="C216">
        <v>0</v>
      </c>
    </row>
    <row r="217" spans="1:3" ht="12.75">
      <c r="A217">
        <v>40.333333333333336</v>
      </c>
      <c r="B217">
        <v>38.333333333333336</v>
      </c>
      <c r="C217">
        <v>0</v>
      </c>
    </row>
    <row r="218" spans="1:3" ht="12.75">
      <c r="A218">
        <v>39.66666666666667</v>
      </c>
      <c r="B218">
        <v>37.66666666666667</v>
      </c>
      <c r="C218">
        <v>0</v>
      </c>
    </row>
    <row r="219" spans="1:3" ht="12.75">
      <c r="A219">
        <v>39</v>
      </c>
      <c r="B219">
        <v>37</v>
      </c>
      <c r="C219">
        <v>0</v>
      </c>
    </row>
    <row r="220" spans="1:3" ht="12.75">
      <c r="A220">
        <v>38.333333333333336</v>
      </c>
      <c r="B220">
        <v>36.333333333333336</v>
      </c>
      <c r="C220">
        <v>0</v>
      </c>
    </row>
    <row r="221" spans="1:3" ht="12.75">
      <c r="A221">
        <v>37.66666666666667</v>
      </c>
      <c r="B221">
        <v>35.66666666666667</v>
      </c>
      <c r="C221">
        <v>0</v>
      </c>
    </row>
    <row r="222" spans="1:3" ht="12.75">
      <c r="A222">
        <v>37</v>
      </c>
      <c r="B222">
        <v>35</v>
      </c>
      <c r="C222">
        <v>0</v>
      </c>
    </row>
    <row r="223" spans="1:3" ht="12.75">
      <c r="A223">
        <v>36.333333333333336</v>
      </c>
      <c r="B223">
        <v>34.333333333333336</v>
      </c>
      <c r="C223">
        <v>0</v>
      </c>
    </row>
    <row r="224" spans="1:3" ht="12.75">
      <c r="A224">
        <v>35.66666666666667</v>
      </c>
      <c r="B224">
        <v>33.66666666666667</v>
      </c>
      <c r="C224">
        <v>0</v>
      </c>
    </row>
    <row r="225" spans="1:3" ht="12.75">
      <c r="A225">
        <v>35</v>
      </c>
      <c r="B225">
        <v>33</v>
      </c>
      <c r="C225">
        <v>0</v>
      </c>
    </row>
    <row r="226" spans="1:3" ht="12.75">
      <c r="A226">
        <v>34.333333333333336</v>
      </c>
      <c r="B226">
        <v>32.333333333333336</v>
      </c>
      <c r="C226">
        <v>0</v>
      </c>
    </row>
    <row r="227" spans="1:3" ht="12.75">
      <c r="A227">
        <v>33.66666666666667</v>
      </c>
      <c r="B227">
        <v>31.666666666666668</v>
      </c>
      <c r="C227">
        <v>0</v>
      </c>
    </row>
    <row r="228" spans="1:3" ht="12.75">
      <c r="A228">
        <v>33</v>
      </c>
      <c r="B228">
        <v>31</v>
      </c>
      <c r="C228">
        <v>0</v>
      </c>
    </row>
    <row r="229" spans="1:3" ht="12.75">
      <c r="A229">
        <v>45</v>
      </c>
      <c r="B229">
        <v>43</v>
      </c>
      <c r="C229">
        <v>0</v>
      </c>
    </row>
    <row r="230" spans="1:3" ht="12.75">
      <c r="A230">
        <v>44.333333333333336</v>
      </c>
      <c r="B230">
        <v>42.333333333333336</v>
      </c>
      <c r="C230">
        <v>0</v>
      </c>
    </row>
    <row r="231" spans="1:3" ht="12.75">
      <c r="A231">
        <v>43.66666666666667</v>
      </c>
      <c r="B231">
        <v>41.66666666666667</v>
      </c>
      <c r="C231">
        <v>0</v>
      </c>
    </row>
    <row r="232" spans="1:3" ht="12.75">
      <c r="A232">
        <v>43</v>
      </c>
      <c r="B232">
        <v>41</v>
      </c>
      <c r="C232">
        <v>0</v>
      </c>
    </row>
    <row r="233" spans="1:3" ht="12.75">
      <c r="A233">
        <v>42.333333333333336</v>
      </c>
      <c r="B233">
        <v>40.333333333333336</v>
      </c>
      <c r="C233">
        <v>0</v>
      </c>
    </row>
    <row r="234" spans="1:3" ht="12.75">
      <c r="A234">
        <v>41.66666666666667</v>
      </c>
      <c r="B234">
        <v>39.66666666666667</v>
      </c>
      <c r="C234">
        <v>0</v>
      </c>
    </row>
    <row r="235" spans="1:3" ht="12.75">
      <c r="A235">
        <v>41</v>
      </c>
      <c r="B235">
        <v>39</v>
      </c>
      <c r="C235">
        <v>0</v>
      </c>
    </row>
    <row r="236" spans="1:3" ht="12.75">
      <c r="A236">
        <v>40.333333333333336</v>
      </c>
      <c r="B236">
        <v>38.333333333333336</v>
      </c>
      <c r="C236">
        <v>0</v>
      </c>
    </row>
    <row r="237" spans="1:3" ht="12.75">
      <c r="A237">
        <v>39.66666666666667</v>
      </c>
      <c r="B237">
        <v>37.66666666666667</v>
      </c>
      <c r="C237">
        <v>0</v>
      </c>
    </row>
    <row r="238" spans="1:3" ht="12.75">
      <c r="A238">
        <v>39</v>
      </c>
      <c r="B238">
        <v>37</v>
      </c>
      <c r="C238">
        <v>0</v>
      </c>
    </row>
    <row r="239" spans="1:3" ht="12.75">
      <c r="A239">
        <v>38.333333333333336</v>
      </c>
      <c r="B239">
        <v>36.333333333333336</v>
      </c>
      <c r="C239">
        <v>0</v>
      </c>
    </row>
    <row r="240" spans="1:3" ht="12.75">
      <c r="A240">
        <v>37.66666666666667</v>
      </c>
      <c r="B240">
        <v>35.66666666666667</v>
      </c>
      <c r="C240">
        <v>0</v>
      </c>
    </row>
    <row r="241" spans="1:3" ht="12.75">
      <c r="A241">
        <v>37</v>
      </c>
      <c r="B241">
        <v>35</v>
      </c>
      <c r="C241">
        <v>0</v>
      </c>
    </row>
    <row r="242" spans="1:3" ht="12.75">
      <c r="A242">
        <v>36.333333333333336</v>
      </c>
      <c r="B242">
        <v>34.333333333333336</v>
      </c>
      <c r="C242">
        <v>0</v>
      </c>
    </row>
    <row r="243" spans="1:3" ht="12.75">
      <c r="A243">
        <v>35.66666666666667</v>
      </c>
      <c r="B243">
        <v>33.66666666666667</v>
      </c>
      <c r="C243">
        <v>0</v>
      </c>
    </row>
    <row r="244" spans="1:3" ht="12.75">
      <c r="A244">
        <v>35</v>
      </c>
      <c r="B244">
        <v>33</v>
      </c>
      <c r="C244">
        <v>0</v>
      </c>
    </row>
    <row r="245" spans="1:3" ht="12.75">
      <c r="A245">
        <v>34.333333333333336</v>
      </c>
      <c r="B245">
        <v>32.333333333333336</v>
      </c>
      <c r="C245">
        <v>0</v>
      </c>
    </row>
    <row r="246" spans="1:3" ht="12.75">
      <c r="A246">
        <v>33.66666666666667</v>
      </c>
      <c r="B246">
        <v>31.666666666666668</v>
      </c>
      <c r="C246">
        <v>0</v>
      </c>
    </row>
    <row r="247" spans="1:3" ht="12.75">
      <c r="A247">
        <v>33</v>
      </c>
      <c r="B247">
        <v>31</v>
      </c>
      <c r="C247">
        <v>0</v>
      </c>
    </row>
    <row r="248" spans="1:3" ht="12.75">
      <c r="A248">
        <v>32.333333333333336</v>
      </c>
      <c r="B248">
        <v>30.333333333333336</v>
      </c>
      <c r="C248">
        <v>0</v>
      </c>
    </row>
    <row r="249" spans="1:3" ht="12.75">
      <c r="A249">
        <v>31.666666666666668</v>
      </c>
      <c r="B249">
        <v>29.666666666666668</v>
      </c>
      <c r="C249">
        <v>0</v>
      </c>
    </row>
    <row r="250" spans="1:3" ht="12.75">
      <c r="A250">
        <v>43.66666666666667</v>
      </c>
      <c r="B250">
        <v>41.66666666666667</v>
      </c>
      <c r="C250">
        <v>0</v>
      </c>
    </row>
    <row r="251" spans="1:3" ht="12.75">
      <c r="A251">
        <v>43</v>
      </c>
      <c r="B251">
        <v>41</v>
      </c>
      <c r="C251">
        <v>0</v>
      </c>
    </row>
    <row r="252" spans="1:3" ht="12.75">
      <c r="A252">
        <v>42.333333333333336</v>
      </c>
      <c r="B252">
        <v>40.333333333333336</v>
      </c>
      <c r="C252">
        <v>0</v>
      </c>
    </row>
    <row r="253" spans="1:3" ht="12.75">
      <c r="A253">
        <v>41.66666666666667</v>
      </c>
      <c r="B253">
        <v>39.66666666666667</v>
      </c>
      <c r="C253">
        <v>0</v>
      </c>
    </row>
    <row r="254" spans="1:3" ht="12.75">
      <c r="A254">
        <v>41</v>
      </c>
      <c r="B254">
        <v>39</v>
      </c>
      <c r="C254">
        <v>0</v>
      </c>
    </row>
    <row r="255" spans="1:3" ht="12.75">
      <c r="A255">
        <v>40.333333333333336</v>
      </c>
      <c r="B255">
        <v>38.333333333333336</v>
      </c>
      <c r="C255">
        <v>0</v>
      </c>
    </row>
    <row r="256" spans="1:3" ht="12.75">
      <c r="A256">
        <v>39.66666666666667</v>
      </c>
      <c r="B256">
        <v>37.66666666666667</v>
      </c>
      <c r="C256">
        <v>0</v>
      </c>
    </row>
    <row r="257" spans="1:3" ht="12.75">
      <c r="A257">
        <v>39</v>
      </c>
      <c r="B257">
        <v>37</v>
      </c>
      <c r="C257">
        <v>0</v>
      </c>
    </row>
    <row r="258" spans="1:3" ht="12.75">
      <c r="A258">
        <v>38.333333333333336</v>
      </c>
      <c r="B258">
        <v>36.333333333333336</v>
      </c>
      <c r="C258">
        <v>2.8088970920572746E-34</v>
      </c>
    </row>
    <row r="259" spans="1:3" ht="12.75">
      <c r="A259">
        <v>37.66666666666667</v>
      </c>
      <c r="B259">
        <v>35.66666666666667</v>
      </c>
      <c r="C259">
        <v>0.0036461568867591576</v>
      </c>
    </row>
    <row r="260" spans="1:3" ht="12.75">
      <c r="A260">
        <v>37</v>
      </c>
      <c r="B260">
        <v>35</v>
      </c>
      <c r="C260">
        <v>0.009723085031357725</v>
      </c>
    </row>
    <row r="261" spans="1:3" ht="12.75">
      <c r="A261">
        <v>36.333333333333336</v>
      </c>
      <c r="B261">
        <v>34.333333333333336</v>
      </c>
      <c r="C261">
        <v>0.008507699402438016</v>
      </c>
    </row>
    <row r="262" spans="1:3" ht="12.75">
      <c r="A262">
        <v>35.66666666666667</v>
      </c>
      <c r="B262">
        <v>33.66666666666667</v>
      </c>
      <c r="C262">
        <v>0.006076928144598585</v>
      </c>
    </row>
    <row r="263" spans="1:3" ht="12.75">
      <c r="A263">
        <v>35</v>
      </c>
      <c r="B263">
        <v>33</v>
      </c>
      <c r="C263">
        <v>0.003646156886759145</v>
      </c>
    </row>
    <row r="264" spans="1:3" ht="12.75">
      <c r="A264">
        <v>34.333333333333336</v>
      </c>
      <c r="B264">
        <v>32.333333333333336</v>
      </c>
      <c r="C264">
        <v>0.0012153856289197186</v>
      </c>
    </row>
    <row r="265" spans="1:3" ht="12.75">
      <c r="A265">
        <v>33.66666666666667</v>
      </c>
      <c r="B265">
        <v>31.66666666666667</v>
      </c>
      <c r="C265">
        <v>0</v>
      </c>
    </row>
    <row r="266" spans="1:3" ht="12.75">
      <c r="A266">
        <v>33</v>
      </c>
      <c r="B266">
        <v>31</v>
      </c>
      <c r="C266">
        <v>0</v>
      </c>
    </row>
    <row r="267" spans="1:3" ht="12.75">
      <c r="A267">
        <v>32.333333333333336</v>
      </c>
      <c r="B267">
        <v>30.333333333333336</v>
      </c>
      <c r="C267">
        <v>0</v>
      </c>
    </row>
    <row r="268" spans="1:3" ht="12.75">
      <c r="A268">
        <v>31.666666666666668</v>
      </c>
      <c r="B268">
        <v>29.66666666666667</v>
      </c>
      <c r="C268">
        <v>0</v>
      </c>
    </row>
    <row r="269" spans="1:3" ht="12.75">
      <c r="A269">
        <v>31</v>
      </c>
      <c r="B269">
        <v>29</v>
      </c>
      <c r="C269">
        <v>0</v>
      </c>
    </row>
    <row r="270" spans="1:3" ht="12.75">
      <c r="A270">
        <v>30.333333333333336</v>
      </c>
      <c r="B270">
        <v>28.333333333333336</v>
      </c>
      <c r="C270">
        <v>0</v>
      </c>
    </row>
    <row r="271" spans="1:3" ht="12.75">
      <c r="A271">
        <v>42.333333333333336</v>
      </c>
      <c r="B271">
        <v>40.333333333333336</v>
      </c>
      <c r="C271">
        <v>0</v>
      </c>
    </row>
    <row r="272" spans="1:3" ht="12.75">
      <c r="A272">
        <v>41.66666666666667</v>
      </c>
      <c r="B272">
        <v>39.66666666666667</v>
      </c>
      <c r="C272">
        <v>0</v>
      </c>
    </row>
    <row r="273" spans="1:3" ht="12.75">
      <c r="A273">
        <v>41</v>
      </c>
      <c r="B273">
        <v>39</v>
      </c>
      <c r="C273">
        <v>0</v>
      </c>
    </row>
    <row r="274" spans="1:3" ht="12.75">
      <c r="A274">
        <v>40.333333333333336</v>
      </c>
      <c r="B274">
        <v>38.333333333333336</v>
      </c>
      <c r="C274">
        <v>0</v>
      </c>
    </row>
    <row r="275" spans="1:3" ht="12.75">
      <c r="A275">
        <v>39.66666666666667</v>
      </c>
      <c r="B275">
        <v>37.66666666666667</v>
      </c>
      <c r="C275">
        <v>0</v>
      </c>
    </row>
    <row r="276" spans="1:3" ht="12.75">
      <c r="A276">
        <v>39</v>
      </c>
      <c r="B276">
        <v>37</v>
      </c>
      <c r="C276">
        <v>0</v>
      </c>
    </row>
    <row r="277" spans="1:3" ht="12.75">
      <c r="A277">
        <v>38.333333333333336</v>
      </c>
      <c r="B277">
        <v>36.333333333333336</v>
      </c>
      <c r="C277">
        <v>0</v>
      </c>
    </row>
    <row r="278" spans="1:3" ht="12.75">
      <c r="A278">
        <v>37.66666666666667</v>
      </c>
      <c r="B278">
        <v>35.66666666666667</v>
      </c>
      <c r="C278">
        <v>0</v>
      </c>
    </row>
    <row r="279" spans="1:3" ht="12.75">
      <c r="A279">
        <v>37</v>
      </c>
      <c r="B279">
        <v>35</v>
      </c>
      <c r="C279">
        <v>1.1729472479677156E-33</v>
      </c>
    </row>
    <row r="280" spans="1:3" ht="12.75">
      <c r="A280">
        <v>36.333333333333336</v>
      </c>
      <c r="B280">
        <v>34.333333333333336</v>
      </c>
      <c r="C280">
        <v>0.015225725777124638</v>
      </c>
    </row>
    <row r="281" spans="1:3" ht="12.75">
      <c r="A281">
        <v>35.66666666666667</v>
      </c>
      <c r="B281">
        <v>33.66666666666667</v>
      </c>
      <c r="C281">
        <v>0.040601935405665576</v>
      </c>
    </row>
    <row r="282" spans="1:3" ht="12.75">
      <c r="A282">
        <v>35</v>
      </c>
      <c r="B282">
        <v>33</v>
      </c>
      <c r="C282">
        <v>0.035526693479957405</v>
      </c>
    </row>
    <row r="283" spans="1:3" ht="12.75">
      <c r="A283">
        <v>34.333333333333336</v>
      </c>
      <c r="B283">
        <v>32.333333333333336</v>
      </c>
      <c r="C283">
        <v>0.025376209628541018</v>
      </c>
    </row>
    <row r="284" spans="1:3" ht="12.75">
      <c r="A284">
        <v>33.66666666666667</v>
      </c>
      <c r="B284">
        <v>31.666666666666668</v>
      </c>
      <c r="C284">
        <v>0.015225725777124584</v>
      </c>
    </row>
    <row r="285" spans="1:3" ht="12.75">
      <c r="A285">
        <v>33</v>
      </c>
      <c r="B285">
        <v>31</v>
      </c>
      <c r="C285">
        <v>0.00507524192570821</v>
      </c>
    </row>
    <row r="286" spans="1:3" ht="12.75">
      <c r="A286">
        <v>32.333333333333336</v>
      </c>
      <c r="B286">
        <v>30.333333333333336</v>
      </c>
      <c r="C286">
        <v>0</v>
      </c>
    </row>
    <row r="287" spans="1:3" ht="12.75">
      <c r="A287">
        <v>31.66666666666667</v>
      </c>
      <c r="B287">
        <v>29.666666666666668</v>
      </c>
      <c r="C287">
        <v>0</v>
      </c>
    </row>
    <row r="288" spans="1:3" ht="12.75">
      <c r="A288">
        <v>31</v>
      </c>
      <c r="B288">
        <v>29</v>
      </c>
      <c r="C288">
        <v>0</v>
      </c>
    </row>
    <row r="289" spans="1:3" ht="12.75">
      <c r="A289">
        <v>30.333333333333336</v>
      </c>
      <c r="B289">
        <v>28.333333333333336</v>
      </c>
      <c r="C289">
        <v>0</v>
      </c>
    </row>
    <row r="290" spans="1:3" ht="12.75">
      <c r="A290">
        <v>29.66666666666667</v>
      </c>
      <c r="B290">
        <v>27.666666666666668</v>
      </c>
      <c r="C290">
        <v>0</v>
      </c>
    </row>
    <row r="291" spans="1:3" ht="12.75">
      <c r="A291">
        <v>29</v>
      </c>
      <c r="B291">
        <v>27</v>
      </c>
      <c r="C291">
        <v>0</v>
      </c>
    </row>
    <row r="292" spans="1:3" ht="12.75">
      <c r="A292">
        <v>41</v>
      </c>
      <c r="B292">
        <v>39</v>
      </c>
      <c r="C292">
        <v>0</v>
      </c>
    </row>
    <row r="293" spans="1:3" ht="12.75">
      <c r="A293">
        <v>40.333333333333336</v>
      </c>
      <c r="B293">
        <v>38.333333333333336</v>
      </c>
      <c r="C293">
        <v>0</v>
      </c>
    </row>
    <row r="294" spans="1:3" ht="12.75">
      <c r="A294">
        <v>39.66666666666667</v>
      </c>
      <c r="B294">
        <v>37.66666666666667</v>
      </c>
      <c r="C294">
        <v>0</v>
      </c>
    </row>
    <row r="295" spans="1:3" ht="12.75">
      <c r="A295">
        <v>39</v>
      </c>
      <c r="B295">
        <v>37</v>
      </c>
      <c r="C295">
        <v>0</v>
      </c>
    </row>
    <row r="296" spans="1:3" ht="12.75">
      <c r="A296">
        <v>38.333333333333336</v>
      </c>
      <c r="B296">
        <v>36.333333333333336</v>
      </c>
      <c r="C296">
        <v>0</v>
      </c>
    </row>
    <row r="297" spans="1:3" ht="12.75">
      <c r="A297">
        <v>37.66666666666667</v>
      </c>
      <c r="B297">
        <v>35.66666666666667</v>
      </c>
      <c r="C297">
        <v>0</v>
      </c>
    </row>
    <row r="298" spans="1:3" ht="12.75">
      <c r="A298">
        <v>37</v>
      </c>
      <c r="B298">
        <v>35</v>
      </c>
      <c r="C298">
        <v>0</v>
      </c>
    </row>
    <row r="299" spans="1:3" ht="12.75">
      <c r="A299">
        <v>36.333333333333336</v>
      </c>
      <c r="B299">
        <v>34.333333333333336</v>
      </c>
      <c r="C299">
        <v>0</v>
      </c>
    </row>
    <row r="300" spans="1:3" ht="12.75">
      <c r="A300">
        <v>35.66666666666667</v>
      </c>
      <c r="B300">
        <v>33.66666666666667</v>
      </c>
      <c r="C300">
        <v>2.1942284294240875E-33</v>
      </c>
    </row>
    <row r="301" spans="1:3" ht="12.75">
      <c r="A301">
        <v>35</v>
      </c>
      <c r="B301">
        <v>33</v>
      </c>
      <c r="C301">
        <v>0.02848271345251631</v>
      </c>
    </row>
    <row r="302" spans="1:3" ht="12.75">
      <c r="A302">
        <v>34.333333333333336</v>
      </c>
      <c r="B302">
        <v>32.333333333333336</v>
      </c>
      <c r="C302">
        <v>0.07595390254004326</v>
      </c>
    </row>
    <row r="303" spans="1:3" ht="12.75">
      <c r="A303">
        <v>33.66666666666667</v>
      </c>
      <c r="B303">
        <v>31.666666666666668</v>
      </c>
      <c r="C303">
        <v>0.0664596647225379</v>
      </c>
    </row>
    <row r="304" spans="1:3" ht="12.75">
      <c r="A304">
        <v>33</v>
      </c>
      <c r="B304">
        <v>31</v>
      </c>
      <c r="C304">
        <v>0.047471189087527094</v>
      </c>
    </row>
    <row r="305" spans="1:3" ht="12.75">
      <c r="A305">
        <v>32.333333333333336</v>
      </c>
      <c r="B305">
        <v>30.333333333333336</v>
      </c>
      <c r="C305">
        <v>0.02848271345251621</v>
      </c>
    </row>
    <row r="306" spans="1:3" ht="12.75">
      <c r="A306">
        <v>31.666666666666668</v>
      </c>
      <c r="B306">
        <v>29.666666666666668</v>
      </c>
      <c r="C306">
        <v>0.00949423781750543</v>
      </c>
    </row>
    <row r="307" spans="1:3" ht="12.75">
      <c r="A307">
        <v>31</v>
      </c>
      <c r="B307">
        <v>29</v>
      </c>
      <c r="C307">
        <v>0</v>
      </c>
    </row>
    <row r="308" spans="1:3" ht="12.75">
      <c r="A308">
        <v>30.333333333333336</v>
      </c>
      <c r="B308">
        <v>28.333333333333336</v>
      </c>
      <c r="C308">
        <v>0</v>
      </c>
    </row>
    <row r="309" spans="1:3" ht="12.75">
      <c r="A309">
        <v>29.666666666666668</v>
      </c>
      <c r="B309">
        <v>27.666666666666668</v>
      </c>
      <c r="C309">
        <v>0</v>
      </c>
    </row>
    <row r="310" spans="1:3" ht="12.75">
      <c r="A310">
        <v>29</v>
      </c>
      <c r="B310">
        <v>27</v>
      </c>
      <c r="C310">
        <v>0</v>
      </c>
    </row>
    <row r="311" spans="1:3" ht="12.75">
      <c r="A311">
        <v>28.333333333333336</v>
      </c>
      <c r="B311">
        <v>26.333333333333336</v>
      </c>
      <c r="C311">
        <v>0</v>
      </c>
    </row>
    <row r="312" spans="1:3" ht="12.75">
      <c r="A312">
        <v>27.666666666666668</v>
      </c>
      <c r="B312">
        <v>25.666666666666668</v>
      </c>
      <c r="C312">
        <v>0</v>
      </c>
    </row>
    <row r="313" spans="1:3" ht="12.75">
      <c r="A313">
        <v>39.66666666666667</v>
      </c>
      <c r="B313">
        <v>37.66666666666667</v>
      </c>
      <c r="C313">
        <v>0</v>
      </c>
    </row>
    <row r="314" spans="1:3" ht="12.75">
      <c r="A314">
        <v>39</v>
      </c>
      <c r="B314">
        <v>37</v>
      </c>
      <c r="C314">
        <v>0</v>
      </c>
    </row>
    <row r="315" spans="1:3" ht="12.75">
      <c r="A315">
        <v>38.333333333333336</v>
      </c>
      <c r="B315">
        <v>36.333333333333336</v>
      </c>
      <c r="C315">
        <v>0</v>
      </c>
    </row>
    <row r="316" spans="1:3" ht="12.75">
      <c r="A316">
        <v>37.66666666666667</v>
      </c>
      <c r="B316">
        <v>35.66666666666667</v>
      </c>
      <c r="C316">
        <v>0</v>
      </c>
    </row>
    <row r="317" spans="1:3" ht="12.75">
      <c r="A317">
        <v>37</v>
      </c>
      <c r="B317">
        <v>35</v>
      </c>
      <c r="C317">
        <v>0</v>
      </c>
    </row>
    <row r="318" spans="1:3" ht="12.75">
      <c r="A318">
        <v>36.333333333333336</v>
      </c>
      <c r="B318">
        <v>34.333333333333336</v>
      </c>
      <c r="C318">
        <v>0</v>
      </c>
    </row>
    <row r="319" spans="1:3" ht="12.75">
      <c r="A319">
        <v>35.66666666666667</v>
      </c>
      <c r="B319">
        <v>33.66666666666667</v>
      </c>
      <c r="C319">
        <v>0</v>
      </c>
    </row>
    <row r="320" spans="1:3" ht="12.75">
      <c r="A320">
        <v>35</v>
      </c>
      <c r="B320">
        <v>33</v>
      </c>
      <c r="C320">
        <v>0</v>
      </c>
    </row>
    <row r="321" spans="1:3" ht="12.75">
      <c r="A321">
        <v>34.333333333333336</v>
      </c>
      <c r="B321">
        <v>32.333333333333336</v>
      </c>
      <c r="C321">
        <v>2.8759862899411174E-33</v>
      </c>
    </row>
    <row r="322" spans="1:3" ht="12.75">
      <c r="A322">
        <v>33.66666666666667</v>
      </c>
      <c r="B322">
        <v>31.66666666666667</v>
      </c>
      <c r="C322">
        <v>0.03733243644612633</v>
      </c>
    </row>
    <row r="323" spans="1:3" ht="12.75">
      <c r="A323">
        <v>33</v>
      </c>
      <c r="B323">
        <v>31</v>
      </c>
      <c r="C323">
        <v>0.09955316385633657</v>
      </c>
    </row>
    <row r="324" spans="1:3" ht="12.75">
      <c r="A324">
        <v>32.333333333333336</v>
      </c>
      <c r="B324">
        <v>30.333333333333336</v>
      </c>
      <c r="C324">
        <v>0.08710901837429458</v>
      </c>
    </row>
    <row r="325" spans="1:3" ht="12.75">
      <c r="A325">
        <v>31.666666666666668</v>
      </c>
      <c r="B325">
        <v>29.66666666666667</v>
      </c>
      <c r="C325">
        <v>0.06222072741021044</v>
      </c>
    </row>
    <row r="326" spans="1:3" ht="12.75">
      <c r="A326">
        <v>31</v>
      </c>
      <c r="B326">
        <v>29</v>
      </c>
      <c r="C326">
        <v>0.037332436446126195</v>
      </c>
    </row>
    <row r="327" spans="1:3" ht="12.75">
      <c r="A327">
        <v>30.333333333333336</v>
      </c>
      <c r="B327">
        <v>28.333333333333336</v>
      </c>
      <c r="C327">
        <v>0.012444145482042103</v>
      </c>
    </row>
    <row r="328" spans="1:3" ht="12.75">
      <c r="A328">
        <v>29.666666666666668</v>
      </c>
      <c r="B328">
        <v>27.66666666666667</v>
      </c>
      <c r="C328">
        <v>0</v>
      </c>
    </row>
    <row r="329" spans="1:3" ht="12.75">
      <c r="A329">
        <v>29</v>
      </c>
      <c r="B329">
        <v>27</v>
      </c>
      <c r="C329">
        <v>0</v>
      </c>
    </row>
    <row r="330" spans="1:3" ht="12.75">
      <c r="A330">
        <v>28.333333333333336</v>
      </c>
      <c r="B330">
        <v>26.333333333333336</v>
      </c>
      <c r="C330">
        <v>0</v>
      </c>
    </row>
    <row r="331" spans="1:3" ht="12.75">
      <c r="A331">
        <v>27.666666666666668</v>
      </c>
      <c r="B331">
        <v>25.66666666666667</v>
      </c>
      <c r="C331">
        <v>0</v>
      </c>
    </row>
    <row r="332" spans="1:3" ht="12.75">
      <c r="A332">
        <v>27</v>
      </c>
      <c r="B332">
        <v>25</v>
      </c>
      <c r="C332">
        <v>0</v>
      </c>
    </row>
    <row r="333" spans="1:3" ht="12.75">
      <c r="A333">
        <v>26.333333333333336</v>
      </c>
      <c r="B333">
        <v>24.333333333333336</v>
      </c>
      <c r="C333">
        <v>0</v>
      </c>
    </row>
    <row r="334" spans="1:3" ht="12.75">
      <c r="A334">
        <v>38.333333333333336</v>
      </c>
      <c r="B334">
        <v>36.333333333333336</v>
      </c>
      <c r="C334">
        <v>0</v>
      </c>
    </row>
    <row r="335" spans="1:3" ht="12.75">
      <c r="A335">
        <v>37.66666666666667</v>
      </c>
      <c r="B335">
        <v>35.66666666666667</v>
      </c>
      <c r="C335">
        <v>0</v>
      </c>
    </row>
    <row r="336" spans="1:3" ht="12.75">
      <c r="A336">
        <v>37</v>
      </c>
      <c r="B336">
        <v>35</v>
      </c>
      <c r="C336">
        <v>0</v>
      </c>
    </row>
    <row r="337" spans="1:3" ht="12.75">
      <c r="A337">
        <v>36.333333333333336</v>
      </c>
      <c r="B337">
        <v>34.333333333333336</v>
      </c>
      <c r="C337">
        <v>0</v>
      </c>
    </row>
    <row r="338" spans="1:3" ht="12.75">
      <c r="A338">
        <v>35.66666666666667</v>
      </c>
      <c r="B338">
        <v>33.66666666666667</v>
      </c>
      <c r="C338">
        <v>0</v>
      </c>
    </row>
    <row r="339" spans="1:3" ht="12.75">
      <c r="A339">
        <v>35</v>
      </c>
      <c r="B339">
        <v>33</v>
      </c>
      <c r="C339">
        <v>0</v>
      </c>
    </row>
    <row r="340" spans="1:3" ht="12.75">
      <c r="A340">
        <v>34.333333333333336</v>
      </c>
      <c r="B340">
        <v>32.333333333333336</v>
      </c>
      <c r="C340">
        <v>0</v>
      </c>
    </row>
    <row r="341" spans="1:3" ht="12.75">
      <c r="A341">
        <v>33.66666666666667</v>
      </c>
      <c r="B341">
        <v>31.666666666666668</v>
      </c>
      <c r="C341">
        <v>0</v>
      </c>
    </row>
    <row r="342" spans="1:3" ht="12.75">
      <c r="A342">
        <v>33</v>
      </c>
      <c r="B342">
        <v>31</v>
      </c>
      <c r="C342">
        <v>1.8366672592719104E-33</v>
      </c>
    </row>
    <row r="343" spans="1:3" ht="12.75">
      <c r="A343">
        <v>32.333333333333336</v>
      </c>
      <c r="B343">
        <v>30.333333333333336</v>
      </c>
      <c r="C343">
        <v>0.023841304101228332</v>
      </c>
    </row>
    <row r="344" spans="1:3" ht="12.75">
      <c r="A344">
        <v>31.66666666666667</v>
      </c>
      <c r="B344">
        <v>29.666666666666668</v>
      </c>
      <c r="C344">
        <v>0.06357681093660869</v>
      </c>
    </row>
    <row r="345" spans="1:3" ht="12.75">
      <c r="A345">
        <v>31</v>
      </c>
      <c r="B345">
        <v>29</v>
      </c>
      <c r="C345">
        <v>0.05562970956953265</v>
      </c>
    </row>
    <row r="346" spans="1:3" ht="12.75">
      <c r="A346">
        <v>30.333333333333336</v>
      </c>
      <c r="B346">
        <v>28.333333333333336</v>
      </c>
      <c r="C346">
        <v>0.039735506835380484</v>
      </c>
    </row>
    <row r="347" spans="1:3" ht="12.75">
      <c r="A347">
        <v>29.66666666666667</v>
      </c>
      <c r="B347">
        <v>27.666666666666668</v>
      </c>
      <c r="C347">
        <v>0.02384130410122825</v>
      </c>
    </row>
    <row r="348" spans="1:3" ht="12.75">
      <c r="A348">
        <v>29</v>
      </c>
      <c r="B348">
        <v>27</v>
      </c>
      <c r="C348">
        <v>0.007947101367076107</v>
      </c>
    </row>
    <row r="349" spans="1:3" ht="12.75">
      <c r="A349">
        <v>28.333333333333336</v>
      </c>
      <c r="B349">
        <v>26.333333333333336</v>
      </c>
      <c r="C349">
        <v>0</v>
      </c>
    </row>
    <row r="350" spans="1:3" ht="12.75">
      <c r="A350">
        <v>27.66666666666667</v>
      </c>
      <c r="B350">
        <v>25.666666666666668</v>
      </c>
      <c r="C350">
        <v>0</v>
      </c>
    </row>
    <row r="351" spans="1:3" ht="12.75">
      <c r="A351">
        <v>27</v>
      </c>
      <c r="B351">
        <v>25</v>
      </c>
      <c r="C351">
        <v>0</v>
      </c>
    </row>
    <row r="352" spans="1:3" ht="12.75">
      <c r="A352">
        <v>26.333333333333336</v>
      </c>
      <c r="B352">
        <v>24.333333333333336</v>
      </c>
      <c r="C352">
        <v>0</v>
      </c>
    </row>
    <row r="353" spans="1:3" ht="12.75">
      <c r="A353">
        <v>25.66666666666667</v>
      </c>
      <c r="B353">
        <v>23.666666666666668</v>
      </c>
      <c r="C353">
        <v>0</v>
      </c>
    </row>
    <row r="354" spans="1:3" ht="12.75">
      <c r="A354">
        <v>25</v>
      </c>
      <c r="B354">
        <v>23</v>
      </c>
      <c r="C354">
        <v>0</v>
      </c>
    </row>
    <row r="355" spans="1:3" ht="12.75">
      <c r="A355">
        <v>37</v>
      </c>
      <c r="B355">
        <v>35</v>
      </c>
      <c r="C355">
        <v>0</v>
      </c>
    </row>
    <row r="356" spans="1:3" ht="12.75">
      <c r="A356">
        <v>36.333333333333336</v>
      </c>
      <c r="B356">
        <v>34.333333333333336</v>
      </c>
      <c r="C356">
        <v>0</v>
      </c>
    </row>
    <row r="357" spans="1:3" ht="12.75">
      <c r="A357">
        <v>35.66666666666667</v>
      </c>
      <c r="B357">
        <v>33.66666666666667</v>
      </c>
      <c r="C357">
        <v>0</v>
      </c>
    </row>
    <row r="358" spans="1:3" ht="12.75">
      <c r="A358">
        <v>35</v>
      </c>
      <c r="B358">
        <v>33</v>
      </c>
      <c r="C358">
        <v>0</v>
      </c>
    </row>
    <row r="359" spans="1:3" ht="12.75">
      <c r="A359">
        <v>34.333333333333336</v>
      </c>
      <c r="B359">
        <v>32.333333333333336</v>
      </c>
      <c r="C359">
        <v>0</v>
      </c>
    </row>
    <row r="360" spans="1:3" ht="12.75">
      <c r="A360">
        <v>33.66666666666667</v>
      </c>
      <c r="B360">
        <v>31.666666666666668</v>
      </c>
      <c r="C360">
        <v>0</v>
      </c>
    </row>
    <row r="361" spans="1:3" ht="12.75">
      <c r="A361">
        <v>33</v>
      </c>
      <c r="B361">
        <v>31</v>
      </c>
      <c r="C361">
        <v>0</v>
      </c>
    </row>
    <row r="362" spans="1:3" ht="12.75">
      <c r="A362">
        <v>32.333333333333336</v>
      </c>
      <c r="B362">
        <v>30.333333333333336</v>
      </c>
      <c r="C362">
        <v>0</v>
      </c>
    </row>
    <row r="363" spans="1:3" ht="12.75">
      <c r="A363">
        <v>31.666666666666668</v>
      </c>
      <c r="B363">
        <v>29.666666666666668</v>
      </c>
      <c r="C363">
        <v>1.9896970591048902E-34</v>
      </c>
    </row>
    <row r="364" spans="1:3" ht="12.75">
      <c r="A364">
        <v>31</v>
      </c>
      <c r="B364">
        <v>29</v>
      </c>
      <c r="C364">
        <v>0.0025827744473565827</v>
      </c>
    </row>
    <row r="365" spans="1:3" ht="12.75">
      <c r="A365">
        <v>30.333333333333336</v>
      </c>
      <c r="B365">
        <v>28.333333333333336</v>
      </c>
      <c r="C365">
        <v>0.0068873985262842</v>
      </c>
    </row>
    <row r="366" spans="1:3" ht="12.75">
      <c r="A366">
        <v>29.666666666666668</v>
      </c>
      <c r="B366">
        <v>27.666666666666668</v>
      </c>
      <c r="C366">
        <v>0.006026473710498679</v>
      </c>
    </row>
    <row r="367" spans="1:3" ht="12.75">
      <c r="A367">
        <v>29</v>
      </c>
      <c r="B367">
        <v>27</v>
      </c>
      <c r="C367">
        <v>0.00430462407892763</v>
      </c>
    </row>
    <row r="368" spans="1:3" ht="12.75">
      <c r="A368">
        <v>28.333333333333336</v>
      </c>
      <c r="B368">
        <v>26.333333333333336</v>
      </c>
      <c r="C368">
        <v>0.0025827744473565736</v>
      </c>
    </row>
    <row r="369" spans="1:3" ht="12.75">
      <c r="A369">
        <v>27.666666666666668</v>
      </c>
      <c r="B369">
        <v>25.666666666666668</v>
      </c>
      <c r="C369">
        <v>0.000860924815785527</v>
      </c>
    </row>
    <row r="370" spans="1:3" ht="12.75">
      <c r="A370">
        <v>27</v>
      </c>
      <c r="B370">
        <v>25</v>
      </c>
      <c r="C370">
        <v>0</v>
      </c>
    </row>
    <row r="371" spans="1:3" ht="12.75">
      <c r="A371">
        <v>26.333333333333336</v>
      </c>
      <c r="B371">
        <v>24.333333333333336</v>
      </c>
      <c r="C371">
        <v>0</v>
      </c>
    </row>
    <row r="372" spans="1:3" ht="12.75">
      <c r="A372">
        <v>25.666666666666668</v>
      </c>
      <c r="B372">
        <v>23.666666666666668</v>
      </c>
      <c r="C372">
        <v>0</v>
      </c>
    </row>
    <row r="373" spans="1:3" ht="12.75">
      <c r="A373">
        <v>25</v>
      </c>
      <c r="B373">
        <v>23</v>
      </c>
      <c r="C373">
        <v>0</v>
      </c>
    </row>
    <row r="374" spans="1:3" ht="12.75">
      <c r="A374">
        <v>24.333333333333336</v>
      </c>
      <c r="B374">
        <v>22.333333333333336</v>
      </c>
      <c r="C374">
        <v>0</v>
      </c>
    </row>
    <row r="375" spans="1:3" ht="12.75">
      <c r="A375">
        <v>23.666666666666668</v>
      </c>
      <c r="B375">
        <v>21.666666666666668</v>
      </c>
      <c r="C375">
        <v>0</v>
      </c>
    </row>
    <row r="376" spans="1:3" ht="12.75">
      <c r="A376">
        <v>35.66666666666667</v>
      </c>
      <c r="B376">
        <v>33.66666666666667</v>
      </c>
      <c r="C376">
        <v>0</v>
      </c>
    </row>
    <row r="377" spans="1:3" ht="12.75">
      <c r="A377">
        <v>35</v>
      </c>
      <c r="B377">
        <v>33</v>
      </c>
      <c r="C377">
        <v>0</v>
      </c>
    </row>
    <row r="378" spans="1:3" ht="12.75">
      <c r="A378">
        <v>34.333333333333336</v>
      </c>
      <c r="B378">
        <v>32.333333333333336</v>
      </c>
      <c r="C378">
        <v>0</v>
      </c>
    </row>
    <row r="379" spans="1:3" ht="12.75">
      <c r="A379">
        <v>33.66666666666667</v>
      </c>
      <c r="B379">
        <v>31.66666666666667</v>
      </c>
      <c r="C379">
        <v>0</v>
      </c>
    </row>
    <row r="380" spans="1:3" ht="12.75">
      <c r="A380">
        <v>33</v>
      </c>
      <c r="B380">
        <v>31</v>
      </c>
      <c r="C380">
        <v>0</v>
      </c>
    </row>
    <row r="381" spans="1:3" ht="12.75">
      <c r="A381">
        <v>32.333333333333336</v>
      </c>
      <c r="B381">
        <v>30.333333333333336</v>
      </c>
      <c r="C381">
        <v>0</v>
      </c>
    </row>
    <row r="382" spans="1:3" ht="12.75">
      <c r="A382">
        <v>31.666666666666668</v>
      </c>
      <c r="B382">
        <v>29.66666666666667</v>
      </c>
      <c r="C382">
        <v>0</v>
      </c>
    </row>
    <row r="383" spans="1:3" ht="12.75">
      <c r="A383">
        <v>31</v>
      </c>
      <c r="B383">
        <v>29</v>
      </c>
      <c r="C383">
        <v>0</v>
      </c>
    </row>
    <row r="384" spans="1:3" ht="12.75">
      <c r="A384">
        <v>30.333333333333336</v>
      </c>
      <c r="B384">
        <v>28.333333333333336</v>
      </c>
      <c r="C384">
        <v>0</v>
      </c>
    </row>
    <row r="385" spans="1:3" ht="12.75">
      <c r="A385">
        <v>29.666666666666668</v>
      </c>
      <c r="B385">
        <v>27.66666666666667</v>
      </c>
      <c r="C385">
        <v>0</v>
      </c>
    </row>
    <row r="386" spans="1:3" ht="12.75">
      <c r="A386">
        <v>29</v>
      </c>
      <c r="B386">
        <v>27</v>
      </c>
      <c r="C386">
        <v>0</v>
      </c>
    </row>
    <row r="387" spans="1:3" ht="12.75">
      <c r="A387">
        <v>28.333333333333336</v>
      </c>
      <c r="B387">
        <v>26.333333333333336</v>
      </c>
      <c r="C387">
        <v>0</v>
      </c>
    </row>
    <row r="388" spans="1:3" ht="12.75">
      <c r="A388">
        <v>27.666666666666668</v>
      </c>
      <c r="B388">
        <v>25.66666666666667</v>
      </c>
      <c r="C388">
        <v>0</v>
      </c>
    </row>
    <row r="389" spans="1:3" ht="12.75">
      <c r="A389">
        <v>27</v>
      </c>
      <c r="B389">
        <v>25</v>
      </c>
      <c r="C389">
        <v>0</v>
      </c>
    </row>
    <row r="390" spans="1:3" ht="12.75">
      <c r="A390">
        <v>26.333333333333336</v>
      </c>
      <c r="B390">
        <v>24.333333333333336</v>
      </c>
      <c r="C390">
        <v>0</v>
      </c>
    </row>
    <row r="391" spans="1:3" ht="12.75">
      <c r="A391">
        <v>25.666666666666668</v>
      </c>
      <c r="B391">
        <v>23.66666666666667</v>
      </c>
      <c r="C391">
        <v>0</v>
      </c>
    </row>
    <row r="392" spans="1:3" ht="12.75">
      <c r="A392">
        <v>25</v>
      </c>
      <c r="B392">
        <v>23</v>
      </c>
      <c r="C392">
        <v>0</v>
      </c>
    </row>
    <row r="393" spans="1:3" ht="12.75">
      <c r="A393">
        <v>24.333333333333336</v>
      </c>
      <c r="B393">
        <v>22.333333333333336</v>
      </c>
      <c r="C393">
        <v>0</v>
      </c>
    </row>
    <row r="394" spans="1:3" ht="12.75">
      <c r="A394">
        <v>23.666666666666668</v>
      </c>
      <c r="B394">
        <v>21.66666666666667</v>
      </c>
      <c r="C394">
        <v>0</v>
      </c>
    </row>
    <row r="395" spans="1:3" ht="12.75">
      <c r="A395">
        <v>23</v>
      </c>
      <c r="B395">
        <v>21</v>
      </c>
      <c r="C395">
        <v>0</v>
      </c>
    </row>
    <row r="396" spans="1:3" ht="12.75">
      <c r="A396">
        <v>22.333333333333336</v>
      </c>
      <c r="B396">
        <v>20.333333333333336</v>
      </c>
      <c r="C396">
        <v>0</v>
      </c>
    </row>
    <row r="397" spans="1:3" ht="12.75">
      <c r="A397">
        <v>34.333333333333336</v>
      </c>
      <c r="B397">
        <v>32.333333333333336</v>
      </c>
      <c r="C397">
        <v>0</v>
      </c>
    </row>
    <row r="398" spans="1:3" ht="12.75">
      <c r="A398">
        <v>33.66666666666667</v>
      </c>
      <c r="B398">
        <v>31.666666666666668</v>
      </c>
      <c r="C398">
        <v>0</v>
      </c>
    </row>
    <row r="399" spans="1:3" ht="12.75">
      <c r="A399">
        <v>33</v>
      </c>
      <c r="B399">
        <v>31</v>
      </c>
      <c r="C399">
        <v>0</v>
      </c>
    </row>
    <row r="400" spans="1:3" ht="12.75">
      <c r="A400">
        <v>32.333333333333336</v>
      </c>
      <c r="B400">
        <v>30.333333333333336</v>
      </c>
      <c r="C400">
        <v>0</v>
      </c>
    </row>
    <row r="401" spans="1:3" ht="12.75">
      <c r="A401">
        <v>31.66666666666667</v>
      </c>
      <c r="B401">
        <v>29.666666666666668</v>
      </c>
      <c r="C401">
        <v>0</v>
      </c>
    </row>
    <row r="402" spans="1:3" ht="12.75">
      <c r="A402">
        <v>31</v>
      </c>
      <c r="B402">
        <v>29</v>
      </c>
      <c r="C402">
        <v>0</v>
      </c>
    </row>
    <row r="403" spans="1:3" ht="12.75">
      <c r="A403">
        <v>30.333333333333336</v>
      </c>
      <c r="B403">
        <v>28.333333333333336</v>
      </c>
      <c r="C403">
        <v>0</v>
      </c>
    </row>
    <row r="404" spans="1:3" ht="12.75">
      <c r="A404">
        <v>29.66666666666667</v>
      </c>
      <c r="B404">
        <v>27.666666666666668</v>
      </c>
      <c r="C404">
        <v>0</v>
      </c>
    </row>
    <row r="405" spans="1:3" ht="12.75">
      <c r="A405">
        <v>29</v>
      </c>
      <c r="B405">
        <v>27</v>
      </c>
      <c r="C405">
        <v>0</v>
      </c>
    </row>
    <row r="406" spans="1:3" ht="12.75">
      <c r="A406">
        <v>28.333333333333336</v>
      </c>
      <c r="B406">
        <v>26.333333333333336</v>
      </c>
      <c r="C406">
        <v>0</v>
      </c>
    </row>
    <row r="407" spans="1:3" ht="12.75">
      <c r="A407">
        <v>27.66666666666667</v>
      </c>
      <c r="B407">
        <v>25.666666666666668</v>
      </c>
      <c r="C407">
        <v>0</v>
      </c>
    </row>
    <row r="408" spans="1:3" ht="12.75">
      <c r="A408">
        <v>27</v>
      </c>
      <c r="B408">
        <v>25</v>
      </c>
      <c r="C408">
        <v>0</v>
      </c>
    </row>
    <row r="409" spans="1:3" ht="12.75">
      <c r="A409">
        <v>26.333333333333336</v>
      </c>
      <c r="B409">
        <v>24.333333333333336</v>
      </c>
      <c r="C409">
        <v>0</v>
      </c>
    </row>
    <row r="410" spans="1:3" ht="12.75">
      <c r="A410">
        <v>25.66666666666667</v>
      </c>
      <c r="B410">
        <v>23.666666666666668</v>
      </c>
      <c r="C410">
        <v>0</v>
      </c>
    </row>
    <row r="411" spans="1:3" ht="12.75">
      <c r="A411">
        <v>25</v>
      </c>
      <c r="B411">
        <v>23</v>
      </c>
      <c r="C411">
        <v>0</v>
      </c>
    </row>
    <row r="412" spans="1:3" ht="12.75">
      <c r="A412">
        <v>24.333333333333336</v>
      </c>
      <c r="B412">
        <v>22.333333333333336</v>
      </c>
      <c r="C412">
        <v>0</v>
      </c>
    </row>
    <row r="413" spans="1:3" ht="12.75">
      <c r="A413">
        <v>23.66666666666667</v>
      </c>
      <c r="B413">
        <v>21.666666666666668</v>
      </c>
      <c r="C413">
        <v>0</v>
      </c>
    </row>
    <row r="414" spans="1:3" ht="12.75">
      <c r="A414">
        <v>23</v>
      </c>
      <c r="B414">
        <v>21</v>
      </c>
      <c r="C414">
        <v>0</v>
      </c>
    </row>
    <row r="415" spans="1:3" ht="12.75">
      <c r="A415">
        <v>22.333333333333336</v>
      </c>
      <c r="B415">
        <v>20.333333333333336</v>
      </c>
      <c r="C415">
        <v>0</v>
      </c>
    </row>
    <row r="416" spans="1:3" ht="12.75">
      <c r="A416">
        <v>21.66666666666667</v>
      </c>
      <c r="B416">
        <v>19.666666666666668</v>
      </c>
      <c r="C416">
        <v>0</v>
      </c>
    </row>
    <row r="417" spans="1:3" ht="12.75">
      <c r="A417">
        <v>21</v>
      </c>
      <c r="B417">
        <v>19</v>
      </c>
      <c r="C417">
        <v>0</v>
      </c>
    </row>
    <row r="418" spans="1:3" ht="12.75">
      <c r="A418">
        <v>33</v>
      </c>
      <c r="B418">
        <v>31</v>
      </c>
      <c r="C418">
        <v>0</v>
      </c>
    </row>
    <row r="419" spans="1:3" ht="12.75">
      <c r="A419">
        <v>32.333333333333336</v>
      </c>
      <c r="B419">
        <v>30.333333333333336</v>
      </c>
      <c r="C419">
        <v>0</v>
      </c>
    </row>
    <row r="420" spans="1:3" ht="12.75">
      <c r="A420">
        <v>31.666666666666668</v>
      </c>
      <c r="B420">
        <v>29.666666666666668</v>
      </c>
      <c r="C420">
        <v>0</v>
      </c>
    </row>
    <row r="421" spans="1:3" ht="12.75">
      <c r="A421">
        <v>31</v>
      </c>
      <c r="B421">
        <v>29</v>
      </c>
      <c r="C421">
        <v>0</v>
      </c>
    </row>
    <row r="422" spans="1:3" ht="12.75">
      <c r="A422">
        <v>30.333333333333336</v>
      </c>
      <c r="B422">
        <v>28.333333333333336</v>
      </c>
      <c r="C422">
        <v>0</v>
      </c>
    </row>
    <row r="423" spans="1:3" ht="12.75">
      <c r="A423">
        <v>29.666666666666668</v>
      </c>
      <c r="B423">
        <v>27.666666666666668</v>
      </c>
      <c r="C423">
        <v>0</v>
      </c>
    </row>
    <row r="424" spans="1:3" ht="12.75">
      <c r="A424">
        <v>29</v>
      </c>
      <c r="B424">
        <v>27</v>
      </c>
      <c r="C424">
        <v>0</v>
      </c>
    </row>
    <row r="425" spans="1:3" ht="12.75">
      <c r="A425">
        <v>28.333333333333336</v>
      </c>
      <c r="B425">
        <v>26.333333333333336</v>
      </c>
      <c r="C425">
        <v>0</v>
      </c>
    </row>
    <row r="426" spans="1:3" ht="12.75">
      <c r="A426">
        <v>27.666666666666668</v>
      </c>
      <c r="B426">
        <v>25.666666666666668</v>
      </c>
      <c r="C426">
        <v>0</v>
      </c>
    </row>
    <row r="427" spans="1:3" ht="12.75">
      <c r="A427">
        <v>27</v>
      </c>
      <c r="B427">
        <v>25</v>
      </c>
      <c r="C427">
        <v>0</v>
      </c>
    </row>
    <row r="428" spans="1:3" ht="12.75">
      <c r="A428">
        <v>26.333333333333336</v>
      </c>
      <c r="B428">
        <v>24.333333333333336</v>
      </c>
      <c r="C428">
        <v>0</v>
      </c>
    </row>
    <row r="429" spans="1:3" ht="12.75">
      <c r="A429">
        <v>25.666666666666668</v>
      </c>
      <c r="B429">
        <v>23.666666666666668</v>
      </c>
      <c r="C429">
        <v>0</v>
      </c>
    </row>
    <row r="430" spans="1:3" ht="12.75">
      <c r="A430">
        <v>25</v>
      </c>
      <c r="B430">
        <v>23</v>
      </c>
      <c r="C430">
        <v>0</v>
      </c>
    </row>
    <row r="431" spans="1:3" ht="12.75">
      <c r="A431">
        <v>24.333333333333336</v>
      </c>
      <c r="B431">
        <v>22.333333333333336</v>
      </c>
      <c r="C431">
        <v>0</v>
      </c>
    </row>
    <row r="432" spans="1:3" ht="12.75">
      <c r="A432">
        <v>23.666666666666668</v>
      </c>
      <c r="B432">
        <v>21.666666666666668</v>
      </c>
      <c r="C432">
        <v>0</v>
      </c>
    </row>
    <row r="433" spans="1:3" ht="12.75">
      <c r="A433">
        <v>23</v>
      </c>
      <c r="B433">
        <v>21</v>
      </c>
      <c r="C433">
        <v>0</v>
      </c>
    </row>
    <row r="434" spans="1:3" ht="12.75">
      <c r="A434">
        <v>22.333333333333336</v>
      </c>
      <c r="B434">
        <v>20.333333333333336</v>
      </c>
      <c r="C434">
        <v>0</v>
      </c>
    </row>
    <row r="435" spans="1:3" ht="12.75">
      <c r="A435">
        <v>21.666666666666668</v>
      </c>
      <c r="B435">
        <v>19.666666666666668</v>
      </c>
      <c r="C435">
        <v>0</v>
      </c>
    </row>
    <row r="436" spans="1:3" ht="12.75">
      <c r="A436">
        <v>21</v>
      </c>
      <c r="B436">
        <v>19</v>
      </c>
      <c r="C436">
        <v>0</v>
      </c>
    </row>
    <row r="437" spans="1:3" ht="12.75">
      <c r="A437">
        <v>20.333333333333336</v>
      </c>
      <c r="B437">
        <v>18.333333333333336</v>
      </c>
      <c r="C437">
        <v>0</v>
      </c>
    </row>
    <row r="438" spans="1:3" ht="12.75">
      <c r="A438">
        <v>19.666666666666668</v>
      </c>
      <c r="B438">
        <v>17.666666666666668</v>
      </c>
      <c r="C438">
        <v>0</v>
      </c>
    </row>
    <row r="439" spans="1:3" ht="12.75">
      <c r="A439">
        <v>31.666666666666668</v>
      </c>
      <c r="B439">
        <v>29.66666666666667</v>
      </c>
      <c r="C439">
        <v>0</v>
      </c>
    </row>
    <row r="440" spans="1:3" ht="12.75">
      <c r="A440">
        <v>31</v>
      </c>
      <c r="B440">
        <v>29</v>
      </c>
      <c r="C440">
        <v>0</v>
      </c>
    </row>
    <row r="441" spans="1:3" ht="12.75">
      <c r="A441">
        <v>30.333333333333336</v>
      </c>
      <c r="B441">
        <v>28.333333333333336</v>
      </c>
      <c r="C441">
        <v>0</v>
      </c>
    </row>
    <row r="442" spans="1:3" ht="12.75">
      <c r="A442">
        <v>29.666666666666668</v>
      </c>
      <c r="B442">
        <v>27.66666666666667</v>
      </c>
      <c r="C442">
        <v>0</v>
      </c>
    </row>
    <row r="443" spans="1:3" ht="12.75">
      <c r="A443">
        <v>29</v>
      </c>
      <c r="B443">
        <v>27</v>
      </c>
      <c r="C443">
        <v>0</v>
      </c>
    </row>
    <row r="444" spans="1:3" ht="12.75">
      <c r="A444">
        <v>28.333333333333336</v>
      </c>
      <c r="B444">
        <v>26.333333333333336</v>
      </c>
      <c r="C444">
        <v>0</v>
      </c>
    </row>
    <row r="445" spans="1:3" ht="12.75">
      <c r="A445">
        <v>27.666666666666668</v>
      </c>
      <c r="B445">
        <v>25.66666666666667</v>
      </c>
      <c r="C445">
        <v>0</v>
      </c>
    </row>
    <row r="446" spans="1:3" ht="12.75">
      <c r="A446">
        <v>27</v>
      </c>
      <c r="B446">
        <v>25</v>
      </c>
      <c r="C446">
        <v>0</v>
      </c>
    </row>
    <row r="447" spans="1:3" ht="12.75">
      <c r="A447">
        <v>26.333333333333336</v>
      </c>
      <c r="B447">
        <v>24.333333333333336</v>
      </c>
      <c r="C447">
        <v>0</v>
      </c>
    </row>
    <row r="448" spans="1:3" ht="12.75">
      <c r="A448">
        <v>25.666666666666668</v>
      </c>
      <c r="B448">
        <v>23.66666666666667</v>
      </c>
      <c r="C448">
        <v>0</v>
      </c>
    </row>
    <row r="449" spans="1:3" ht="12.75">
      <c r="A449">
        <v>25</v>
      </c>
      <c r="B449">
        <v>23</v>
      </c>
      <c r="C449">
        <v>0</v>
      </c>
    </row>
    <row r="450" spans="1:3" ht="12.75">
      <c r="A450">
        <v>24.333333333333336</v>
      </c>
      <c r="B450">
        <v>22.333333333333336</v>
      </c>
      <c r="C450">
        <v>0</v>
      </c>
    </row>
    <row r="451" spans="1:3" ht="12.75">
      <c r="A451">
        <v>23.666666666666668</v>
      </c>
      <c r="B451">
        <v>21.66666666666667</v>
      </c>
      <c r="C451">
        <v>0</v>
      </c>
    </row>
    <row r="452" spans="1:3" ht="12.75">
      <c r="A452">
        <v>23</v>
      </c>
      <c r="B452">
        <v>21</v>
      </c>
      <c r="C452">
        <v>0</v>
      </c>
    </row>
    <row r="453" spans="1:3" ht="12.75">
      <c r="A453">
        <v>22.333333333333336</v>
      </c>
      <c r="B453">
        <v>20.333333333333336</v>
      </c>
      <c r="C453">
        <v>0</v>
      </c>
    </row>
    <row r="454" spans="1:3" ht="12.75">
      <c r="A454">
        <v>21.666666666666668</v>
      </c>
      <c r="B454">
        <v>19.66666666666667</v>
      </c>
      <c r="C454">
        <v>0</v>
      </c>
    </row>
    <row r="455" spans="1:3" ht="12.75">
      <c r="A455">
        <v>21</v>
      </c>
      <c r="B455">
        <v>19</v>
      </c>
      <c r="C455">
        <v>0</v>
      </c>
    </row>
    <row r="456" spans="1:3" ht="12.75">
      <c r="A456">
        <v>20.333333333333336</v>
      </c>
      <c r="B456">
        <v>18.333333333333336</v>
      </c>
      <c r="C456">
        <v>0</v>
      </c>
    </row>
    <row r="457" spans="1:3" ht="12.75">
      <c r="A457">
        <v>19.666666666666668</v>
      </c>
      <c r="B457">
        <v>17.66666666666667</v>
      </c>
      <c r="C457">
        <v>0</v>
      </c>
    </row>
    <row r="458" spans="1:3" ht="12.75">
      <c r="A458">
        <v>19</v>
      </c>
      <c r="B458">
        <v>17</v>
      </c>
      <c r="C458">
        <v>0</v>
      </c>
    </row>
    <row r="459" spans="1:3" ht="12.75">
      <c r="A459">
        <v>18.333333333333336</v>
      </c>
      <c r="B459">
        <v>16.333333333333336</v>
      </c>
      <c r="C459">
        <v>0</v>
      </c>
    </row>
    <row r="460" spans="1:3" ht="12.75">
      <c r="A460">
        <v>30.333333333333336</v>
      </c>
      <c r="B460">
        <v>28.333333333333336</v>
      </c>
      <c r="C460">
        <v>0</v>
      </c>
    </row>
    <row r="461" spans="1:3" ht="12.75">
      <c r="A461">
        <v>29.66666666666667</v>
      </c>
      <c r="B461">
        <v>27.666666666666668</v>
      </c>
      <c r="C461">
        <v>0</v>
      </c>
    </row>
    <row r="462" spans="1:3" ht="12.75">
      <c r="A462">
        <v>29</v>
      </c>
      <c r="B462">
        <v>27</v>
      </c>
      <c r="C462">
        <v>0</v>
      </c>
    </row>
    <row r="463" spans="1:3" ht="12.75">
      <c r="A463">
        <v>28.333333333333336</v>
      </c>
      <c r="B463">
        <v>26.333333333333336</v>
      </c>
      <c r="C463">
        <v>0</v>
      </c>
    </row>
    <row r="464" spans="1:3" ht="12.75">
      <c r="A464">
        <v>27.66666666666667</v>
      </c>
      <c r="B464">
        <v>25.666666666666668</v>
      </c>
      <c r="C464">
        <v>0</v>
      </c>
    </row>
    <row r="465" spans="1:3" ht="12.75">
      <c r="A465">
        <v>27</v>
      </c>
      <c r="B465">
        <v>25</v>
      </c>
      <c r="C465">
        <v>0</v>
      </c>
    </row>
    <row r="466" spans="1:3" ht="12.75">
      <c r="A466">
        <v>26.333333333333336</v>
      </c>
      <c r="B466">
        <v>24.333333333333336</v>
      </c>
      <c r="C466">
        <v>0</v>
      </c>
    </row>
    <row r="467" spans="1:3" ht="12.75">
      <c r="A467">
        <v>25.66666666666667</v>
      </c>
      <c r="B467">
        <v>23.666666666666668</v>
      </c>
      <c r="C467">
        <v>0</v>
      </c>
    </row>
    <row r="468" spans="1:3" ht="12.75">
      <c r="A468">
        <v>25</v>
      </c>
      <c r="B468">
        <v>23</v>
      </c>
      <c r="C468">
        <v>0</v>
      </c>
    </row>
    <row r="469" spans="1:3" ht="12.75">
      <c r="A469">
        <v>24.333333333333336</v>
      </c>
      <c r="B469">
        <v>22.333333333333336</v>
      </c>
      <c r="C469">
        <v>0</v>
      </c>
    </row>
    <row r="470" spans="1:3" ht="12.75">
      <c r="A470">
        <v>23.66666666666667</v>
      </c>
      <c r="B470">
        <v>21.666666666666668</v>
      </c>
      <c r="C470">
        <v>0</v>
      </c>
    </row>
    <row r="471" spans="1:3" ht="12.75">
      <c r="A471">
        <v>23</v>
      </c>
      <c r="B471">
        <v>21</v>
      </c>
      <c r="C471">
        <v>0</v>
      </c>
    </row>
    <row r="472" spans="1:3" ht="12.75">
      <c r="A472">
        <v>22.333333333333336</v>
      </c>
      <c r="B472">
        <v>20.333333333333336</v>
      </c>
      <c r="C472">
        <v>0</v>
      </c>
    </row>
    <row r="473" spans="1:3" ht="12.75">
      <c r="A473">
        <v>21.66666666666667</v>
      </c>
      <c r="B473">
        <v>19.666666666666668</v>
      </c>
      <c r="C473">
        <v>0</v>
      </c>
    </row>
    <row r="474" spans="1:3" ht="12.75">
      <c r="A474">
        <v>21</v>
      </c>
      <c r="B474">
        <v>19</v>
      </c>
      <c r="C474">
        <v>0</v>
      </c>
    </row>
    <row r="475" spans="1:3" ht="12.75">
      <c r="A475">
        <v>20.333333333333336</v>
      </c>
      <c r="B475">
        <v>18.333333333333336</v>
      </c>
      <c r="C475">
        <v>0</v>
      </c>
    </row>
    <row r="476" spans="1:3" ht="12.75">
      <c r="A476">
        <v>19.66666666666667</v>
      </c>
      <c r="B476">
        <v>17.666666666666668</v>
      </c>
      <c r="C476">
        <v>0</v>
      </c>
    </row>
    <row r="477" spans="1:3" ht="12.75">
      <c r="A477">
        <v>19</v>
      </c>
      <c r="B477">
        <v>17</v>
      </c>
      <c r="C477">
        <v>0</v>
      </c>
    </row>
    <row r="478" spans="1:3" ht="12.75">
      <c r="A478">
        <v>18.333333333333336</v>
      </c>
      <c r="B478">
        <v>16.333333333333336</v>
      </c>
      <c r="C478">
        <v>0</v>
      </c>
    </row>
    <row r="479" spans="1:3" ht="12.75">
      <c r="A479">
        <v>17.66666666666667</v>
      </c>
      <c r="B479">
        <v>15.666666666666668</v>
      </c>
      <c r="C479">
        <v>0</v>
      </c>
    </row>
    <row r="480" spans="1:3" ht="12.75">
      <c r="A480">
        <v>17</v>
      </c>
      <c r="B480">
        <v>15</v>
      </c>
      <c r="C480">
        <v>0</v>
      </c>
    </row>
  </sheetData>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5"/>
  <dimension ref="A3:V480"/>
  <sheetViews>
    <sheetView zoomScale="75" zoomScaleNormal="75" workbookViewId="0" topLeftCell="A1">
      <selection activeCell="B38" sqref="B38:V38"/>
    </sheetView>
  </sheetViews>
  <sheetFormatPr defaultColWidth="9.140625" defaultRowHeight="12.75"/>
  <cols>
    <col min="1" max="1" width="11.140625" style="0" bestFit="1" customWidth="1"/>
  </cols>
  <sheetData>
    <row r="3" spans="1:2" ht="12.75">
      <c r="A3" s="21" t="s">
        <v>294</v>
      </c>
      <c r="B3" s="112">
        <f>Lists!V2</f>
        <v>150</v>
      </c>
    </row>
    <row r="4" spans="1:2" ht="12.75">
      <c r="A4" s="21" t="s">
        <v>293</v>
      </c>
      <c r="B4">
        <f>Main!H19</f>
        <v>1500</v>
      </c>
    </row>
    <row r="5" spans="1:2" ht="12.75">
      <c r="A5" s="21" t="s">
        <v>292</v>
      </c>
      <c r="B5">
        <f>Main!H13</f>
        <v>1500</v>
      </c>
    </row>
    <row r="6" spans="1:2" ht="12.75">
      <c r="A6" s="21" t="s">
        <v>289</v>
      </c>
      <c r="B6">
        <f>Lists!W2</f>
        <v>0.1</v>
      </c>
    </row>
    <row r="8" spans="1:22" ht="12.75">
      <c r="A8" t="s">
        <v>254</v>
      </c>
      <c r="B8">
        <f aca="true" t="shared" si="0" ref="B8:J9">E8+10</f>
        <v>85</v>
      </c>
      <c r="C8">
        <f t="shared" si="0"/>
        <v>81.66666667</v>
      </c>
      <c r="D8">
        <f t="shared" si="0"/>
        <v>78.33333334</v>
      </c>
      <c r="E8">
        <f t="shared" si="0"/>
        <v>75</v>
      </c>
      <c r="F8">
        <f t="shared" si="0"/>
        <v>71.66666667</v>
      </c>
      <c r="G8">
        <f t="shared" si="0"/>
        <v>68.33333334</v>
      </c>
      <c r="H8">
        <f t="shared" si="0"/>
        <v>65</v>
      </c>
      <c r="I8">
        <f t="shared" si="0"/>
        <v>61.66666667</v>
      </c>
      <c r="J8">
        <f t="shared" si="0"/>
        <v>58.333333339999996</v>
      </c>
      <c r="K8">
        <v>55</v>
      </c>
      <c r="L8">
        <v>51.66666667</v>
      </c>
      <c r="M8">
        <v>48.333333339999996</v>
      </c>
      <c r="N8">
        <f aca="true" t="shared" si="1" ref="N8:V9">K8-10</f>
        <v>45</v>
      </c>
      <c r="O8">
        <f t="shared" si="1"/>
        <v>41.66666667</v>
      </c>
      <c r="P8">
        <f t="shared" si="1"/>
        <v>38.333333339999996</v>
      </c>
      <c r="Q8">
        <f t="shared" si="1"/>
        <v>35</v>
      </c>
      <c r="R8">
        <f t="shared" si="1"/>
        <v>31.666666669999998</v>
      </c>
      <c r="S8">
        <f t="shared" si="1"/>
        <v>28.333333339999996</v>
      </c>
      <c r="T8">
        <f t="shared" si="1"/>
        <v>25</v>
      </c>
      <c r="U8">
        <f t="shared" si="1"/>
        <v>21.666666669999998</v>
      </c>
      <c r="V8">
        <f t="shared" si="1"/>
        <v>18.333333339999996</v>
      </c>
    </row>
    <row r="9" spans="1:22" ht="13.5" thickBot="1">
      <c r="A9" s="90" t="s">
        <v>255</v>
      </c>
      <c r="B9" s="90">
        <f t="shared" si="0"/>
        <v>81.66666667</v>
      </c>
      <c r="C9" s="90">
        <f t="shared" si="0"/>
        <v>78.33333334</v>
      </c>
      <c r="D9" s="90">
        <f t="shared" si="0"/>
        <v>75</v>
      </c>
      <c r="E9" s="90">
        <f t="shared" si="0"/>
        <v>71.66666667</v>
      </c>
      <c r="F9" s="90">
        <f t="shared" si="0"/>
        <v>68.33333334</v>
      </c>
      <c r="G9" s="90">
        <f t="shared" si="0"/>
        <v>65</v>
      </c>
      <c r="H9" s="90">
        <f t="shared" si="0"/>
        <v>61.66666667</v>
      </c>
      <c r="I9" s="90">
        <f t="shared" si="0"/>
        <v>58.333333339999996</v>
      </c>
      <c r="J9" s="90">
        <f t="shared" si="0"/>
        <v>55</v>
      </c>
      <c r="K9" s="90">
        <f>K8-3.33333333</f>
        <v>51.66666667</v>
      </c>
      <c r="L9" s="90">
        <f>L8-3.33333333</f>
        <v>48.333333339999996</v>
      </c>
      <c r="M9" s="90">
        <v>45</v>
      </c>
      <c r="N9" s="90">
        <f t="shared" si="1"/>
        <v>41.66666667</v>
      </c>
      <c r="O9" s="90">
        <f t="shared" si="1"/>
        <v>38.333333339999996</v>
      </c>
      <c r="P9" s="90">
        <f t="shared" si="1"/>
        <v>35</v>
      </c>
      <c r="Q9" s="90">
        <f t="shared" si="1"/>
        <v>31.666666669999998</v>
      </c>
      <c r="R9" s="90">
        <f t="shared" si="1"/>
        <v>28.333333339999996</v>
      </c>
      <c r="S9" s="90">
        <f t="shared" si="1"/>
        <v>25</v>
      </c>
      <c r="T9" s="90">
        <f t="shared" si="1"/>
        <v>21.666666669999998</v>
      </c>
      <c r="U9" s="90">
        <f t="shared" si="1"/>
        <v>18.333333339999996</v>
      </c>
      <c r="V9" s="90">
        <f t="shared" si="1"/>
        <v>15</v>
      </c>
    </row>
    <row r="10" spans="1:22" ht="12.75">
      <c r="A10" t="s">
        <v>256</v>
      </c>
      <c r="B10" s="29">
        <v>0</v>
      </c>
      <c r="C10" s="29">
        <v>0</v>
      </c>
      <c r="D10" s="29">
        <v>0</v>
      </c>
      <c r="E10" s="29">
        <v>0</v>
      </c>
      <c r="F10" s="29">
        <v>0</v>
      </c>
      <c r="G10" s="29">
        <v>0</v>
      </c>
      <c r="H10" s="29">
        <v>0</v>
      </c>
      <c r="I10" s="29">
        <v>0</v>
      </c>
      <c r="J10" s="29">
        <v>0</v>
      </c>
      <c r="K10" s="29">
        <v>0.3333333333333333</v>
      </c>
      <c r="L10" s="29">
        <v>0.3333333333333333</v>
      </c>
      <c r="M10" s="29">
        <v>0.3333333333333333</v>
      </c>
      <c r="N10" s="29">
        <v>0</v>
      </c>
      <c r="O10" s="29">
        <v>0</v>
      </c>
      <c r="P10" s="29">
        <v>0</v>
      </c>
      <c r="Q10" s="29">
        <v>0</v>
      </c>
      <c r="R10" s="29">
        <v>0</v>
      </c>
      <c r="S10" s="29">
        <v>0</v>
      </c>
      <c r="T10" s="29">
        <v>0</v>
      </c>
      <c r="U10" s="29">
        <v>0</v>
      </c>
      <c r="V10" s="29">
        <v>0</v>
      </c>
    </row>
    <row r="13" ht="12.75">
      <c r="A13" s="111" t="s">
        <v>288</v>
      </c>
    </row>
    <row r="14" spans="2:22" ht="12.75">
      <c r="B14">
        <f>1+($B$6*0.5*B8/12)</f>
        <v>1.3541666666666667</v>
      </c>
      <c r="C14">
        <f aca="true" t="shared" si="2" ref="C14:V14">1+($B$6*0.5*C8/12)</f>
        <v>1.3402777777916666</v>
      </c>
      <c r="D14">
        <f t="shared" si="2"/>
        <v>1.3263888889166666</v>
      </c>
      <c r="E14">
        <f t="shared" si="2"/>
        <v>1.3125</v>
      </c>
      <c r="F14">
        <f t="shared" si="2"/>
        <v>1.298611111125</v>
      </c>
      <c r="G14">
        <f t="shared" si="2"/>
        <v>1.28472222225</v>
      </c>
      <c r="H14">
        <f t="shared" si="2"/>
        <v>1.2708333333333333</v>
      </c>
      <c r="I14">
        <f t="shared" si="2"/>
        <v>1.2569444444583333</v>
      </c>
      <c r="J14">
        <f t="shared" si="2"/>
        <v>1.2430555555833334</v>
      </c>
      <c r="K14">
        <f t="shared" si="2"/>
        <v>1.2291666666666667</v>
      </c>
      <c r="L14">
        <f t="shared" si="2"/>
        <v>1.2152777777916666</v>
      </c>
      <c r="M14">
        <f t="shared" si="2"/>
        <v>1.2013888889166666</v>
      </c>
      <c r="N14">
        <f t="shared" si="2"/>
        <v>1.1875</v>
      </c>
      <c r="O14">
        <f t="shared" si="2"/>
        <v>1.173611111125</v>
      </c>
      <c r="P14">
        <f t="shared" si="2"/>
        <v>1.15972222225</v>
      </c>
      <c r="Q14">
        <f t="shared" si="2"/>
        <v>1.1458333333333333</v>
      </c>
      <c r="R14">
        <f t="shared" si="2"/>
        <v>1.1319444444583333</v>
      </c>
      <c r="S14">
        <f t="shared" si="2"/>
        <v>1.1180555555833334</v>
      </c>
      <c r="T14">
        <f t="shared" si="2"/>
        <v>1.1041666666666667</v>
      </c>
      <c r="U14">
        <f t="shared" si="2"/>
        <v>1.0902777777916666</v>
      </c>
      <c r="V14">
        <f t="shared" si="2"/>
        <v>1.0763888889166666</v>
      </c>
    </row>
    <row r="15" spans="2:22" ht="13.5" thickBot="1">
      <c r="B15" s="90">
        <f>1+($B$6*0.5*B9/12)</f>
        <v>1.3402777777916666</v>
      </c>
      <c r="C15" s="90">
        <f aca="true" t="shared" si="3" ref="C15:V15">1+($B$6*0.5*C9/12)</f>
        <v>1.3263888889166666</v>
      </c>
      <c r="D15" s="90">
        <f t="shared" si="3"/>
        <v>1.3125</v>
      </c>
      <c r="E15" s="90">
        <f t="shared" si="3"/>
        <v>1.298611111125</v>
      </c>
      <c r="F15" s="90">
        <f t="shared" si="3"/>
        <v>1.28472222225</v>
      </c>
      <c r="G15" s="90">
        <f t="shared" si="3"/>
        <v>1.2708333333333333</v>
      </c>
      <c r="H15" s="90">
        <f t="shared" si="3"/>
        <v>1.2569444444583333</v>
      </c>
      <c r="I15" s="90">
        <f t="shared" si="3"/>
        <v>1.2430555555833334</v>
      </c>
      <c r="J15" s="90">
        <f t="shared" si="3"/>
        <v>1.2291666666666667</v>
      </c>
      <c r="K15" s="90">
        <f t="shared" si="3"/>
        <v>1.2152777777916666</v>
      </c>
      <c r="L15" s="90">
        <f t="shared" si="3"/>
        <v>1.2013888889166666</v>
      </c>
      <c r="M15" s="90">
        <f t="shared" si="3"/>
        <v>1.1875</v>
      </c>
      <c r="N15" s="90">
        <f t="shared" si="3"/>
        <v>1.173611111125</v>
      </c>
      <c r="O15" s="90">
        <f t="shared" si="3"/>
        <v>1.15972222225</v>
      </c>
      <c r="P15" s="90">
        <f t="shared" si="3"/>
        <v>1.1458333333333333</v>
      </c>
      <c r="Q15" s="90">
        <f t="shared" si="3"/>
        <v>1.1319444444583333</v>
      </c>
      <c r="R15" s="90">
        <f t="shared" si="3"/>
        <v>1.1180555555833334</v>
      </c>
      <c r="S15" s="90">
        <f t="shared" si="3"/>
        <v>1.1041666666666667</v>
      </c>
      <c r="T15" s="90">
        <f t="shared" si="3"/>
        <v>1.0902777777916666</v>
      </c>
      <c r="U15" s="90">
        <f t="shared" si="3"/>
        <v>1.0763888889166666</v>
      </c>
      <c r="V15" s="90">
        <f t="shared" si="3"/>
        <v>1.0625</v>
      </c>
    </row>
    <row r="16" spans="2:22" ht="12.75">
      <c r="B16">
        <f>IF(B10&lt;1E-28,0,B10)</f>
        <v>0</v>
      </c>
      <c r="C16">
        <f aca="true" t="shared" si="4" ref="C16:V16">IF(C10&lt;1E-28,0,C10)</f>
        <v>0</v>
      </c>
      <c r="D16">
        <f t="shared" si="4"/>
        <v>0</v>
      </c>
      <c r="E16">
        <f t="shared" si="4"/>
        <v>0</v>
      </c>
      <c r="F16">
        <f t="shared" si="4"/>
        <v>0</v>
      </c>
      <c r="G16">
        <f t="shared" si="4"/>
        <v>0</v>
      </c>
      <c r="H16">
        <f t="shared" si="4"/>
        <v>0</v>
      </c>
      <c r="I16">
        <f t="shared" si="4"/>
        <v>0</v>
      </c>
      <c r="J16">
        <f t="shared" si="4"/>
        <v>0</v>
      </c>
      <c r="K16">
        <f t="shared" si="4"/>
        <v>0.3333333333333333</v>
      </c>
      <c r="L16">
        <f t="shared" si="4"/>
        <v>0.3333333333333333</v>
      </c>
      <c r="M16">
        <f t="shared" si="4"/>
        <v>0.3333333333333333</v>
      </c>
      <c r="N16">
        <f t="shared" si="4"/>
        <v>0</v>
      </c>
      <c r="O16">
        <f>IF(O10&lt;1E-28,0,O10)</f>
        <v>0</v>
      </c>
      <c r="P16">
        <f t="shared" si="4"/>
        <v>0</v>
      </c>
      <c r="Q16">
        <f t="shared" si="4"/>
        <v>0</v>
      </c>
      <c r="R16">
        <f t="shared" si="4"/>
        <v>0</v>
      </c>
      <c r="S16">
        <f t="shared" si="4"/>
        <v>0</v>
      </c>
      <c r="T16">
        <f t="shared" si="4"/>
        <v>0</v>
      </c>
      <c r="U16">
        <f t="shared" si="4"/>
        <v>0</v>
      </c>
      <c r="V16">
        <f t="shared" si="4"/>
        <v>0</v>
      </c>
    </row>
    <row r="20" spans="1:22" ht="12.75">
      <c r="A20" t="s">
        <v>254</v>
      </c>
      <c r="B20">
        <f aca="true" t="shared" si="5" ref="B20:J21">E20+200</f>
        <v>2200</v>
      </c>
      <c r="C20">
        <f t="shared" si="5"/>
        <v>2133.33333334</v>
      </c>
      <c r="D20">
        <f t="shared" si="5"/>
        <v>2066.66666668</v>
      </c>
      <c r="E20">
        <f t="shared" si="5"/>
        <v>2000</v>
      </c>
      <c r="F20">
        <f t="shared" si="5"/>
        <v>1933.33333334</v>
      </c>
      <c r="G20">
        <f t="shared" si="5"/>
        <v>1866.6666666800002</v>
      </c>
      <c r="H20">
        <f t="shared" si="5"/>
        <v>1800</v>
      </c>
      <c r="I20">
        <f t="shared" si="5"/>
        <v>1733.33333334</v>
      </c>
      <c r="J20">
        <f t="shared" si="5"/>
        <v>1666.6666666800002</v>
      </c>
      <c r="K20">
        <v>1600</v>
      </c>
      <c r="L20">
        <f>K21</f>
        <v>1533.33333334</v>
      </c>
      <c r="M20">
        <f>L21</f>
        <v>1466.6666666800002</v>
      </c>
      <c r="N20">
        <f aca="true" t="shared" si="6" ref="N20:V21">K20-200</f>
        <v>1400</v>
      </c>
      <c r="O20">
        <f t="shared" si="6"/>
        <v>1333.33333334</v>
      </c>
      <c r="P20">
        <f t="shared" si="6"/>
        <v>1266.6666666800002</v>
      </c>
      <c r="Q20">
        <f t="shared" si="6"/>
        <v>1200</v>
      </c>
      <c r="R20">
        <f t="shared" si="6"/>
        <v>1133.33333334</v>
      </c>
      <c r="S20">
        <f t="shared" si="6"/>
        <v>1066.6666666800002</v>
      </c>
      <c r="T20">
        <f t="shared" si="6"/>
        <v>1000</v>
      </c>
      <c r="U20">
        <f t="shared" si="6"/>
        <v>933.3333333400001</v>
      </c>
      <c r="V20">
        <f t="shared" si="6"/>
        <v>866.6666666800002</v>
      </c>
    </row>
    <row r="21" spans="1:22" ht="13.5" thickBot="1">
      <c r="A21" s="90" t="s">
        <v>255</v>
      </c>
      <c r="B21" s="90">
        <f t="shared" si="5"/>
        <v>2133.33333334</v>
      </c>
      <c r="C21" s="90">
        <f t="shared" si="5"/>
        <v>2066.66666668</v>
      </c>
      <c r="D21" s="90">
        <f t="shared" si="5"/>
        <v>2000</v>
      </c>
      <c r="E21" s="90">
        <f t="shared" si="5"/>
        <v>1933.33333334</v>
      </c>
      <c r="F21" s="90">
        <f t="shared" si="5"/>
        <v>1866.6666666800002</v>
      </c>
      <c r="G21" s="90">
        <f t="shared" si="5"/>
        <v>1800</v>
      </c>
      <c r="H21" s="90">
        <f t="shared" si="5"/>
        <v>1733.33333334</v>
      </c>
      <c r="I21" s="90">
        <f t="shared" si="5"/>
        <v>1666.6666666800002</v>
      </c>
      <c r="J21" s="90">
        <f t="shared" si="5"/>
        <v>1600</v>
      </c>
      <c r="K21" s="90">
        <f>K20-66.66666666</f>
        <v>1533.33333334</v>
      </c>
      <c r="L21" s="90">
        <f>L20-66.66666666</f>
        <v>1466.6666666800002</v>
      </c>
      <c r="M21" s="90">
        <v>1400</v>
      </c>
      <c r="N21" s="90">
        <f t="shared" si="6"/>
        <v>1333.33333334</v>
      </c>
      <c r="O21" s="90">
        <f t="shared" si="6"/>
        <v>1266.6666666800002</v>
      </c>
      <c r="P21" s="90">
        <f t="shared" si="6"/>
        <v>1200</v>
      </c>
      <c r="Q21" s="90">
        <f t="shared" si="6"/>
        <v>1133.33333334</v>
      </c>
      <c r="R21" s="90">
        <f t="shared" si="6"/>
        <v>1066.6666666800002</v>
      </c>
      <c r="S21" s="90">
        <f t="shared" si="6"/>
        <v>1000</v>
      </c>
      <c r="T21" s="90">
        <f t="shared" si="6"/>
        <v>933.3333333400001</v>
      </c>
      <c r="U21" s="90">
        <f t="shared" si="6"/>
        <v>866.6666666800002</v>
      </c>
      <c r="V21" s="90">
        <f t="shared" si="6"/>
        <v>800</v>
      </c>
    </row>
    <row r="22" spans="1:22" ht="12.75">
      <c r="A22" t="s">
        <v>291</v>
      </c>
      <c r="B22">
        <v>0</v>
      </c>
      <c r="C22">
        <v>0</v>
      </c>
      <c r="D22">
        <v>0</v>
      </c>
      <c r="E22">
        <v>0</v>
      </c>
      <c r="F22">
        <v>0</v>
      </c>
      <c r="G22">
        <v>0</v>
      </c>
      <c r="H22">
        <v>0</v>
      </c>
      <c r="I22">
        <v>0</v>
      </c>
      <c r="J22">
        <v>0</v>
      </c>
      <c r="K22">
        <v>0</v>
      </c>
      <c r="L22">
        <v>0</v>
      </c>
      <c r="M22">
        <v>0</v>
      </c>
      <c r="N22">
        <v>0</v>
      </c>
      <c r="O22">
        <v>0</v>
      </c>
      <c r="P22">
        <v>0</v>
      </c>
      <c r="Q22">
        <v>0.037037037037037</v>
      </c>
      <c r="R22">
        <v>0.11111111111111091</v>
      </c>
      <c r="S22">
        <v>0.1851851851851848</v>
      </c>
      <c r="T22">
        <v>0.25925925925925875</v>
      </c>
      <c r="U22">
        <v>0.296296296296295</v>
      </c>
      <c r="V22">
        <v>0.11111111111111356</v>
      </c>
    </row>
    <row r="26" ht="12.75">
      <c r="A26" s="111" t="s">
        <v>295</v>
      </c>
    </row>
    <row r="27" spans="2:22" ht="12.75">
      <c r="B27">
        <f>((B20*$B$5/1000)-$B$3)*$B$4/$B$5</f>
        <v>3150</v>
      </c>
      <c r="C27">
        <f aca="true" t="shared" si="7" ref="C27:V27">((C20*$B$5/1000)-$B$3)*$B$4/$B$5</f>
        <v>3050.00000001</v>
      </c>
      <c r="D27">
        <f t="shared" si="7"/>
        <v>2950.0000000200002</v>
      </c>
      <c r="E27">
        <f t="shared" si="7"/>
        <v>2850</v>
      </c>
      <c r="F27">
        <f t="shared" si="7"/>
        <v>2750.00000001</v>
      </c>
      <c r="G27">
        <f t="shared" si="7"/>
        <v>2650.0000000200002</v>
      </c>
      <c r="H27">
        <f t="shared" si="7"/>
        <v>2550</v>
      </c>
      <c r="I27">
        <f t="shared" si="7"/>
        <v>2450.00000001</v>
      </c>
      <c r="J27">
        <f t="shared" si="7"/>
        <v>2350.0000000200002</v>
      </c>
      <c r="K27">
        <f t="shared" si="7"/>
        <v>2250</v>
      </c>
      <c r="L27">
        <f t="shared" si="7"/>
        <v>2150.00000001</v>
      </c>
      <c r="M27">
        <f t="shared" si="7"/>
        <v>2050.0000000200002</v>
      </c>
      <c r="N27">
        <f t="shared" si="7"/>
        <v>1950</v>
      </c>
      <c r="O27">
        <f t="shared" si="7"/>
        <v>1850.0000000100001</v>
      </c>
      <c r="P27">
        <f t="shared" si="7"/>
        <v>1750.0000000200002</v>
      </c>
      <c r="Q27">
        <f t="shared" si="7"/>
        <v>1650</v>
      </c>
      <c r="R27">
        <f t="shared" si="7"/>
        <v>1550.0000000100001</v>
      </c>
      <c r="S27">
        <f t="shared" si="7"/>
        <v>1450.0000000200002</v>
      </c>
      <c r="T27">
        <f t="shared" si="7"/>
        <v>1350</v>
      </c>
      <c r="U27">
        <f t="shared" si="7"/>
        <v>1250.0000000100001</v>
      </c>
      <c r="V27">
        <f t="shared" si="7"/>
        <v>1150.0000000200002</v>
      </c>
    </row>
    <row r="28" spans="2:22" ht="13.5" thickBot="1">
      <c r="B28" s="90">
        <f>((B21*$B$5/1000)-$B$3)*$B$4/$B$5</f>
        <v>3050.00000001</v>
      </c>
      <c r="C28" s="90">
        <f aca="true" t="shared" si="8" ref="C28:V28">((C21*$B$5/1000)-$B$3)*$B$4/$B$5</f>
        <v>2950.0000000200002</v>
      </c>
      <c r="D28" s="90">
        <f t="shared" si="8"/>
        <v>2850</v>
      </c>
      <c r="E28" s="90">
        <f t="shared" si="8"/>
        <v>2750.00000001</v>
      </c>
      <c r="F28" s="90">
        <f t="shared" si="8"/>
        <v>2650.0000000200002</v>
      </c>
      <c r="G28" s="90">
        <f t="shared" si="8"/>
        <v>2550</v>
      </c>
      <c r="H28" s="90">
        <f t="shared" si="8"/>
        <v>2450.00000001</v>
      </c>
      <c r="I28" s="90">
        <f t="shared" si="8"/>
        <v>2350.0000000200002</v>
      </c>
      <c r="J28" s="90">
        <f t="shared" si="8"/>
        <v>2250</v>
      </c>
      <c r="K28" s="90">
        <f t="shared" si="8"/>
        <v>2150.00000001</v>
      </c>
      <c r="L28" s="90">
        <f t="shared" si="8"/>
        <v>2050.0000000200002</v>
      </c>
      <c r="M28" s="90">
        <f t="shared" si="8"/>
        <v>1950</v>
      </c>
      <c r="N28" s="90">
        <f t="shared" si="8"/>
        <v>1850.0000000100001</v>
      </c>
      <c r="O28" s="90">
        <f t="shared" si="8"/>
        <v>1750.0000000200002</v>
      </c>
      <c r="P28" s="90">
        <f t="shared" si="8"/>
        <v>1650</v>
      </c>
      <c r="Q28" s="90">
        <f t="shared" si="8"/>
        <v>1550.0000000100001</v>
      </c>
      <c r="R28" s="90">
        <f t="shared" si="8"/>
        <v>1450.0000000200002</v>
      </c>
      <c r="S28" s="90">
        <f t="shared" si="8"/>
        <v>1350</v>
      </c>
      <c r="T28" s="90">
        <f t="shared" si="8"/>
        <v>1250.0000000100001</v>
      </c>
      <c r="U28" s="90">
        <f t="shared" si="8"/>
        <v>1150.0000000200002</v>
      </c>
      <c r="V28" s="90">
        <f t="shared" si="8"/>
        <v>1050</v>
      </c>
    </row>
    <row r="29" spans="2:22" ht="12.75">
      <c r="B29">
        <f>IF(B22&lt;1E-28,0,B22)</f>
        <v>0</v>
      </c>
      <c r="C29">
        <f aca="true" t="shared" si="9" ref="C29:V29">IF(C22&lt;1E-28,0,C22)</f>
        <v>0</v>
      </c>
      <c r="D29">
        <f t="shared" si="9"/>
        <v>0</v>
      </c>
      <c r="E29">
        <f t="shared" si="9"/>
        <v>0</v>
      </c>
      <c r="F29">
        <f t="shared" si="9"/>
        <v>0</v>
      </c>
      <c r="G29">
        <f t="shared" si="9"/>
        <v>0</v>
      </c>
      <c r="H29">
        <f t="shared" si="9"/>
        <v>0</v>
      </c>
      <c r="I29">
        <f t="shared" si="9"/>
        <v>0</v>
      </c>
      <c r="J29">
        <f t="shared" si="9"/>
        <v>0</v>
      </c>
      <c r="K29">
        <f t="shared" si="9"/>
        <v>0</v>
      </c>
      <c r="L29">
        <f t="shared" si="9"/>
        <v>0</v>
      </c>
      <c r="M29">
        <f t="shared" si="9"/>
        <v>0</v>
      </c>
      <c r="N29">
        <f>IF(N22&lt;1E-28,0,N22)</f>
        <v>0</v>
      </c>
      <c r="O29">
        <f t="shared" si="9"/>
        <v>0</v>
      </c>
      <c r="P29">
        <f t="shared" si="9"/>
        <v>0</v>
      </c>
      <c r="Q29">
        <f t="shared" si="9"/>
        <v>0.037037037037037</v>
      </c>
      <c r="R29">
        <f t="shared" si="9"/>
        <v>0.11111111111111091</v>
      </c>
      <c r="S29">
        <f t="shared" si="9"/>
        <v>0.1851851851851848</v>
      </c>
      <c r="T29">
        <f t="shared" si="9"/>
        <v>0.25925925925925875</v>
      </c>
      <c r="U29">
        <f t="shared" si="9"/>
        <v>0.296296296296295</v>
      </c>
      <c r="V29">
        <f t="shared" si="9"/>
        <v>0.11111111111111356</v>
      </c>
    </row>
    <row r="32" ht="12.75">
      <c r="A32" s="111" t="s">
        <v>296</v>
      </c>
    </row>
    <row r="33" spans="2:22" ht="12.75">
      <c r="B33" s="112">
        <f>B27+$B$3</f>
        <v>3300</v>
      </c>
      <c r="C33" s="112">
        <f aca="true" t="shared" si="10" ref="C33:V33">C27+$B$3</f>
        <v>3200.00000001</v>
      </c>
      <c r="D33" s="112">
        <f t="shared" si="10"/>
        <v>3100.0000000200002</v>
      </c>
      <c r="E33" s="112">
        <f t="shared" si="10"/>
        <v>3000</v>
      </c>
      <c r="F33" s="112">
        <f t="shared" si="10"/>
        <v>2900.00000001</v>
      </c>
      <c r="G33" s="112">
        <f t="shared" si="10"/>
        <v>2800.0000000200002</v>
      </c>
      <c r="H33" s="112">
        <f t="shared" si="10"/>
        <v>2700</v>
      </c>
      <c r="I33" s="112">
        <f t="shared" si="10"/>
        <v>2600.00000001</v>
      </c>
      <c r="J33" s="112">
        <f t="shared" si="10"/>
        <v>2500.0000000200002</v>
      </c>
      <c r="K33" s="112">
        <f t="shared" si="10"/>
        <v>2400</v>
      </c>
      <c r="L33" s="112">
        <f t="shared" si="10"/>
        <v>2300.00000001</v>
      </c>
      <c r="M33" s="112">
        <f t="shared" si="10"/>
        <v>2200.0000000200002</v>
      </c>
      <c r="N33" s="112">
        <f t="shared" si="10"/>
        <v>2100</v>
      </c>
      <c r="O33" s="112">
        <f t="shared" si="10"/>
        <v>2000.0000000100001</v>
      </c>
      <c r="P33" s="112">
        <f t="shared" si="10"/>
        <v>1900.0000000200002</v>
      </c>
      <c r="Q33" s="112">
        <f t="shared" si="10"/>
        <v>1800</v>
      </c>
      <c r="R33" s="112">
        <f t="shared" si="10"/>
        <v>1700.0000000100001</v>
      </c>
      <c r="S33" s="112">
        <f t="shared" si="10"/>
        <v>1600.0000000200002</v>
      </c>
      <c r="T33" s="112">
        <f t="shared" si="10"/>
        <v>1500</v>
      </c>
      <c r="U33" s="112">
        <f t="shared" si="10"/>
        <v>1400.0000000100001</v>
      </c>
      <c r="V33" s="112">
        <f t="shared" si="10"/>
        <v>1300.0000000200002</v>
      </c>
    </row>
    <row r="34" spans="2:22" ht="13.5" thickBot="1">
      <c r="B34" s="113">
        <f>B28+$B$3</f>
        <v>3200.00000001</v>
      </c>
      <c r="C34" s="113">
        <f aca="true" t="shared" si="11" ref="C34:V34">C28+$B$3</f>
        <v>3100.0000000200002</v>
      </c>
      <c r="D34" s="113">
        <f t="shared" si="11"/>
        <v>3000</v>
      </c>
      <c r="E34" s="113">
        <f t="shared" si="11"/>
        <v>2900.00000001</v>
      </c>
      <c r="F34" s="113">
        <f t="shared" si="11"/>
        <v>2800.0000000200002</v>
      </c>
      <c r="G34" s="113">
        <f t="shared" si="11"/>
        <v>2700</v>
      </c>
      <c r="H34" s="113">
        <f t="shared" si="11"/>
        <v>2600.00000001</v>
      </c>
      <c r="I34" s="113">
        <f t="shared" si="11"/>
        <v>2500.0000000200002</v>
      </c>
      <c r="J34" s="113">
        <f t="shared" si="11"/>
        <v>2400</v>
      </c>
      <c r="K34" s="113">
        <f t="shared" si="11"/>
        <v>2300.00000001</v>
      </c>
      <c r="L34" s="113">
        <f t="shared" si="11"/>
        <v>2200.0000000200002</v>
      </c>
      <c r="M34" s="113">
        <f t="shared" si="11"/>
        <v>2100</v>
      </c>
      <c r="N34" s="113">
        <f t="shared" si="11"/>
        <v>2000.0000000100001</v>
      </c>
      <c r="O34" s="113">
        <f t="shared" si="11"/>
        <v>1900.0000000200002</v>
      </c>
      <c r="P34" s="113">
        <f t="shared" si="11"/>
        <v>1800</v>
      </c>
      <c r="Q34" s="113">
        <f t="shared" si="11"/>
        <v>1700.0000000100001</v>
      </c>
      <c r="R34" s="113">
        <f t="shared" si="11"/>
        <v>1600.0000000200002</v>
      </c>
      <c r="S34" s="113">
        <f t="shared" si="11"/>
        <v>1500</v>
      </c>
      <c r="T34" s="113">
        <f t="shared" si="11"/>
        <v>1400.0000000100001</v>
      </c>
      <c r="U34" s="113">
        <f t="shared" si="11"/>
        <v>1300.0000000200002</v>
      </c>
      <c r="V34" s="113">
        <f t="shared" si="11"/>
        <v>1200</v>
      </c>
    </row>
    <row r="35" spans="2:22" ht="12.75">
      <c r="B35">
        <f>B29</f>
        <v>0</v>
      </c>
      <c r="C35">
        <f aca="true" t="shared" si="12" ref="C35:V35">C29</f>
        <v>0</v>
      </c>
      <c r="D35">
        <f t="shared" si="12"/>
        <v>0</v>
      </c>
      <c r="E35">
        <f t="shared" si="12"/>
        <v>0</v>
      </c>
      <c r="F35">
        <f t="shared" si="12"/>
        <v>0</v>
      </c>
      <c r="G35">
        <f t="shared" si="12"/>
        <v>0</v>
      </c>
      <c r="H35">
        <f t="shared" si="12"/>
        <v>0</v>
      </c>
      <c r="I35">
        <f t="shared" si="12"/>
        <v>0</v>
      </c>
      <c r="J35">
        <f t="shared" si="12"/>
        <v>0</v>
      </c>
      <c r="K35">
        <f t="shared" si="12"/>
        <v>0</v>
      </c>
      <c r="L35">
        <f t="shared" si="12"/>
        <v>0</v>
      </c>
      <c r="M35">
        <f t="shared" si="12"/>
        <v>0</v>
      </c>
      <c r="N35">
        <f t="shared" si="12"/>
        <v>0</v>
      </c>
      <c r="O35">
        <f t="shared" si="12"/>
        <v>0</v>
      </c>
      <c r="P35">
        <f t="shared" si="12"/>
        <v>0</v>
      </c>
      <c r="Q35">
        <f t="shared" si="12"/>
        <v>0.037037037037037</v>
      </c>
      <c r="R35">
        <f t="shared" si="12"/>
        <v>0.11111111111111091</v>
      </c>
      <c r="S35">
        <f t="shared" si="12"/>
        <v>0.1851851851851848</v>
      </c>
      <c r="T35">
        <f t="shared" si="12"/>
        <v>0.25925925925925875</v>
      </c>
      <c r="U35">
        <f t="shared" si="12"/>
        <v>0.296296296296295</v>
      </c>
      <c r="V35">
        <f t="shared" si="12"/>
        <v>0.11111111111111356</v>
      </c>
    </row>
    <row r="36" spans="1:22" ht="12.75">
      <c r="A36" t="s">
        <v>300</v>
      </c>
      <c r="B36" s="28">
        <f aca="true" t="shared" si="13" ref="B36:J36">E36+($K36-$M37)</f>
        <v>3500</v>
      </c>
      <c r="C36" s="28">
        <f t="shared" si="13"/>
        <v>3333.333333333333</v>
      </c>
      <c r="D36" s="28">
        <f t="shared" si="13"/>
        <v>3166.6666666666665</v>
      </c>
      <c r="E36" s="28">
        <f t="shared" si="13"/>
        <v>3000</v>
      </c>
      <c r="F36" s="28">
        <f t="shared" si="13"/>
        <v>2833.333333333333</v>
      </c>
      <c r="G36" s="28">
        <f t="shared" si="13"/>
        <v>2666.6666666666665</v>
      </c>
      <c r="H36" s="28">
        <f t="shared" si="13"/>
        <v>2500</v>
      </c>
      <c r="I36" s="28">
        <f t="shared" si="13"/>
        <v>2333.333333333333</v>
      </c>
      <c r="J36" s="28">
        <f t="shared" si="13"/>
        <v>2166.6666666666665</v>
      </c>
      <c r="K36" s="119">
        <v>2000</v>
      </c>
      <c r="L36" s="28">
        <f>K37</f>
        <v>1833.3333333333333</v>
      </c>
      <c r="M36" s="28">
        <f>L37</f>
        <v>1666.6666666666665</v>
      </c>
      <c r="N36" s="28">
        <f aca="true" t="shared" si="14" ref="N36:V36">K36-($K36-$M37)</f>
        <v>1500</v>
      </c>
      <c r="O36" s="28">
        <f t="shared" si="14"/>
        <v>1333.3333333333333</v>
      </c>
      <c r="P36" s="28">
        <f t="shared" si="14"/>
        <v>1166.6666666666665</v>
      </c>
      <c r="Q36" s="28">
        <f t="shared" si="14"/>
        <v>1000</v>
      </c>
      <c r="R36" s="28">
        <f t="shared" si="14"/>
        <v>833.3333333333333</v>
      </c>
      <c r="S36" s="28">
        <f t="shared" si="14"/>
        <v>666.6666666666665</v>
      </c>
      <c r="T36" s="28">
        <f t="shared" si="14"/>
        <v>500</v>
      </c>
      <c r="U36" s="28">
        <f t="shared" si="14"/>
        <v>333.33333333333326</v>
      </c>
      <c r="V36" s="28">
        <f t="shared" si="14"/>
        <v>166.66666666666652</v>
      </c>
    </row>
    <row r="37" spans="1:22" ht="13.5" thickBot="1">
      <c r="A37" t="s">
        <v>301</v>
      </c>
      <c r="B37" s="118">
        <f aca="true" t="shared" si="15" ref="B37:J37">E37+($K36-$M37)</f>
        <v>3333.333333333333</v>
      </c>
      <c r="C37" s="118">
        <f t="shared" si="15"/>
        <v>3166.6666666666665</v>
      </c>
      <c r="D37" s="118">
        <f t="shared" si="15"/>
        <v>3000</v>
      </c>
      <c r="E37" s="118">
        <f t="shared" si="15"/>
        <v>2833.333333333333</v>
      </c>
      <c r="F37" s="118">
        <f t="shared" si="15"/>
        <v>2666.6666666666665</v>
      </c>
      <c r="G37" s="118">
        <f t="shared" si="15"/>
        <v>2500</v>
      </c>
      <c r="H37" s="118">
        <f t="shared" si="15"/>
        <v>2333.333333333333</v>
      </c>
      <c r="I37" s="118">
        <f t="shared" si="15"/>
        <v>2166.6666666666665</v>
      </c>
      <c r="J37" s="118">
        <f t="shared" si="15"/>
        <v>2000</v>
      </c>
      <c r="K37" s="118">
        <f>K36-(($K36-$M37)/3)</f>
        <v>1833.3333333333333</v>
      </c>
      <c r="L37" s="118">
        <f>L36-(($K36-$M37)/3)</f>
        <v>1666.6666666666665</v>
      </c>
      <c r="M37" s="120">
        <v>1500</v>
      </c>
      <c r="N37" s="118">
        <f aca="true" t="shared" si="16" ref="N37:V37">K37-($K36-$M37)</f>
        <v>1333.3333333333333</v>
      </c>
      <c r="O37" s="118">
        <f t="shared" si="16"/>
        <v>1166.6666666666665</v>
      </c>
      <c r="P37" s="118">
        <f t="shared" si="16"/>
        <v>1000</v>
      </c>
      <c r="Q37" s="118">
        <f t="shared" si="16"/>
        <v>833.3333333333333</v>
      </c>
      <c r="R37" s="118">
        <f t="shared" si="16"/>
        <v>666.6666666666665</v>
      </c>
      <c r="S37" s="118">
        <f t="shared" si="16"/>
        <v>500</v>
      </c>
      <c r="T37" s="118">
        <f t="shared" si="16"/>
        <v>333.33333333333326</v>
      </c>
      <c r="U37" s="118">
        <f t="shared" si="16"/>
        <v>166.66666666666652</v>
      </c>
      <c r="V37" s="118">
        <f t="shared" si="16"/>
        <v>0</v>
      </c>
    </row>
    <row r="38" spans="1:22" ht="13.5" thickBot="1">
      <c r="A38" s="90" t="s">
        <v>299</v>
      </c>
      <c r="B38" s="115">
        <v>0</v>
      </c>
      <c r="C38" s="116">
        <v>0</v>
      </c>
      <c r="D38" s="116">
        <v>0</v>
      </c>
      <c r="E38" s="116">
        <v>0</v>
      </c>
      <c r="F38" s="116">
        <v>0</v>
      </c>
      <c r="G38" s="116">
        <v>0</v>
      </c>
      <c r="H38" s="116">
        <v>0</v>
      </c>
      <c r="I38" s="116">
        <v>0.005633788625552091</v>
      </c>
      <c r="J38" s="116">
        <v>0.08228188007761787</v>
      </c>
      <c r="K38" s="116">
        <v>0.2109117963414417</v>
      </c>
      <c r="L38" s="116">
        <v>0.36462201977657105</v>
      </c>
      <c r="M38" s="116">
        <v>0.2895563905470354</v>
      </c>
      <c r="N38" s="116">
        <v>0.04699412463178183</v>
      </c>
      <c r="O38" s="116">
        <v>0</v>
      </c>
      <c r="P38" s="116">
        <v>0</v>
      </c>
      <c r="Q38" s="116">
        <v>0</v>
      </c>
      <c r="R38" s="116">
        <v>0</v>
      </c>
      <c r="S38" s="116">
        <v>0</v>
      </c>
      <c r="T38" s="116">
        <v>0</v>
      </c>
      <c r="U38" s="116">
        <v>0</v>
      </c>
      <c r="V38" s="117">
        <v>0</v>
      </c>
    </row>
    <row r="39" spans="1:3" ht="13.5" thickBot="1">
      <c r="A39" s="114" t="s">
        <v>297</v>
      </c>
      <c r="B39" s="114" t="s">
        <v>298</v>
      </c>
      <c r="C39" s="114" t="s">
        <v>299</v>
      </c>
    </row>
    <row r="40" spans="1:3" ht="12.75">
      <c r="A40">
        <v>4468.75</v>
      </c>
      <c r="B40">
        <v>4288.888888946735</v>
      </c>
      <c r="C40">
        <v>0</v>
      </c>
    </row>
    <row r="41" spans="1:3" ht="12.75">
      <c r="A41">
        <v>4333.333333346875</v>
      </c>
      <c r="B41">
        <v>4154.861111180972</v>
      </c>
      <c r="C41">
        <v>0</v>
      </c>
    </row>
    <row r="42" spans="1:3" ht="12.75">
      <c r="A42">
        <v>4197.916666693751</v>
      </c>
      <c r="B42">
        <v>4020.8333333749997</v>
      </c>
      <c r="C42">
        <v>0</v>
      </c>
    </row>
    <row r="43" spans="1:3" ht="12.75">
      <c r="A43" s="112">
        <v>4062.5</v>
      </c>
      <c r="B43">
        <v>3886.805555609236</v>
      </c>
      <c r="C43">
        <v>0</v>
      </c>
    </row>
    <row r="44" spans="1:3" ht="12.75">
      <c r="A44">
        <v>3927.083333346875</v>
      </c>
      <c r="B44">
        <v>3752.7777778434724</v>
      </c>
      <c r="C44">
        <v>0</v>
      </c>
    </row>
    <row r="45" spans="1:3" ht="12.75">
      <c r="A45">
        <v>3791.6666666937504</v>
      </c>
      <c r="B45">
        <v>3618.7500000375</v>
      </c>
      <c r="C45">
        <v>0</v>
      </c>
    </row>
    <row r="46" spans="1:3" ht="12.75">
      <c r="A46">
        <v>3656.25</v>
      </c>
      <c r="B46">
        <v>3484.7222222717355</v>
      </c>
      <c r="C46">
        <v>0</v>
      </c>
    </row>
    <row r="47" spans="1:3" ht="12.75">
      <c r="A47">
        <v>3520.833333346875</v>
      </c>
      <c r="B47">
        <v>3350.694444505972</v>
      </c>
      <c r="C47">
        <v>0</v>
      </c>
    </row>
    <row r="48" spans="1:3" ht="12.75">
      <c r="A48">
        <v>3385.4166666937504</v>
      </c>
      <c r="B48">
        <v>3216.6666667</v>
      </c>
      <c r="C48">
        <v>0</v>
      </c>
    </row>
    <row r="49" spans="1:3" ht="12.75">
      <c r="A49">
        <v>3250</v>
      </c>
      <c r="B49">
        <v>3082.6388889342356</v>
      </c>
      <c r="C49">
        <v>0</v>
      </c>
    </row>
    <row r="50" spans="1:3" ht="12.75">
      <c r="A50">
        <v>3114.583333346875</v>
      </c>
      <c r="B50">
        <v>2948.6111111684722</v>
      </c>
      <c r="C50">
        <v>0</v>
      </c>
    </row>
    <row r="51" spans="1:3" ht="12.75">
      <c r="A51">
        <v>2979.1666666937504</v>
      </c>
      <c r="B51">
        <v>2814.5833333624996</v>
      </c>
      <c r="C51">
        <v>0</v>
      </c>
    </row>
    <row r="52" spans="1:3" ht="12.75">
      <c r="A52">
        <v>2843.75</v>
      </c>
      <c r="B52">
        <v>2680.555555596736</v>
      </c>
      <c r="C52">
        <v>0</v>
      </c>
    </row>
    <row r="53" spans="1:3" ht="12.75">
      <c r="A53">
        <v>2708.3333333468754</v>
      </c>
      <c r="B53">
        <v>2546.5277778309724</v>
      </c>
      <c r="C53">
        <v>0</v>
      </c>
    </row>
    <row r="54" spans="1:3" ht="12.75">
      <c r="A54">
        <v>2572.9166666937504</v>
      </c>
      <c r="B54">
        <v>2412.5000000249997</v>
      </c>
      <c r="C54">
        <v>0</v>
      </c>
    </row>
    <row r="55" spans="1:3" ht="12.75">
      <c r="A55">
        <v>2437.5</v>
      </c>
      <c r="B55">
        <v>2278.4722222592363</v>
      </c>
      <c r="C55">
        <v>0</v>
      </c>
    </row>
    <row r="56" spans="1:3" ht="12.75">
      <c r="A56">
        <v>2302.0833333468754</v>
      </c>
      <c r="B56">
        <v>2144.4444444934725</v>
      </c>
      <c r="C56">
        <v>0</v>
      </c>
    </row>
    <row r="57" spans="1:3" ht="12.75">
      <c r="A57">
        <v>2166.6666666937504</v>
      </c>
      <c r="B57">
        <v>2010.4166666874999</v>
      </c>
      <c r="C57">
        <v>0</v>
      </c>
    </row>
    <row r="58" spans="1:3" ht="12.75">
      <c r="A58">
        <v>2031.25</v>
      </c>
      <c r="B58">
        <v>1876.3888889217362</v>
      </c>
      <c r="C58">
        <v>0</v>
      </c>
    </row>
    <row r="59" spans="1:3" ht="12.75">
      <c r="A59">
        <v>1895.8333333468752</v>
      </c>
      <c r="B59">
        <v>1742.3611111559724</v>
      </c>
      <c r="C59">
        <v>0</v>
      </c>
    </row>
    <row r="60" spans="1:3" ht="12.75">
      <c r="A60">
        <v>1760.4166666937504</v>
      </c>
      <c r="B60">
        <v>1608.33333335</v>
      </c>
      <c r="C60">
        <v>0</v>
      </c>
    </row>
    <row r="61" spans="1:3" ht="12.75">
      <c r="A61">
        <v>4422.9166667125</v>
      </c>
      <c r="B61">
        <v>4244.444444546597</v>
      </c>
      <c r="C61">
        <v>0</v>
      </c>
    </row>
    <row r="62" spans="1:3" ht="12.75">
      <c r="A62">
        <v>4288.888888946735</v>
      </c>
      <c r="B62">
        <v>4111.805555668195</v>
      </c>
      <c r="C62">
        <v>0</v>
      </c>
    </row>
    <row r="63" spans="1:3" ht="12.75">
      <c r="A63">
        <v>4154.861111180972</v>
      </c>
      <c r="B63">
        <v>3979.16666675</v>
      </c>
      <c r="C63">
        <v>0</v>
      </c>
    </row>
    <row r="64" spans="1:3" ht="12.75">
      <c r="A64">
        <v>4020.8333333749997</v>
      </c>
      <c r="B64">
        <v>3846.5277778715968</v>
      </c>
      <c r="C64">
        <v>0</v>
      </c>
    </row>
    <row r="65" spans="1:3" ht="12.75">
      <c r="A65">
        <v>3886.805555609236</v>
      </c>
      <c r="B65">
        <v>3713.8888889931945</v>
      </c>
      <c r="C65">
        <v>0</v>
      </c>
    </row>
    <row r="66" spans="1:3" ht="12.75">
      <c r="A66">
        <v>3752.7777778434724</v>
      </c>
      <c r="B66">
        <v>3581.2500000749997</v>
      </c>
      <c r="C66">
        <v>0</v>
      </c>
    </row>
    <row r="67" spans="1:3" ht="12.75">
      <c r="A67">
        <v>3618.7500000375</v>
      </c>
      <c r="B67">
        <v>3448.611111196597</v>
      </c>
      <c r="C67">
        <v>0</v>
      </c>
    </row>
    <row r="68" spans="1:3" ht="12.75">
      <c r="A68">
        <v>3484.7222222717355</v>
      </c>
      <c r="B68">
        <v>3315.972222318195</v>
      </c>
      <c r="C68">
        <v>0</v>
      </c>
    </row>
    <row r="69" spans="1:3" ht="12.75">
      <c r="A69">
        <v>3350.694444505972</v>
      </c>
      <c r="B69">
        <v>3183.3333334</v>
      </c>
      <c r="C69">
        <v>0</v>
      </c>
    </row>
    <row r="70" spans="1:3" ht="12.75">
      <c r="A70">
        <v>3216.6666667</v>
      </c>
      <c r="B70">
        <v>3050.694444521597</v>
      </c>
      <c r="C70">
        <v>0</v>
      </c>
    </row>
    <row r="71" spans="1:3" ht="12.75">
      <c r="A71">
        <v>3082.6388889342356</v>
      </c>
      <c r="B71">
        <v>2918.0555556431946</v>
      </c>
      <c r="C71">
        <v>0</v>
      </c>
    </row>
    <row r="72" spans="1:3" ht="12.75">
      <c r="A72">
        <v>2948.6111111684722</v>
      </c>
      <c r="B72">
        <v>2785.4166667249997</v>
      </c>
      <c r="C72">
        <v>0</v>
      </c>
    </row>
    <row r="73" spans="1:3" ht="12.75">
      <c r="A73">
        <v>2814.5833333624996</v>
      </c>
      <c r="B73">
        <v>2652.7777778465975</v>
      </c>
      <c r="C73">
        <v>0</v>
      </c>
    </row>
    <row r="74" spans="1:3" ht="12.75">
      <c r="A74">
        <v>2680.555555596736</v>
      </c>
      <c r="B74">
        <v>2520.138888968195</v>
      </c>
      <c r="C74">
        <v>0</v>
      </c>
    </row>
    <row r="75" spans="1:3" ht="12.75">
      <c r="A75">
        <v>2546.5277778309724</v>
      </c>
      <c r="B75">
        <v>2387.50000005</v>
      </c>
      <c r="C75">
        <v>0</v>
      </c>
    </row>
    <row r="76" spans="1:3" ht="12.75">
      <c r="A76">
        <v>2412.5000000249997</v>
      </c>
      <c r="B76">
        <v>2254.8611111715973</v>
      </c>
      <c r="C76">
        <v>0</v>
      </c>
    </row>
    <row r="77" spans="1:3" ht="12.75">
      <c r="A77">
        <v>2278.4722222592363</v>
      </c>
      <c r="B77">
        <v>2122.2222222931946</v>
      </c>
      <c r="C77">
        <v>0</v>
      </c>
    </row>
    <row r="78" spans="1:3" ht="12.75">
      <c r="A78">
        <v>2144.4444444934725</v>
      </c>
      <c r="B78">
        <v>1989.583333375</v>
      </c>
      <c r="C78">
        <v>0</v>
      </c>
    </row>
    <row r="79" spans="1:3" ht="12.75">
      <c r="A79">
        <v>2010.4166666874999</v>
      </c>
      <c r="B79">
        <v>1856.9444444965973</v>
      </c>
      <c r="C79">
        <v>0</v>
      </c>
    </row>
    <row r="80" spans="1:3" ht="12.75">
      <c r="A80">
        <v>1876.3888889217362</v>
      </c>
      <c r="B80">
        <v>1724.3055556181946</v>
      </c>
      <c r="C80">
        <v>0</v>
      </c>
    </row>
    <row r="81" spans="1:3" ht="12.75">
      <c r="A81">
        <v>1742.3611111559724</v>
      </c>
      <c r="B81">
        <v>1591.6666667</v>
      </c>
      <c r="C81">
        <v>0</v>
      </c>
    </row>
    <row r="82" spans="1:3" ht="12.75">
      <c r="A82">
        <v>4377.083333425</v>
      </c>
      <c r="B82">
        <v>4200.000000013125</v>
      </c>
      <c r="C82">
        <v>0</v>
      </c>
    </row>
    <row r="83" spans="1:3" ht="12.75">
      <c r="A83">
        <v>4244.444444546597</v>
      </c>
      <c r="B83">
        <v>4068.7500000262503</v>
      </c>
      <c r="C83">
        <v>0</v>
      </c>
    </row>
    <row r="84" spans="1:3" ht="12.75">
      <c r="A84">
        <v>4111.805555668195</v>
      </c>
      <c r="B84">
        <v>3937.5</v>
      </c>
      <c r="C84">
        <v>0</v>
      </c>
    </row>
    <row r="85" spans="1:3" ht="12.75">
      <c r="A85">
        <v>3979.16666675</v>
      </c>
      <c r="B85">
        <v>3806.250000013125</v>
      </c>
      <c r="C85">
        <v>0</v>
      </c>
    </row>
    <row r="86" spans="1:3" ht="12.75">
      <c r="A86">
        <v>3846.5277778715968</v>
      </c>
      <c r="B86">
        <v>3675.0000000262503</v>
      </c>
      <c r="C86">
        <v>0</v>
      </c>
    </row>
    <row r="87" spans="1:3" ht="12.75">
      <c r="A87">
        <v>3713.8888889931945</v>
      </c>
      <c r="B87">
        <v>3543.75</v>
      </c>
      <c r="C87">
        <v>0</v>
      </c>
    </row>
    <row r="88" spans="1:3" ht="12.75">
      <c r="A88">
        <v>3581.2500000749997</v>
      </c>
      <c r="B88">
        <v>3412.500000013125</v>
      </c>
      <c r="C88">
        <v>0</v>
      </c>
    </row>
    <row r="89" spans="1:3" ht="12.75">
      <c r="A89">
        <v>3448.611111196597</v>
      </c>
      <c r="B89">
        <v>3281.2500000262503</v>
      </c>
      <c r="C89">
        <v>0</v>
      </c>
    </row>
    <row r="90" spans="1:3" ht="12.75">
      <c r="A90">
        <v>3315.972222318195</v>
      </c>
      <c r="B90">
        <v>3150</v>
      </c>
      <c r="C90">
        <v>0</v>
      </c>
    </row>
    <row r="91" spans="1:3" ht="12.75">
      <c r="A91">
        <v>3183.3333334</v>
      </c>
      <c r="B91">
        <v>3018.750000013125</v>
      </c>
      <c r="C91">
        <v>0</v>
      </c>
    </row>
    <row r="92" spans="1:3" ht="12.75">
      <c r="A92">
        <v>3050.694444521597</v>
      </c>
      <c r="B92">
        <v>2887.5000000262503</v>
      </c>
      <c r="C92">
        <v>0</v>
      </c>
    </row>
    <row r="93" spans="1:3" ht="12.75">
      <c r="A93">
        <v>2918.0555556431946</v>
      </c>
      <c r="B93">
        <v>2756.25</v>
      </c>
      <c r="C93">
        <v>0</v>
      </c>
    </row>
    <row r="94" spans="1:3" ht="12.75">
      <c r="A94">
        <v>2785.4166667249997</v>
      </c>
      <c r="B94">
        <v>2625.0000000131254</v>
      </c>
      <c r="C94">
        <v>0</v>
      </c>
    </row>
    <row r="95" spans="1:3" ht="12.75">
      <c r="A95">
        <v>2652.7777778465975</v>
      </c>
      <c r="B95">
        <v>2493.7500000262503</v>
      </c>
      <c r="C95">
        <v>0</v>
      </c>
    </row>
    <row r="96" spans="1:3" ht="12.75">
      <c r="A96">
        <v>2520.138888968195</v>
      </c>
      <c r="B96">
        <v>2362.5</v>
      </c>
      <c r="C96">
        <v>0</v>
      </c>
    </row>
    <row r="97" spans="1:3" ht="12.75">
      <c r="A97">
        <v>2387.50000005</v>
      </c>
      <c r="B97">
        <v>2231.2500000131254</v>
      </c>
      <c r="C97">
        <v>0</v>
      </c>
    </row>
    <row r="98" spans="1:3" ht="12.75">
      <c r="A98">
        <v>2254.8611111715973</v>
      </c>
      <c r="B98">
        <v>2100.0000000262503</v>
      </c>
      <c r="C98">
        <v>0</v>
      </c>
    </row>
    <row r="99" spans="1:3" ht="12.75">
      <c r="A99">
        <v>2122.2222222931946</v>
      </c>
      <c r="B99">
        <v>1968.75</v>
      </c>
      <c r="C99">
        <v>0</v>
      </c>
    </row>
    <row r="100" spans="1:3" ht="12.75">
      <c r="A100">
        <v>1989.583333375</v>
      </c>
      <c r="B100">
        <v>1837.5000000131251</v>
      </c>
      <c r="C100">
        <v>0</v>
      </c>
    </row>
    <row r="101" spans="1:3" ht="12.75">
      <c r="A101">
        <v>1856.9444444965973</v>
      </c>
      <c r="B101">
        <v>1706.2500000262503</v>
      </c>
      <c r="C101">
        <v>0</v>
      </c>
    </row>
    <row r="102" spans="1:3" ht="12.75">
      <c r="A102">
        <v>1724.3055556181946</v>
      </c>
      <c r="B102">
        <v>1575</v>
      </c>
      <c r="C102">
        <v>0</v>
      </c>
    </row>
    <row r="103" spans="1:3" ht="12.75">
      <c r="A103">
        <v>4331.25</v>
      </c>
      <c r="B103">
        <v>4155.555555612986</v>
      </c>
      <c r="C103">
        <v>0</v>
      </c>
    </row>
    <row r="104" spans="1:3" ht="12.75">
      <c r="A104">
        <v>4200.000000013125</v>
      </c>
      <c r="B104">
        <v>4025.6944445134727</v>
      </c>
      <c r="C104">
        <v>0</v>
      </c>
    </row>
    <row r="105" spans="1:3" ht="12.75">
      <c r="A105">
        <v>4068.7500000262503</v>
      </c>
      <c r="B105">
        <v>3895.833333375</v>
      </c>
      <c r="C105">
        <v>0</v>
      </c>
    </row>
    <row r="106" spans="1:3" ht="12.75">
      <c r="A106">
        <v>3937.5</v>
      </c>
      <c r="B106">
        <v>3765.9722222754863</v>
      </c>
      <c r="C106">
        <v>0</v>
      </c>
    </row>
    <row r="107" spans="1:3" ht="12.75">
      <c r="A107">
        <v>3806.250000013125</v>
      </c>
      <c r="B107">
        <v>3636.111111175973</v>
      </c>
      <c r="C107">
        <v>0</v>
      </c>
    </row>
    <row r="108" spans="1:3" ht="12.75">
      <c r="A108">
        <v>3675.0000000262503</v>
      </c>
      <c r="B108">
        <v>3506.2500000375003</v>
      </c>
      <c r="C108">
        <v>0</v>
      </c>
    </row>
    <row r="109" spans="1:3" ht="12.75">
      <c r="A109">
        <v>3543.75</v>
      </c>
      <c r="B109">
        <v>3376.388888937986</v>
      </c>
      <c r="C109">
        <v>0</v>
      </c>
    </row>
    <row r="110" spans="1:3" ht="12.75">
      <c r="A110">
        <v>3412.500000013125</v>
      </c>
      <c r="B110">
        <v>3246.5277778384725</v>
      </c>
      <c r="C110">
        <v>0</v>
      </c>
    </row>
    <row r="111" spans="1:3" ht="12.75">
      <c r="A111">
        <v>3281.2500000262503</v>
      </c>
      <c r="B111">
        <v>3116.6666667</v>
      </c>
      <c r="C111">
        <v>0</v>
      </c>
    </row>
    <row r="112" spans="1:3" ht="12.75">
      <c r="A112">
        <v>3150</v>
      </c>
      <c r="B112">
        <v>2986.805555600486</v>
      </c>
      <c r="C112">
        <v>0</v>
      </c>
    </row>
    <row r="113" spans="1:3" ht="12.75">
      <c r="A113">
        <v>3018.750000013125</v>
      </c>
      <c r="B113">
        <v>2856.9444445009726</v>
      </c>
      <c r="C113">
        <v>0</v>
      </c>
    </row>
    <row r="114" spans="1:3" ht="12.75">
      <c r="A114">
        <v>2887.5000000262503</v>
      </c>
      <c r="B114">
        <v>2727.0833333625</v>
      </c>
      <c r="C114">
        <v>0</v>
      </c>
    </row>
    <row r="115" spans="1:3" ht="12.75">
      <c r="A115">
        <v>2756.25</v>
      </c>
      <c r="B115">
        <v>2597.222222262986</v>
      </c>
      <c r="C115">
        <v>0</v>
      </c>
    </row>
    <row r="116" spans="1:3" ht="12.75">
      <c r="A116">
        <v>2625.0000000131254</v>
      </c>
      <c r="B116">
        <v>2467.3611111634727</v>
      </c>
      <c r="C116">
        <v>0</v>
      </c>
    </row>
    <row r="117" spans="1:3" ht="12.75">
      <c r="A117">
        <v>2493.7500000262503</v>
      </c>
      <c r="B117">
        <v>2337.500000025</v>
      </c>
      <c r="C117">
        <v>0</v>
      </c>
    </row>
    <row r="118" spans="1:3" ht="12.75">
      <c r="A118">
        <v>2362.5</v>
      </c>
      <c r="B118">
        <v>2207.6388889254863</v>
      </c>
      <c r="C118">
        <v>0</v>
      </c>
    </row>
    <row r="119" spans="1:3" ht="12.75">
      <c r="A119">
        <v>2231.2500000131254</v>
      </c>
      <c r="B119">
        <v>2077.7777778259724</v>
      </c>
      <c r="C119">
        <v>0</v>
      </c>
    </row>
    <row r="120" spans="1:3" ht="12.75">
      <c r="A120">
        <v>2100.0000000262503</v>
      </c>
      <c r="B120">
        <v>1947.9166666875</v>
      </c>
      <c r="C120">
        <v>0</v>
      </c>
    </row>
    <row r="121" spans="1:3" ht="12.75">
      <c r="A121">
        <v>1968.75</v>
      </c>
      <c r="B121">
        <v>1818.0555555879864</v>
      </c>
      <c r="C121">
        <v>0</v>
      </c>
    </row>
    <row r="122" spans="1:3" ht="12.75">
      <c r="A122">
        <v>1837.5000000131251</v>
      </c>
      <c r="B122">
        <v>1688.1944444884725</v>
      </c>
      <c r="C122">
        <v>0</v>
      </c>
    </row>
    <row r="123" spans="1:3" ht="12.75">
      <c r="A123">
        <v>1706.2500000262503</v>
      </c>
      <c r="B123">
        <v>1558.33333335</v>
      </c>
      <c r="C123">
        <v>0</v>
      </c>
    </row>
    <row r="124" spans="1:3" ht="12.75">
      <c r="A124">
        <v>4285.4166667125</v>
      </c>
      <c r="B124">
        <v>4111.111111212847</v>
      </c>
      <c r="C124">
        <v>0</v>
      </c>
    </row>
    <row r="125" spans="1:3" ht="12.75">
      <c r="A125">
        <v>4155.555555612986</v>
      </c>
      <c r="B125">
        <v>3982.638889000695</v>
      </c>
      <c r="C125">
        <v>0</v>
      </c>
    </row>
    <row r="126" spans="1:3" ht="12.75">
      <c r="A126">
        <v>4025.6944445134727</v>
      </c>
      <c r="B126">
        <v>3854.1666667500003</v>
      </c>
      <c r="C126">
        <v>0</v>
      </c>
    </row>
    <row r="127" spans="1:3" ht="12.75">
      <c r="A127">
        <v>3895.833333375</v>
      </c>
      <c r="B127">
        <v>3725.694444537847</v>
      </c>
      <c r="C127">
        <v>0</v>
      </c>
    </row>
    <row r="128" spans="1:3" ht="12.75">
      <c r="A128">
        <v>3765.9722222754863</v>
      </c>
      <c r="B128">
        <v>3597.222222325695</v>
      </c>
      <c r="C128">
        <v>0</v>
      </c>
    </row>
    <row r="129" spans="1:3" ht="12.75">
      <c r="A129">
        <v>3636.111111175973</v>
      </c>
      <c r="B129">
        <v>3468.750000075</v>
      </c>
      <c r="C129">
        <v>0</v>
      </c>
    </row>
    <row r="130" spans="1:3" ht="12.75">
      <c r="A130">
        <v>3506.2500000375003</v>
      </c>
      <c r="B130">
        <v>3340.2777778628474</v>
      </c>
      <c r="C130">
        <v>0</v>
      </c>
    </row>
    <row r="131" spans="1:3" ht="12.75">
      <c r="A131">
        <v>3376.388888937986</v>
      </c>
      <c r="B131">
        <v>3211.805555650695</v>
      </c>
      <c r="C131">
        <v>0</v>
      </c>
    </row>
    <row r="132" spans="1:3" ht="12.75">
      <c r="A132">
        <v>3246.5277778384725</v>
      </c>
      <c r="B132">
        <v>3083.3333334000004</v>
      </c>
      <c r="C132">
        <v>0</v>
      </c>
    </row>
    <row r="133" spans="1:3" ht="12.75">
      <c r="A133">
        <v>3116.6666667</v>
      </c>
      <c r="B133">
        <v>2954.861111187847</v>
      </c>
      <c r="C133">
        <v>0</v>
      </c>
    </row>
    <row r="134" spans="1:3" ht="12.75">
      <c r="A134">
        <v>2986.805555600486</v>
      </c>
      <c r="B134">
        <v>2826.388888975695</v>
      </c>
      <c r="C134">
        <v>0</v>
      </c>
    </row>
    <row r="135" spans="1:3" ht="12.75">
      <c r="A135">
        <v>2856.9444445009726</v>
      </c>
      <c r="B135">
        <v>2697.916666725</v>
      </c>
      <c r="C135">
        <v>0</v>
      </c>
    </row>
    <row r="136" spans="1:3" ht="12.75">
      <c r="A136">
        <v>2727.0833333625</v>
      </c>
      <c r="B136">
        <v>2569.4444445128474</v>
      </c>
      <c r="C136">
        <v>0</v>
      </c>
    </row>
    <row r="137" spans="1:3" ht="12.75">
      <c r="A137">
        <v>2597.222222262986</v>
      </c>
      <c r="B137">
        <v>2440.9722223006947</v>
      </c>
      <c r="C137">
        <v>0</v>
      </c>
    </row>
    <row r="138" spans="1:3" ht="12.75">
      <c r="A138">
        <v>2467.3611111634727</v>
      </c>
      <c r="B138">
        <v>2312.5000000500004</v>
      </c>
      <c r="C138">
        <v>0</v>
      </c>
    </row>
    <row r="139" spans="1:3" ht="12.75">
      <c r="A139">
        <v>2337.500000025</v>
      </c>
      <c r="B139">
        <v>2184.0277778378477</v>
      </c>
      <c r="C139">
        <v>0</v>
      </c>
    </row>
    <row r="140" spans="1:3" ht="12.75">
      <c r="A140">
        <v>2207.6388889254863</v>
      </c>
      <c r="B140">
        <v>2055.555555625695</v>
      </c>
      <c r="C140">
        <v>0</v>
      </c>
    </row>
    <row r="141" spans="1:3" ht="12.75">
      <c r="A141">
        <v>2077.7777778259724</v>
      </c>
      <c r="B141">
        <v>1927.0833333750002</v>
      </c>
      <c r="C141">
        <v>0</v>
      </c>
    </row>
    <row r="142" spans="1:3" ht="12.75">
      <c r="A142">
        <v>1947.9166666875</v>
      </c>
      <c r="B142">
        <v>1798.6111111628475</v>
      </c>
      <c r="C142">
        <v>0</v>
      </c>
    </row>
    <row r="143" spans="1:3" ht="12.75">
      <c r="A143">
        <v>1818.0555555879864</v>
      </c>
      <c r="B143">
        <v>1670.138888950695</v>
      </c>
      <c r="C143">
        <v>0</v>
      </c>
    </row>
    <row r="144" spans="1:3" ht="12.75">
      <c r="A144">
        <v>1688.1944444884725</v>
      </c>
      <c r="B144">
        <v>1541.6666667000002</v>
      </c>
      <c r="C144">
        <v>0</v>
      </c>
    </row>
    <row r="145" spans="1:3" ht="12.75">
      <c r="A145">
        <v>4239.583333425</v>
      </c>
      <c r="B145">
        <v>4066.6666666793744</v>
      </c>
      <c r="C145">
        <v>0</v>
      </c>
    </row>
    <row r="146" spans="1:3" ht="12.75">
      <c r="A146">
        <v>4111.111111212847</v>
      </c>
      <c r="B146">
        <v>3939.58333335875</v>
      </c>
      <c r="C146">
        <v>0</v>
      </c>
    </row>
    <row r="147" spans="1:3" ht="12.75">
      <c r="A147">
        <v>3982.638889000695</v>
      </c>
      <c r="B147">
        <v>3812.5</v>
      </c>
      <c r="C147">
        <v>0</v>
      </c>
    </row>
    <row r="148" spans="1:3" ht="12.75">
      <c r="A148">
        <v>3854.1666667500003</v>
      </c>
      <c r="B148">
        <v>3685.4166666793744</v>
      </c>
      <c r="C148">
        <v>0</v>
      </c>
    </row>
    <row r="149" spans="1:3" ht="12.75">
      <c r="A149">
        <v>3725.694444537847</v>
      </c>
      <c r="B149">
        <v>3558.33333335875</v>
      </c>
      <c r="C149">
        <v>0</v>
      </c>
    </row>
    <row r="150" spans="1:3" ht="12.75">
      <c r="A150">
        <v>3597.222222325695</v>
      </c>
      <c r="B150">
        <v>3431.25</v>
      </c>
      <c r="C150">
        <v>0</v>
      </c>
    </row>
    <row r="151" spans="1:3" ht="12.75">
      <c r="A151">
        <v>3468.750000075</v>
      </c>
      <c r="B151">
        <v>3304.166666679375</v>
      </c>
      <c r="C151">
        <v>0</v>
      </c>
    </row>
    <row r="152" spans="1:3" ht="12.75">
      <c r="A152">
        <v>3340.2777778628474</v>
      </c>
      <c r="B152">
        <v>3177.08333335875</v>
      </c>
      <c r="C152">
        <v>0</v>
      </c>
    </row>
    <row r="153" spans="1:3" ht="12.75">
      <c r="A153">
        <v>3211.805555650695</v>
      </c>
      <c r="B153">
        <v>3050</v>
      </c>
      <c r="C153">
        <v>0</v>
      </c>
    </row>
    <row r="154" spans="1:3" ht="12.75">
      <c r="A154">
        <v>3083.3333334000004</v>
      </c>
      <c r="B154">
        <v>2922.916666679375</v>
      </c>
      <c r="C154">
        <v>0</v>
      </c>
    </row>
    <row r="155" spans="1:3" ht="12.75">
      <c r="A155">
        <v>2954.861111187847</v>
      </c>
      <c r="B155">
        <v>2795.83333335875</v>
      </c>
      <c r="C155">
        <v>0</v>
      </c>
    </row>
    <row r="156" spans="1:3" ht="12.75">
      <c r="A156">
        <v>2826.388888975695</v>
      </c>
      <c r="B156">
        <v>2668.75</v>
      </c>
      <c r="C156">
        <v>0</v>
      </c>
    </row>
    <row r="157" spans="1:3" ht="12.75">
      <c r="A157">
        <v>2697.916666725</v>
      </c>
      <c r="B157">
        <v>2541.666666679375</v>
      </c>
      <c r="C157">
        <v>0</v>
      </c>
    </row>
    <row r="158" spans="1:3" ht="12.75">
      <c r="A158">
        <v>2569.4444445128474</v>
      </c>
      <c r="B158">
        <v>2414.58333335875</v>
      </c>
      <c r="C158">
        <v>0</v>
      </c>
    </row>
    <row r="159" spans="1:3" ht="12.75">
      <c r="A159">
        <v>2440.9722223006947</v>
      </c>
      <c r="B159">
        <v>2287.5</v>
      </c>
      <c r="C159">
        <v>0</v>
      </c>
    </row>
    <row r="160" spans="1:3" ht="12.75">
      <c r="A160">
        <v>2312.5000000500004</v>
      </c>
      <c r="B160">
        <v>2160.416666679375</v>
      </c>
      <c r="C160">
        <v>0</v>
      </c>
    </row>
    <row r="161" spans="1:3" ht="12.75">
      <c r="A161">
        <v>2184.0277778378477</v>
      </c>
      <c r="B161">
        <v>2033.3333333587502</v>
      </c>
      <c r="C161">
        <v>0</v>
      </c>
    </row>
    <row r="162" spans="1:3" ht="12.75">
      <c r="A162">
        <v>2055.555555625695</v>
      </c>
      <c r="B162">
        <v>1906.25</v>
      </c>
      <c r="C162">
        <v>0</v>
      </c>
    </row>
    <row r="163" spans="1:3" ht="12.75">
      <c r="A163">
        <v>1927.0833333750002</v>
      </c>
      <c r="B163">
        <v>1779.166666679375</v>
      </c>
      <c r="C163">
        <v>0</v>
      </c>
    </row>
    <row r="164" spans="1:3" ht="12.75">
      <c r="A164">
        <v>1798.6111111628475</v>
      </c>
      <c r="B164">
        <v>1652.0833333587502</v>
      </c>
      <c r="C164">
        <v>0</v>
      </c>
    </row>
    <row r="165" spans="1:3" ht="12.75">
      <c r="A165">
        <v>1670.138888950695</v>
      </c>
      <c r="B165">
        <v>1525</v>
      </c>
      <c r="C165">
        <v>0</v>
      </c>
    </row>
    <row r="166" spans="1:3" ht="12.75">
      <c r="A166">
        <v>4193.75</v>
      </c>
      <c r="B166">
        <v>4022.222222279236</v>
      </c>
      <c r="C166">
        <v>0</v>
      </c>
    </row>
    <row r="167" spans="1:3" ht="12.75">
      <c r="A167">
        <v>4066.6666666793744</v>
      </c>
      <c r="B167">
        <v>3896.5277778459727</v>
      </c>
      <c r="C167">
        <v>0</v>
      </c>
    </row>
    <row r="168" spans="1:3" ht="12.75">
      <c r="A168">
        <v>3939.58333335875</v>
      </c>
      <c r="B168">
        <v>3770.8333333749997</v>
      </c>
      <c r="C168">
        <v>0</v>
      </c>
    </row>
    <row r="169" spans="1:3" ht="12.75">
      <c r="A169">
        <v>3812.5</v>
      </c>
      <c r="B169">
        <v>3645.138888941736</v>
      </c>
      <c r="C169">
        <v>0</v>
      </c>
    </row>
    <row r="170" spans="1:3" ht="12.75">
      <c r="A170">
        <v>3685.4166666793744</v>
      </c>
      <c r="B170">
        <v>3519.4444445084723</v>
      </c>
      <c r="C170">
        <v>0</v>
      </c>
    </row>
    <row r="171" spans="1:3" ht="12.75">
      <c r="A171">
        <v>3558.33333335875</v>
      </c>
      <c r="B171">
        <v>3393.7500000375</v>
      </c>
      <c r="C171">
        <v>0</v>
      </c>
    </row>
    <row r="172" spans="1:3" ht="12.75">
      <c r="A172">
        <v>3431.25</v>
      </c>
      <c r="B172">
        <v>3268.055555604236</v>
      </c>
      <c r="C172">
        <v>0</v>
      </c>
    </row>
    <row r="173" spans="1:3" ht="12.75">
      <c r="A173">
        <v>3304.166666679375</v>
      </c>
      <c r="B173">
        <v>3142.3611111709724</v>
      </c>
      <c r="C173">
        <v>0</v>
      </c>
    </row>
    <row r="174" spans="1:3" ht="12.75">
      <c r="A174">
        <v>3177.08333335875</v>
      </c>
      <c r="B174">
        <v>3016.6666667</v>
      </c>
      <c r="C174">
        <v>0</v>
      </c>
    </row>
    <row r="175" spans="1:3" ht="12.75">
      <c r="A175">
        <v>3050</v>
      </c>
      <c r="B175">
        <v>2890.972222266736</v>
      </c>
      <c r="C175">
        <v>0</v>
      </c>
    </row>
    <row r="176" spans="1:3" ht="12.75">
      <c r="A176">
        <v>2922.916666679375</v>
      </c>
      <c r="B176">
        <v>2765.2777778334726</v>
      </c>
      <c r="C176">
        <v>0</v>
      </c>
    </row>
    <row r="177" spans="1:3" ht="12.75">
      <c r="A177">
        <v>2795.83333335875</v>
      </c>
      <c r="B177">
        <v>2639.5833333625</v>
      </c>
      <c r="C177">
        <v>0</v>
      </c>
    </row>
    <row r="178" spans="1:3" ht="12.75">
      <c r="A178">
        <v>2668.75</v>
      </c>
      <c r="B178">
        <v>2513.888888929236</v>
      </c>
      <c r="C178">
        <v>0</v>
      </c>
    </row>
    <row r="179" spans="1:3" ht="12.75">
      <c r="A179">
        <v>2541.666666679375</v>
      </c>
      <c r="B179">
        <v>2388.1944444959727</v>
      </c>
      <c r="C179">
        <v>0</v>
      </c>
    </row>
    <row r="180" spans="1:3" ht="12.75">
      <c r="A180">
        <v>2414.58333335875</v>
      </c>
      <c r="B180">
        <v>2262.5000000249997</v>
      </c>
      <c r="C180">
        <v>0</v>
      </c>
    </row>
    <row r="181" spans="1:3" ht="12.75">
      <c r="A181">
        <v>2287.5</v>
      </c>
      <c r="B181">
        <v>2136.8055555917363</v>
      </c>
      <c r="C181">
        <v>0</v>
      </c>
    </row>
    <row r="182" spans="1:3" ht="12.75">
      <c r="A182">
        <v>2160.416666679375</v>
      </c>
      <c r="B182">
        <v>2011.1111111584726</v>
      </c>
      <c r="C182">
        <v>0</v>
      </c>
    </row>
    <row r="183" spans="1:3" ht="12.75">
      <c r="A183">
        <v>2033.3333333587502</v>
      </c>
      <c r="B183">
        <v>1885.4166666874999</v>
      </c>
      <c r="C183">
        <v>0</v>
      </c>
    </row>
    <row r="184" spans="1:3" ht="12.75">
      <c r="A184">
        <v>1906.25</v>
      </c>
      <c r="B184">
        <v>1759.7222222542362</v>
      </c>
      <c r="C184">
        <v>0</v>
      </c>
    </row>
    <row r="185" spans="1:3" ht="12.75">
      <c r="A185">
        <v>1779.166666679375</v>
      </c>
      <c r="B185">
        <v>1634.0277778209725</v>
      </c>
      <c r="C185">
        <v>0</v>
      </c>
    </row>
    <row r="186" spans="1:3" ht="12.75">
      <c r="A186">
        <v>1652.0833333587502</v>
      </c>
      <c r="B186">
        <v>1508.33333335</v>
      </c>
      <c r="C186">
        <v>0</v>
      </c>
    </row>
    <row r="187" spans="1:3" ht="12.75">
      <c r="A187">
        <v>4147.9166667125</v>
      </c>
      <c r="B187">
        <v>3977.7777778790974</v>
      </c>
      <c r="C187">
        <v>0</v>
      </c>
    </row>
    <row r="188" spans="1:3" ht="12.75">
      <c r="A188">
        <v>4022.222222279236</v>
      </c>
      <c r="B188">
        <v>3853.4722223331946</v>
      </c>
      <c r="C188">
        <v>0</v>
      </c>
    </row>
    <row r="189" spans="1:3" ht="12.75">
      <c r="A189">
        <v>3896.5277778459727</v>
      </c>
      <c r="B189">
        <v>3729.16666675</v>
      </c>
      <c r="C189">
        <v>0</v>
      </c>
    </row>
    <row r="190" spans="1:3" ht="12.75">
      <c r="A190">
        <v>3770.8333333749997</v>
      </c>
      <c r="B190">
        <v>3604.861111204097</v>
      </c>
      <c r="C190">
        <v>0</v>
      </c>
    </row>
    <row r="191" spans="1:3" ht="12.75">
      <c r="A191">
        <v>3645.138888941736</v>
      </c>
      <c r="B191">
        <v>3480.555555658195</v>
      </c>
      <c r="C191">
        <v>0</v>
      </c>
    </row>
    <row r="192" spans="1:3" ht="12.75">
      <c r="A192">
        <v>3519.4444445084723</v>
      </c>
      <c r="B192">
        <v>3356.250000075</v>
      </c>
      <c r="C192">
        <v>0</v>
      </c>
    </row>
    <row r="193" spans="1:3" ht="12.75">
      <c r="A193">
        <v>3393.7500000375</v>
      </c>
      <c r="B193">
        <v>3231.9444445290974</v>
      </c>
      <c r="C193">
        <v>0</v>
      </c>
    </row>
    <row r="194" spans="1:3" ht="12.75">
      <c r="A194">
        <v>3268.055555604236</v>
      </c>
      <c r="B194">
        <v>3107.6388889831946</v>
      </c>
      <c r="C194">
        <v>0</v>
      </c>
    </row>
    <row r="195" spans="1:3" ht="12.75">
      <c r="A195">
        <v>3142.3611111709724</v>
      </c>
      <c r="B195">
        <v>2983.3333334</v>
      </c>
      <c r="C195">
        <v>0</v>
      </c>
    </row>
    <row r="196" spans="1:3" ht="12.75">
      <c r="A196">
        <v>3016.6666667</v>
      </c>
      <c r="B196">
        <v>2859.027777854097</v>
      </c>
      <c r="C196">
        <v>0</v>
      </c>
    </row>
    <row r="197" spans="1:3" ht="12.75">
      <c r="A197">
        <v>2890.972222266736</v>
      </c>
      <c r="B197">
        <v>2734.722222308195</v>
      </c>
      <c r="C197">
        <v>0</v>
      </c>
    </row>
    <row r="198" spans="1:3" ht="12.75">
      <c r="A198">
        <v>2765.2777778334726</v>
      </c>
      <c r="B198">
        <v>2610.416666725</v>
      </c>
      <c r="C198">
        <v>0</v>
      </c>
    </row>
    <row r="199" spans="1:3" ht="12.75">
      <c r="A199">
        <v>2639.5833333625</v>
      </c>
      <c r="B199">
        <v>2486.1111111790974</v>
      </c>
      <c r="C199">
        <v>0</v>
      </c>
    </row>
    <row r="200" spans="1:3" ht="12.75">
      <c r="A200">
        <v>2513.888888929236</v>
      </c>
      <c r="B200">
        <v>2361.8055556331947</v>
      </c>
      <c r="C200">
        <v>0</v>
      </c>
    </row>
    <row r="201" spans="1:3" ht="12.75">
      <c r="A201">
        <v>2388.1944444959727</v>
      </c>
      <c r="B201">
        <v>2237.50000005</v>
      </c>
      <c r="C201">
        <v>0</v>
      </c>
    </row>
    <row r="202" spans="1:3" ht="12.75">
      <c r="A202">
        <v>2262.5000000249997</v>
      </c>
      <c r="B202">
        <v>2113.1944445040976</v>
      </c>
      <c r="C202">
        <v>0</v>
      </c>
    </row>
    <row r="203" spans="1:3" ht="12.75">
      <c r="A203">
        <v>2136.8055555917363</v>
      </c>
      <c r="B203">
        <v>1988.8888889581947</v>
      </c>
      <c r="C203">
        <v>0</v>
      </c>
    </row>
    <row r="204" spans="1:3" ht="12.75">
      <c r="A204">
        <v>2011.1111111584726</v>
      </c>
      <c r="B204">
        <v>1864.583333375</v>
      </c>
      <c r="C204">
        <v>0</v>
      </c>
    </row>
    <row r="205" spans="1:3" ht="12.75">
      <c r="A205">
        <v>1885.4166666874999</v>
      </c>
      <c r="B205">
        <v>1740.2777778290974</v>
      </c>
      <c r="C205">
        <v>0</v>
      </c>
    </row>
    <row r="206" spans="1:3" ht="12.75">
      <c r="A206">
        <v>1759.7222222542362</v>
      </c>
      <c r="B206">
        <v>1615.9722222831947</v>
      </c>
      <c r="C206">
        <v>0</v>
      </c>
    </row>
    <row r="207" spans="1:3" ht="12.75">
      <c r="A207">
        <v>1634.0277778209725</v>
      </c>
      <c r="B207">
        <v>1491.6666667</v>
      </c>
      <c r="C207">
        <v>0</v>
      </c>
    </row>
    <row r="208" spans="1:3" ht="12.75">
      <c r="A208">
        <v>4102.083333425</v>
      </c>
      <c r="B208">
        <v>3933.3333333456253</v>
      </c>
      <c r="C208">
        <v>0</v>
      </c>
    </row>
    <row r="209" spans="1:3" ht="12.75">
      <c r="A209">
        <v>3977.7777778790974</v>
      </c>
      <c r="B209">
        <v>3810.4166666912506</v>
      </c>
      <c r="C209">
        <v>0</v>
      </c>
    </row>
    <row r="210" spans="1:3" ht="12.75">
      <c r="A210">
        <v>3853.4722223331946</v>
      </c>
      <c r="B210">
        <v>3687.5</v>
      </c>
      <c r="C210">
        <v>0</v>
      </c>
    </row>
    <row r="211" spans="1:3" ht="12.75">
      <c r="A211">
        <v>3729.16666675</v>
      </c>
      <c r="B211">
        <v>3564.5833333456253</v>
      </c>
      <c r="C211">
        <v>0</v>
      </c>
    </row>
    <row r="212" spans="1:3" ht="12.75">
      <c r="A212">
        <v>3604.861111204097</v>
      </c>
      <c r="B212">
        <v>3441.6666666912506</v>
      </c>
      <c r="C212">
        <v>0</v>
      </c>
    </row>
    <row r="213" spans="1:3" ht="12.75">
      <c r="A213">
        <v>3480.555555658195</v>
      </c>
      <c r="B213">
        <v>3318.75</v>
      </c>
      <c r="C213">
        <v>0</v>
      </c>
    </row>
    <row r="214" spans="1:3" ht="12.75">
      <c r="A214">
        <v>3356.250000075</v>
      </c>
      <c r="B214">
        <v>3195.833333345625</v>
      </c>
      <c r="C214">
        <v>0</v>
      </c>
    </row>
    <row r="215" spans="1:3" ht="12.75">
      <c r="A215">
        <v>3231.9444445290974</v>
      </c>
      <c r="B215">
        <v>3072.9166666912506</v>
      </c>
      <c r="C215">
        <v>0</v>
      </c>
    </row>
    <row r="216" spans="1:3" ht="12.75">
      <c r="A216">
        <v>3107.6388889831946</v>
      </c>
      <c r="B216">
        <v>2950</v>
      </c>
      <c r="C216">
        <v>0</v>
      </c>
    </row>
    <row r="217" spans="1:3" ht="12.75">
      <c r="A217">
        <v>2983.3333334</v>
      </c>
      <c r="B217">
        <v>2827.083333345625</v>
      </c>
      <c r="C217">
        <v>0</v>
      </c>
    </row>
    <row r="218" spans="1:3" ht="12.75">
      <c r="A218">
        <v>2859.027777854097</v>
      </c>
      <c r="B218">
        <v>2704.1666666912506</v>
      </c>
      <c r="C218">
        <v>0</v>
      </c>
    </row>
    <row r="219" spans="1:3" ht="12.75">
      <c r="A219">
        <v>2734.722222308195</v>
      </c>
      <c r="B219">
        <v>2581.25</v>
      </c>
      <c r="C219">
        <v>0</v>
      </c>
    </row>
    <row r="220" spans="1:3" ht="12.75">
      <c r="A220">
        <v>2610.416666725</v>
      </c>
      <c r="B220">
        <v>2458.3333333456253</v>
      </c>
      <c r="C220">
        <v>0</v>
      </c>
    </row>
    <row r="221" spans="1:3" ht="12.75">
      <c r="A221">
        <v>2486.1111111790974</v>
      </c>
      <c r="B221">
        <v>2335.4166666912506</v>
      </c>
      <c r="C221">
        <v>0</v>
      </c>
    </row>
    <row r="222" spans="1:3" ht="12.75">
      <c r="A222">
        <v>2361.8055556331947</v>
      </c>
      <c r="B222">
        <v>2212.5</v>
      </c>
      <c r="C222">
        <v>0</v>
      </c>
    </row>
    <row r="223" spans="1:3" ht="12.75">
      <c r="A223">
        <v>2237.50000005</v>
      </c>
      <c r="B223">
        <v>2089.5833333456253</v>
      </c>
      <c r="C223">
        <v>0</v>
      </c>
    </row>
    <row r="224" spans="1:3" ht="12.75">
      <c r="A224">
        <v>2113.1944445040976</v>
      </c>
      <c r="B224">
        <v>1966.6666666912504</v>
      </c>
      <c r="C224">
        <v>0</v>
      </c>
    </row>
    <row r="225" spans="1:3" ht="12.75">
      <c r="A225">
        <v>1988.8888889581947</v>
      </c>
      <c r="B225">
        <v>1843.75</v>
      </c>
      <c r="C225">
        <v>0</v>
      </c>
    </row>
    <row r="226" spans="1:3" ht="12.75">
      <c r="A226">
        <v>1864.583333375</v>
      </c>
      <c r="B226">
        <v>1720.8333333456253</v>
      </c>
      <c r="C226">
        <v>0</v>
      </c>
    </row>
    <row r="227" spans="1:3" ht="12.75">
      <c r="A227">
        <v>1740.2777778290974</v>
      </c>
      <c r="B227">
        <v>1597.9166666912504</v>
      </c>
      <c r="C227">
        <v>0</v>
      </c>
    </row>
    <row r="228" spans="1:3" ht="12.75">
      <c r="A228">
        <v>1615.9722222831947</v>
      </c>
      <c r="B228">
        <v>1475</v>
      </c>
      <c r="C228">
        <v>0</v>
      </c>
    </row>
    <row r="229" spans="1:3" ht="12.75">
      <c r="A229">
        <v>4056.25</v>
      </c>
      <c r="B229">
        <v>3888.8888889454856</v>
      </c>
      <c r="C229">
        <v>0</v>
      </c>
    </row>
    <row r="230" spans="1:3" ht="12.75">
      <c r="A230">
        <v>3933.3333333456253</v>
      </c>
      <c r="B230">
        <v>3767.361111178472</v>
      </c>
      <c r="C230">
        <v>0</v>
      </c>
    </row>
    <row r="231" spans="1:3" ht="12.75">
      <c r="A231">
        <v>3810.4166666912506</v>
      </c>
      <c r="B231">
        <v>3645.8333333749997</v>
      </c>
      <c r="C231">
        <v>0</v>
      </c>
    </row>
    <row r="232" spans="1:3" ht="12.75">
      <c r="A232">
        <v>3687.5</v>
      </c>
      <c r="B232">
        <v>3524.3055556079858</v>
      </c>
      <c r="C232">
        <v>0</v>
      </c>
    </row>
    <row r="233" spans="1:3" ht="12.75">
      <c r="A233">
        <v>3564.5833333456253</v>
      </c>
      <c r="B233">
        <v>3402.7777778409722</v>
      </c>
      <c r="C233">
        <v>0</v>
      </c>
    </row>
    <row r="234" spans="1:3" ht="12.75">
      <c r="A234">
        <v>3441.6666666912506</v>
      </c>
      <c r="B234">
        <v>3281.2500000375</v>
      </c>
      <c r="C234">
        <v>0</v>
      </c>
    </row>
    <row r="235" spans="1:3" ht="12.75">
      <c r="A235">
        <v>3318.75</v>
      </c>
      <c r="B235">
        <v>3159.722222270486</v>
      </c>
      <c r="C235">
        <v>0</v>
      </c>
    </row>
    <row r="236" spans="1:3" ht="12.75">
      <c r="A236">
        <v>3195.833333345625</v>
      </c>
      <c r="B236">
        <v>3038.1944445034724</v>
      </c>
      <c r="C236">
        <v>0</v>
      </c>
    </row>
    <row r="237" spans="1:3" ht="12.75">
      <c r="A237">
        <v>3072.9166666912506</v>
      </c>
      <c r="B237">
        <v>2916.6666667</v>
      </c>
      <c r="C237">
        <v>0</v>
      </c>
    </row>
    <row r="238" spans="1:3" ht="12.75">
      <c r="A238">
        <v>2950</v>
      </c>
      <c r="B238">
        <v>2795.1388889329855</v>
      </c>
      <c r="C238">
        <v>0</v>
      </c>
    </row>
    <row r="239" spans="1:3" ht="12.75">
      <c r="A239">
        <v>2827.083333345625</v>
      </c>
      <c r="B239">
        <v>2673.6111111659725</v>
      </c>
      <c r="C239">
        <v>0</v>
      </c>
    </row>
    <row r="240" spans="1:3" ht="12.75">
      <c r="A240">
        <v>2704.1666666912506</v>
      </c>
      <c r="B240">
        <v>2552.0833333624996</v>
      </c>
      <c r="C240">
        <v>0</v>
      </c>
    </row>
    <row r="241" spans="1:3" ht="12.75">
      <c r="A241">
        <v>2581.25</v>
      </c>
      <c r="B241">
        <v>2430.555555595486</v>
      </c>
      <c r="C241">
        <v>0</v>
      </c>
    </row>
    <row r="242" spans="1:3" ht="12.75">
      <c r="A242">
        <v>2458.3333333456253</v>
      </c>
      <c r="B242">
        <v>2309.027777828472</v>
      </c>
      <c r="C242">
        <v>0</v>
      </c>
    </row>
    <row r="243" spans="1:3" ht="12.75">
      <c r="A243">
        <v>2335.4166666912506</v>
      </c>
      <c r="B243">
        <v>2187.5000000249997</v>
      </c>
      <c r="C243">
        <v>0</v>
      </c>
    </row>
    <row r="244" spans="1:3" ht="12.75">
      <c r="A244">
        <v>2212.5</v>
      </c>
      <c r="B244">
        <v>2065.9722222579862</v>
      </c>
      <c r="C244">
        <v>0.012345679012345666</v>
      </c>
    </row>
    <row r="245" spans="1:3" ht="12.75">
      <c r="A245">
        <v>2089.5833333456253</v>
      </c>
      <c r="B245">
        <v>1944.4444444909723</v>
      </c>
      <c r="C245">
        <v>0.037037037037036966</v>
      </c>
    </row>
    <row r="246" spans="1:3" ht="12.75">
      <c r="A246">
        <v>1966.6666666912504</v>
      </c>
      <c r="B246">
        <v>1822.9166666874999</v>
      </c>
      <c r="C246">
        <v>0.06172839506172826</v>
      </c>
    </row>
    <row r="247" spans="1:3" ht="12.75">
      <c r="A247">
        <v>1843.75</v>
      </c>
      <c r="B247">
        <v>1701.3888889204861</v>
      </c>
      <c r="C247">
        <v>0.08641975308641958</v>
      </c>
    </row>
    <row r="248" spans="1:3" ht="12.75">
      <c r="A248">
        <v>1720.8333333456253</v>
      </c>
      <c r="B248">
        <v>1579.8611111534724</v>
      </c>
      <c r="C248">
        <v>0.098765432098765</v>
      </c>
    </row>
    <row r="249" spans="1:3" ht="12.75">
      <c r="A249">
        <v>1597.9166666912504</v>
      </c>
      <c r="B249">
        <v>1458.33333335</v>
      </c>
      <c r="C249">
        <v>0.037037037037037854</v>
      </c>
    </row>
    <row r="250" spans="1:3" ht="12.75">
      <c r="A250">
        <v>4010.4166667124996</v>
      </c>
      <c r="B250">
        <v>3844.444444545347</v>
      </c>
      <c r="C250">
        <v>0</v>
      </c>
    </row>
    <row r="251" spans="1:3" ht="12.75">
      <c r="A251">
        <v>3888.8888889454856</v>
      </c>
      <c r="B251">
        <v>3724.3055556656946</v>
      </c>
      <c r="C251">
        <v>0</v>
      </c>
    </row>
    <row r="252" spans="1:3" ht="12.75">
      <c r="A252">
        <v>3767.361111178472</v>
      </c>
      <c r="B252">
        <v>3604.16666675</v>
      </c>
      <c r="C252">
        <v>0</v>
      </c>
    </row>
    <row r="253" spans="1:3" ht="12.75">
      <c r="A253">
        <v>3645.8333333749997</v>
      </c>
      <c r="B253">
        <v>3484.027777870347</v>
      </c>
      <c r="C253">
        <v>0</v>
      </c>
    </row>
    <row r="254" spans="1:3" ht="12.75">
      <c r="A254">
        <v>3524.3055556079858</v>
      </c>
      <c r="B254">
        <v>3363.888888990695</v>
      </c>
      <c r="C254">
        <v>0</v>
      </c>
    </row>
    <row r="255" spans="1:3" ht="12.75">
      <c r="A255">
        <v>3402.7777778409722</v>
      </c>
      <c r="B255">
        <v>3243.7500000749997</v>
      </c>
      <c r="C255">
        <v>0</v>
      </c>
    </row>
    <row r="256" spans="1:3" ht="12.75">
      <c r="A256">
        <v>3281.2500000375</v>
      </c>
      <c r="B256">
        <v>3123.611111195347</v>
      </c>
      <c r="C256">
        <v>0</v>
      </c>
    </row>
    <row r="257" spans="1:3" ht="12.75">
      <c r="A257">
        <v>3159.722222270486</v>
      </c>
      <c r="B257">
        <v>3003.4722223156946</v>
      </c>
      <c r="C257">
        <v>0</v>
      </c>
    </row>
    <row r="258" spans="1:3" ht="12.75">
      <c r="A258">
        <v>3038.1944445034724</v>
      </c>
      <c r="B258">
        <v>2883.3333334</v>
      </c>
      <c r="C258">
        <v>0</v>
      </c>
    </row>
    <row r="259" spans="1:3" ht="12.75">
      <c r="A259">
        <v>2916.6666667</v>
      </c>
      <c r="B259">
        <v>2763.194444520347</v>
      </c>
      <c r="C259">
        <v>0</v>
      </c>
    </row>
    <row r="260" spans="1:3" ht="12.75">
      <c r="A260">
        <v>2795.1388889329855</v>
      </c>
      <c r="B260">
        <v>2643.055555640695</v>
      </c>
      <c r="C260">
        <v>0</v>
      </c>
    </row>
    <row r="261" spans="1:3" ht="12.75">
      <c r="A261">
        <v>2673.6111111659725</v>
      </c>
      <c r="B261">
        <v>2522.9166667249997</v>
      </c>
      <c r="C261">
        <v>0</v>
      </c>
    </row>
    <row r="262" spans="1:3" ht="12.75">
      <c r="A262">
        <v>2552.0833333624996</v>
      </c>
      <c r="B262">
        <v>2402.7777778453474</v>
      </c>
      <c r="C262">
        <v>0</v>
      </c>
    </row>
    <row r="263" spans="1:3" ht="12.75">
      <c r="A263">
        <v>2430.555555595486</v>
      </c>
      <c r="B263">
        <v>2282.6388889656946</v>
      </c>
      <c r="C263">
        <v>0</v>
      </c>
    </row>
    <row r="264" spans="1:3" ht="12.75">
      <c r="A264">
        <v>2309.027777828472</v>
      </c>
      <c r="B264">
        <v>2162.50000005</v>
      </c>
      <c r="C264">
        <v>0</v>
      </c>
    </row>
    <row r="265" spans="1:3" ht="12.75">
      <c r="A265">
        <v>2187.5000000249997</v>
      </c>
      <c r="B265">
        <v>2042.3611111703474</v>
      </c>
      <c r="C265">
        <v>0.012345679012345666</v>
      </c>
    </row>
    <row r="266" spans="1:3" ht="12.75">
      <c r="A266">
        <v>2065.9722222579862</v>
      </c>
      <c r="B266">
        <v>1922.2222222906946</v>
      </c>
      <c r="C266">
        <v>0.037037037037036966</v>
      </c>
    </row>
    <row r="267" spans="1:3" ht="12.75">
      <c r="A267">
        <v>1944.4444444909723</v>
      </c>
      <c r="B267">
        <v>1802.083333375</v>
      </c>
      <c r="C267">
        <v>0.06172839506172826</v>
      </c>
    </row>
    <row r="268" spans="1:3" ht="12.75">
      <c r="A268">
        <v>1822.9166666874999</v>
      </c>
      <c r="B268">
        <v>1681.9444444953474</v>
      </c>
      <c r="C268">
        <v>0.08641975308641958</v>
      </c>
    </row>
    <row r="269" spans="1:3" ht="12.75">
      <c r="A269">
        <v>1701.3888889204861</v>
      </c>
      <c r="B269">
        <v>1561.8055556156946</v>
      </c>
      <c r="C269">
        <v>0.098765432098765</v>
      </c>
    </row>
    <row r="270" spans="1:3" ht="12.75">
      <c r="A270">
        <v>1579.8611111534724</v>
      </c>
      <c r="B270">
        <v>1441.6666667</v>
      </c>
      <c r="C270">
        <v>0.037037037037037854</v>
      </c>
    </row>
    <row r="271" spans="1:3" ht="12.75">
      <c r="A271">
        <v>3964.5833334249996</v>
      </c>
      <c r="B271">
        <v>3800.000000011875</v>
      </c>
      <c r="C271">
        <v>0</v>
      </c>
    </row>
    <row r="272" spans="1:3" ht="12.75">
      <c r="A272">
        <v>3844.444444545347</v>
      </c>
      <c r="B272">
        <v>3681.25000002375</v>
      </c>
      <c r="C272">
        <v>0</v>
      </c>
    </row>
    <row r="273" spans="1:3" ht="12.75">
      <c r="A273">
        <v>3724.3055556656946</v>
      </c>
      <c r="B273">
        <v>3562.5</v>
      </c>
      <c r="C273">
        <v>0</v>
      </c>
    </row>
    <row r="274" spans="1:3" ht="12.75">
      <c r="A274">
        <v>3604.16666675</v>
      </c>
      <c r="B274">
        <v>3443.750000011875</v>
      </c>
      <c r="C274">
        <v>0</v>
      </c>
    </row>
    <row r="275" spans="1:3" ht="12.75">
      <c r="A275">
        <v>3484.027777870347</v>
      </c>
      <c r="B275">
        <v>3325.00000002375</v>
      </c>
      <c r="C275">
        <v>0</v>
      </c>
    </row>
    <row r="276" spans="1:3" ht="12.75">
      <c r="A276">
        <v>3363.888888990695</v>
      </c>
      <c r="B276">
        <v>3206.25</v>
      </c>
      <c r="C276">
        <v>0</v>
      </c>
    </row>
    <row r="277" spans="1:3" ht="12.75">
      <c r="A277">
        <v>3243.7500000749997</v>
      </c>
      <c r="B277">
        <v>3087.500000011875</v>
      </c>
      <c r="C277">
        <v>0</v>
      </c>
    </row>
    <row r="278" spans="1:3" ht="12.75">
      <c r="A278">
        <v>3123.611111195347</v>
      </c>
      <c r="B278">
        <v>2968.75000002375</v>
      </c>
      <c r="C278">
        <v>0</v>
      </c>
    </row>
    <row r="279" spans="1:3" ht="12.75">
      <c r="A279">
        <v>3003.4722223156946</v>
      </c>
      <c r="B279">
        <v>2850</v>
      </c>
      <c r="C279">
        <v>0</v>
      </c>
    </row>
    <row r="280" spans="1:3" ht="12.75">
      <c r="A280">
        <v>2883.3333334</v>
      </c>
      <c r="B280">
        <v>2731.250000011875</v>
      </c>
      <c r="C280">
        <v>0</v>
      </c>
    </row>
    <row r="281" spans="1:3" ht="12.75">
      <c r="A281">
        <v>2763.194444520347</v>
      </c>
      <c r="B281">
        <v>2612.50000002375</v>
      </c>
      <c r="C281">
        <v>0</v>
      </c>
    </row>
    <row r="282" spans="1:3" ht="12.75">
      <c r="A282">
        <v>2643.055555640695</v>
      </c>
      <c r="B282">
        <v>2493.75</v>
      </c>
      <c r="C282">
        <v>0</v>
      </c>
    </row>
    <row r="283" spans="1:3" ht="12.75">
      <c r="A283">
        <v>2522.9166667249997</v>
      </c>
      <c r="B283">
        <v>2375.0000000118753</v>
      </c>
      <c r="C283">
        <v>0</v>
      </c>
    </row>
    <row r="284" spans="1:3" ht="12.75">
      <c r="A284">
        <v>2402.7777778453474</v>
      </c>
      <c r="B284">
        <v>2256.25000002375</v>
      </c>
      <c r="C284">
        <v>0</v>
      </c>
    </row>
    <row r="285" spans="1:3" ht="12.75">
      <c r="A285">
        <v>2282.6388889656946</v>
      </c>
      <c r="B285">
        <v>2137.5</v>
      </c>
      <c r="C285">
        <v>0</v>
      </c>
    </row>
    <row r="286" spans="1:3" ht="12.75">
      <c r="A286">
        <v>2162.50000005</v>
      </c>
      <c r="B286">
        <v>2018.750000011875</v>
      </c>
      <c r="C286">
        <v>0.012345679012345666</v>
      </c>
    </row>
    <row r="287" spans="1:3" ht="12.75">
      <c r="A287">
        <v>2042.3611111703474</v>
      </c>
      <c r="B287">
        <v>1900.0000000237503</v>
      </c>
      <c r="C287">
        <v>0.037037037037036966</v>
      </c>
    </row>
    <row r="288" spans="1:3" ht="12.75">
      <c r="A288">
        <v>1922.2222222906946</v>
      </c>
      <c r="B288">
        <v>1781.25</v>
      </c>
      <c r="C288">
        <v>0.06172839506172826</v>
      </c>
    </row>
    <row r="289" spans="1:3" ht="12.75">
      <c r="A289">
        <v>1802.083333375</v>
      </c>
      <c r="B289">
        <v>1662.500000011875</v>
      </c>
      <c r="C289">
        <v>0.08641975308641958</v>
      </c>
    </row>
    <row r="290" spans="1:3" ht="12.75">
      <c r="A290">
        <v>1681.9444444953474</v>
      </c>
      <c r="B290">
        <v>1543.7500000237503</v>
      </c>
      <c r="C290">
        <v>0.098765432098765</v>
      </c>
    </row>
    <row r="291" spans="1:3" ht="12.75">
      <c r="A291">
        <v>1561.8055556156946</v>
      </c>
      <c r="B291">
        <v>1425</v>
      </c>
      <c r="C291">
        <v>0.037037037037037854</v>
      </c>
    </row>
    <row r="292" spans="1:3" ht="12.75">
      <c r="A292">
        <v>3918.75</v>
      </c>
      <c r="B292">
        <v>3755.555555611736</v>
      </c>
      <c r="C292">
        <v>0</v>
      </c>
    </row>
    <row r="293" spans="1:3" ht="12.75">
      <c r="A293">
        <v>3800.000000011875</v>
      </c>
      <c r="B293">
        <v>3638.1944445109725</v>
      </c>
      <c r="C293">
        <v>0</v>
      </c>
    </row>
    <row r="294" spans="1:3" ht="12.75">
      <c r="A294">
        <v>3681.25000002375</v>
      </c>
      <c r="B294">
        <v>3520.833333375</v>
      </c>
      <c r="C294">
        <v>0</v>
      </c>
    </row>
    <row r="295" spans="1:3" ht="12.75">
      <c r="A295">
        <v>3562.5</v>
      </c>
      <c r="B295">
        <v>3403.472222274236</v>
      </c>
      <c r="C295">
        <v>0</v>
      </c>
    </row>
    <row r="296" spans="1:3" ht="12.75">
      <c r="A296">
        <v>3443.750000011875</v>
      </c>
      <c r="B296">
        <v>3286.1111111734726</v>
      </c>
      <c r="C296">
        <v>0</v>
      </c>
    </row>
    <row r="297" spans="1:3" ht="12.75">
      <c r="A297">
        <v>3325.00000002375</v>
      </c>
      <c r="B297">
        <v>3168.7500000375003</v>
      </c>
      <c r="C297">
        <v>0</v>
      </c>
    </row>
    <row r="298" spans="1:3" ht="12.75">
      <c r="A298">
        <v>3206.25</v>
      </c>
      <c r="B298">
        <v>3051.3888889367363</v>
      </c>
      <c r="C298">
        <v>0</v>
      </c>
    </row>
    <row r="299" spans="1:3" ht="12.75">
      <c r="A299">
        <v>3087.500000011875</v>
      </c>
      <c r="B299">
        <v>2934.0277778359728</v>
      </c>
      <c r="C299">
        <v>0</v>
      </c>
    </row>
    <row r="300" spans="1:3" ht="12.75">
      <c r="A300">
        <v>2968.75000002375</v>
      </c>
      <c r="B300">
        <v>2816.6666667</v>
      </c>
      <c r="C300">
        <v>0</v>
      </c>
    </row>
    <row r="301" spans="1:3" ht="12.75">
      <c r="A301">
        <v>2850</v>
      </c>
      <c r="B301">
        <v>2699.305555599236</v>
      </c>
      <c r="C301">
        <v>0</v>
      </c>
    </row>
    <row r="302" spans="1:3" ht="12.75">
      <c r="A302">
        <v>2731.250000011875</v>
      </c>
      <c r="B302">
        <v>2581.9444444984724</v>
      </c>
      <c r="C302">
        <v>0</v>
      </c>
    </row>
    <row r="303" spans="1:3" ht="12.75">
      <c r="A303">
        <v>2612.50000002375</v>
      </c>
      <c r="B303">
        <v>2464.5833333625</v>
      </c>
      <c r="C303">
        <v>0</v>
      </c>
    </row>
    <row r="304" spans="1:3" ht="12.75">
      <c r="A304">
        <v>2493.75</v>
      </c>
      <c r="B304">
        <v>2347.2222222617365</v>
      </c>
      <c r="C304">
        <v>0</v>
      </c>
    </row>
    <row r="305" spans="1:3" ht="12.75">
      <c r="A305">
        <v>2375.0000000118753</v>
      </c>
      <c r="B305">
        <v>2229.8611111609725</v>
      </c>
      <c r="C305">
        <v>0</v>
      </c>
    </row>
    <row r="306" spans="1:3" ht="12.75">
      <c r="A306">
        <v>2256.25000002375</v>
      </c>
      <c r="B306">
        <v>2112.500000025</v>
      </c>
      <c r="C306">
        <v>0</v>
      </c>
    </row>
    <row r="307" spans="1:3" ht="12.75">
      <c r="A307">
        <v>2137.5</v>
      </c>
      <c r="B307">
        <v>1995.1388889242364</v>
      </c>
      <c r="C307">
        <v>0</v>
      </c>
    </row>
    <row r="308" spans="1:3" ht="12.75">
      <c r="A308">
        <v>2018.750000011875</v>
      </c>
      <c r="B308">
        <v>1877.7777778234727</v>
      </c>
      <c r="C308">
        <v>0</v>
      </c>
    </row>
    <row r="309" spans="1:3" ht="12.75">
      <c r="A309">
        <v>1900.0000000237503</v>
      </c>
      <c r="B309">
        <v>1760.4166666875</v>
      </c>
      <c r="C309">
        <v>0</v>
      </c>
    </row>
    <row r="310" spans="1:3" ht="12.75">
      <c r="A310">
        <v>1781.25</v>
      </c>
      <c r="B310">
        <v>1643.0555555867363</v>
      </c>
      <c r="C310">
        <v>0</v>
      </c>
    </row>
    <row r="311" spans="1:3" ht="12.75">
      <c r="A311">
        <v>1662.500000011875</v>
      </c>
      <c r="B311">
        <v>1525.6944444859726</v>
      </c>
      <c r="C311">
        <v>0</v>
      </c>
    </row>
    <row r="312" spans="1:3" ht="12.75">
      <c r="A312">
        <v>1543.7500000237503</v>
      </c>
      <c r="B312">
        <v>1408.33333335</v>
      </c>
      <c r="C312">
        <v>0</v>
      </c>
    </row>
    <row r="313" spans="1:3" ht="12.75">
      <c r="A313">
        <v>3872.9166667125</v>
      </c>
      <c r="B313">
        <v>3711.1111112115973</v>
      </c>
      <c r="C313">
        <v>0</v>
      </c>
    </row>
    <row r="314" spans="1:3" ht="12.75">
      <c r="A314">
        <v>3755.555555611736</v>
      </c>
      <c r="B314">
        <v>3595.138888998195</v>
      </c>
      <c r="C314">
        <v>0</v>
      </c>
    </row>
    <row r="315" spans="1:3" ht="12.75">
      <c r="A315">
        <v>3638.1944445109725</v>
      </c>
      <c r="B315">
        <v>3479.1666667500003</v>
      </c>
      <c r="C315">
        <v>0</v>
      </c>
    </row>
    <row r="316" spans="1:3" ht="12.75">
      <c r="A316">
        <v>3520.833333375</v>
      </c>
      <c r="B316">
        <v>3363.1944445365975</v>
      </c>
      <c r="C316">
        <v>0</v>
      </c>
    </row>
    <row r="317" spans="1:3" ht="12.75">
      <c r="A317">
        <v>3403.472222274236</v>
      </c>
      <c r="B317">
        <v>3247.222222323195</v>
      </c>
      <c r="C317">
        <v>0</v>
      </c>
    </row>
    <row r="318" spans="1:3" ht="12.75">
      <c r="A318">
        <v>3286.1111111734726</v>
      </c>
      <c r="B318">
        <v>3131.250000075</v>
      </c>
      <c r="C318">
        <v>0</v>
      </c>
    </row>
    <row r="319" spans="1:3" ht="12.75">
      <c r="A319">
        <v>3168.7500000375003</v>
      </c>
      <c r="B319">
        <v>3015.2777778615973</v>
      </c>
      <c r="C319">
        <v>0</v>
      </c>
    </row>
    <row r="320" spans="1:3" ht="12.75">
      <c r="A320">
        <v>3051.3888889367363</v>
      </c>
      <c r="B320">
        <v>2899.305555648195</v>
      </c>
      <c r="C320">
        <v>0</v>
      </c>
    </row>
    <row r="321" spans="1:3" ht="12.75">
      <c r="A321">
        <v>2934.0277778359728</v>
      </c>
      <c r="B321">
        <v>2783.3333334000004</v>
      </c>
      <c r="C321">
        <v>0</v>
      </c>
    </row>
    <row r="322" spans="1:3" ht="12.75">
      <c r="A322">
        <v>2816.6666667</v>
      </c>
      <c r="B322">
        <v>2667.3611111865976</v>
      </c>
      <c r="C322">
        <v>0</v>
      </c>
    </row>
    <row r="323" spans="1:3" ht="12.75">
      <c r="A323">
        <v>2699.305555599236</v>
      </c>
      <c r="B323">
        <v>2551.3888889731948</v>
      </c>
      <c r="C323">
        <v>0</v>
      </c>
    </row>
    <row r="324" spans="1:3" ht="12.75">
      <c r="A324">
        <v>2581.9444444984724</v>
      </c>
      <c r="B324">
        <v>2435.416666725</v>
      </c>
      <c r="C324">
        <v>0</v>
      </c>
    </row>
    <row r="325" spans="1:3" ht="12.75">
      <c r="A325">
        <v>2464.5833333625</v>
      </c>
      <c r="B325">
        <v>2319.4444445115973</v>
      </c>
      <c r="C325">
        <v>0</v>
      </c>
    </row>
    <row r="326" spans="1:3" ht="12.75">
      <c r="A326">
        <v>2347.2222222617365</v>
      </c>
      <c r="B326">
        <v>2203.472222298195</v>
      </c>
      <c r="C326">
        <v>0</v>
      </c>
    </row>
    <row r="327" spans="1:3" ht="12.75">
      <c r="A327">
        <v>2229.8611111609725</v>
      </c>
      <c r="B327">
        <v>2087.5000000500004</v>
      </c>
      <c r="C327">
        <v>0</v>
      </c>
    </row>
    <row r="328" spans="1:3" ht="12.75">
      <c r="A328">
        <v>2112.500000025</v>
      </c>
      <c r="B328">
        <v>1971.5277778365976</v>
      </c>
      <c r="C328">
        <v>0</v>
      </c>
    </row>
    <row r="329" spans="1:3" ht="12.75">
      <c r="A329">
        <v>1995.1388889242364</v>
      </c>
      <c r="B329">
        <v>1855.5555556231948</v>
      </c>
      <c r="C329">
        <v>0</v>
      </c>
    </row>
    <row r="330" spans="1:3" ht="12.75">
      <c r="A330">
        <v>1877.7777778234727</v>
      </c>
      <c r="B330">
        <v>1739.5833333750002</v>
      </c>
      <c r="C330">
        <v>0</v>
      </c>
    </row>
    <row r="331" spans="1:3" ht="12.75">
      <c r="A331">
        <v>1760.4166666875</v>
      </c>
      <c r="B331">
        <v>1623.6111111615976</v>
      </c>
      <c r="C331">
        <v>0</v>
      </c>
    </row>
    <row r="332" spans="1:3" ht="12.75">
      <c r="A332">
        <v>1643.0555555867363</v>
      </c>
      <c r="B332">
        <v>1507.6388889481948</v>
      </c>
      <c r="C332">
        <v>0</v>
      </c>
    </row>
    <row r="333" spans="1:3" ht="12.75">
      <c r="A333">
        <v>1525.6944444859726</v>
      </c>
      <c r="B333">
        <v>1391.6666667000002</v>
      </c>
      <c r="C333">
        <v>0</v>
      </c>
    </row>
    <row r="334" spans="1:3" ht="12.75">
      <c r="A334">
        <v>3827.0833334250005</v>
      </c>
      <c r="B334">
        <v>3666.666666678125</v>
      </c>
      <c r="C334">
        <v>0</v>
      </c>
    </row>
    <row r="335" spans="1:3" ht="12.75">
      <c r="A335">
        <v>3711.1111112115973</v>
      </c>
      <c r="B335">
        <v>3552.08333335625</v>
      </c>
      <c r="C335">
        <v>0</v>
      </c>
    </row>
    <row r="336" spans="1:3" ht="12.75">
      <c r="A336">
        <v>3595.138888998195</v>
      </c>
      <c r="B336">
        <v>3437.5</v>
      </c>
      <c r="C336">
        <v>0</v>
      </c>
    </row>
    <row r="337" spans="1:3" ht="12.75">
      <c r="A337">
        <v>3479.1666667500003</v>
      </c>
      <c r="B337">
        <v>3322.916666678125</v>
      </c>
      <c r="C337">
        <v>0</v>
      </c>
    </row>
    <row r="338" spans="1:3" ht="12.75">
      <c r="A338">
        <v>3363.1944445365975</v>
      </c>
      <c r="B338">
        <v>3208.33333335625</v>
      </c>
      <c r="C338">
        <v>0</v>
      </c>
    </row>
    <row r="339" spans="1:3" ht="12.75">
      <c r="A339">
        <v>3247.222222323195</v>
      </c>
      <c r="B339">
        <v>3093.75</v>
      </c>
      <c r="C339">
        <v>0</v>
      </c>
    </row>
    <row r="340" spans="1:3" ht="12.75">
      <c r="A340">
        <v>3131.250000075</v>
      </c>
      <c r="B340">
        <v>2979.166666678125</v>
      </c>
      <c r="C340">
        <v>0</v>
      </c>
    </row>
    <row r="341" spans="1:3" ht="12.75">
      <c r="A341">
        <v>3015.2777778615973</v>
      </c>
      <c r="B341">
        <v>2864.58333335625</v>
      </c>
      <c r="C341">
        <v>0</v>
      </c>
    </row>
    <row r="342" spans="1:3" ht="12.75">
      <c r="A342">
        <v>2899.305555648195</v>
      </c>
      <c r="B342">
        <v>2750</v>
      </c>
      <c r="C342">
        <v>0</v>
      </c>
    </row>
    <row r="343" spans="1:3" ht="12.75">
      <c r="A343">
        <v>2783.3333334000004</v>
      </c>
      <c r="B343">
        <v>2635.416666678125</v>
      </c>
      <c r="C343">
        <v>0</v>
      </c>
    </row>
    <row r="344" spans="1:3" ht="12.75">
      <c r="A344">
        <v>2667.3611111865976</v>
      </c>
      <c r="B344">
        <v>2520.83333335625</v>
      </c>
      <c r="C344">
        <v>0</v>
      </c>
    </row>
    <row r="345" spans="1:3" ht="12.75">
      <c r="A345">
        <v>2551.3888889731948</v>
      </c>
      <c r="B345">
        <v>2406.25</v>
      </c>
      <c r="C345">
        <v>0</v>
      </c>
    </row>
    <row r="346" spans="1:3" ht="12.75">
      <c r="A346">
        <v>2435.416666725</v>
      </c>
      <c r="B346">
        <v>2291.666666678125</v>
      </c>
      <c r="C346">
        <v>0</v>
      </c>
    </row>
    <row r="347" spans="1:3" ht="12.75">
      <c r="A347">
        <v>2319.4444445115973</v>
      </c>
      <c r="B347">
        <v>2177.08333335625</v>
      </c>
      <c r="C347">
        <v>0</v>
      </c>
    </row>
    <row r="348" spans="1:3" ht="12.75">
      <c r="A348">
        <v>2203.472222298195</v>
      </c>
      <c r="B348">
        <v>2062.5</v>
      </c>
      <c r="C348">
        <v>0</v>
      </c>
    </row>
    <row r="349" spans="1:3" ht="12.75">
      <c r="A349">
        <v>2087.5000000500004</v>
      </c>
      <c r="B349">
        <v>1947.916666678125</v>
      </c>
      <c r="C349">
        <v>0</v>
      </c>
    </row>
    <row r="350" spans="1:3" ht="12.75">
      <c r="A350">
        <v>1971.5277778365976</v>
      </c>
      <c r="B350">
        <v>1833.3333333562503</v>
      </c>
      <c r="C350">
        <v>0</v>
      </c>
    </row>
    <row r="351" spans="1:3" ht="12.75">
      <c r="A351">
        <v>1855.5555556231948</v>
      </c>
      <c r="B351">
        <v>1718.75</v>
      </c>
      <c r="C351">
        <v>0</v>
      </c>
    </row>
    <row r="352" spans="1:3" ht="12.75">
      <c r="A352">
        <v>1739.5833333750002</v>
      </c>
      <c r="B352">
        <v>1604.166666678125</v>
      </c>
      <c r="C352">
        <v>0</v>
      </c>
    </row>
    <row r="353" spans="1:3" ht="12.75">
      <c r="A353">
        <v>1623.6111111615976</v>
      </c>
      <c r="B353">
        <v>1489.5833333562503</v>
      </c>
      <c r="C353">
        <v>0</v>
      </c>
    </row>
    <row r="354" spans="1:3" ht="12.75">
      <c r="A354">
        <v>1507.6388889481948</v>
      </c>
      <c r="B354">
        <v>1375</v>
      </c>
      <c r="C354">
        <v>0</v>
      </c>
    </row>
    <row r="355" spans="1:3" ht="12.75">
      <c r="A355">
        <v>3781.25</v>
      </c>
      <c r="B355">
        <v>3622.222222277986</v>
      </c>
      <c r="C355">
        <v>0</v>
      </c>
    </row>
    <row r="356" spans="1:3" ht="12.75">
      <c r="A356">
        <v>3666.666666678125</v>
      </c>
      <c r="B356">
        <v>3509.0277778434724</v>
      </c>
      <c r="C356">
        <v>0</v>
      </c>
    </row>
    <row r="357" spans="1:3" ht="12.75">
      <c r="A357">
        <v>3552.08333335625</v>
      </c>
      <c r="B357">
        <v>3395.8333333749997</v>
      </c>
      <c r="C357">
        <v>0</v>
      </c>
    </row>
    <row r="358" spans="1:3" ht="12.75">
      <c r="A358">
        <v>3437.5</v>
      </c>
      <c r="B358">
        <v>3282.638888940486</v>
      </c>
      <c r="C358">
        <v>0</v>
      </c>
    </row>
    <row r="359" spans="1:3" ht="12.75">
      <c r="A359">
        <v>3322.916666678125</v>
      </c>
      <c r="B359">
        <v>3169.4444445059726</v>
      </c>
      <c r="C359">
        <v>0</v>
      </c>
    </row>
    <row r="360" spans="1:3" ht="12.75">
      <c r="A360">
        <v>3208.33333335625</v>
      </c>
      <c r="B360">
        <v>3056.2500000375</v>
      </c>
      <c r="C360">
        <v>0</v>
      </c>
    </row>
    <row r="361" spans="1:3" ht="12.75">
      <c r="A361">
        <v>3093.75</v>
      </c>
      <c r="B361">
        <v>2943.055555602986</v>
      </c>
      <c r="C361">
        <v>0</v>
      </c>
    </row>
    <row r="362" spans="1:3" ht="12.75">
      <c r="A362">
        <v>2979.166666678125</v>
      </c>
      <c r="B362">
        <v>2829.8611111684722</v>
      </c>
      <c r="C362">
        <v>0</v>
      </c>
    </row>
    <row r="363" spans="1:3" ht="12.75">
      <c r="A363">
        <v>2864.58333335625</v>
      </c>
      <c r="B363">
        <v>2716.6666667</v>
      </c>
      <c r="C363">
        <v>0</v>
      </c>
    </row>
    <row r="364" spans="1:3" ht="12.75">
      <c r="A364">
        <v>2750</v>
      </c>
      <c r="B364">
        <v>2603.472222265486</v>
      </c>
      <c r="C364">
        <v>0</v>
      </c>
    </row>
    <row r="365" spans="1:3" ht="12.75">
      <c r="A365">
        <v>2635.416666678125</v>
      </c>
      <c r="B365">
        <v>2490.2777778309724</v>
      </c>
      <c r="C365">
        <v>0</v>
      </c>
    </row>
    <row r="366" spans="1:3" ht="12.75">
      <c r="A366">
        <v>2520.83333335625</v>
      </c>
      <c r="B366">
        <v>2377.0833333625</v>
      </c>
      <c r="C366">
        <v>0</v>
      </c>
    </row>
    <row r="367" spans="1:3" ht="12.75">
      <c r="A367">
        <v>2406.25</v>
      </c>
      <c r="B367">
        <v>2263.888888927986</v>
      </c>
      <c r="C367">
        <v>0</v>
      </c>
    </row>
    <row r="368" spans="1:3" ht="12.75">
      <c r="A368">
        <v>2291.666666678125</v>
      </c>
      <c r="B368">
        <v>2150.6944444934725</v>
      </c>
      <c r="C368">
        <v>0</v>
      </c>
    </row>
    <row r="369" spans="1:3" ht="12.75">
      <c r="A369">
        <v>2177.08333335625</v>
      </c>
      <c r="B369">
        <v>2037.500000025</v>
      </c>
      <c r="C369">
        <v>0</v>
      </c>
    </row>
    <row r="370" spans="1:3" ht="12.75">
      <c r="A370">
        <v>2062.5</v>
      </c>
      <c r="B370">
        <v>1924.3055555904862</v>
      </c>
      <c r="C370">
        <v>0</v>
      </c>
    </row>
    <row r="371" spans="1:3" ht="12.75">
      <c r="A371">
        <v>1947.916666678125</v>
      </c>
      <c r="B371">
        <v>1811.1111111559724</v>
      </c>
      <c r="C371">
        <v>0</v>
      </c>
    </row>
    <row r="372" spans="1:3" ht="12.75">
      <c r="A372">
        <v>1833.3333333562503</v>
      </c>
      <c r="B372">
        <v>1697.9166666874999</v>
      </c>
      <c r="C372">
        <v>0</v>
      </c>
    </row>
    <row r="373" spans="1:3" ht="12.75">
      <c r="A373">
        <v>1718.75</v>
      </c>
      <c r="B373">
        <v>1584.7222222529863</v>
      </c>
      <c r="C373">
        <v>0</v>
      </c>
    </row>
    <row r="374" spans="1:3" ht="12.75">
      <c r="A374">
        <v>1604.166666678125</v>
      </c>
      <c r="B374">
        <v>1471.5277778184725</v>
      </c>
      <c r="C374">
        <v>0</v>
      </c>
    </row>
    <row r="375" spans="1:3" ht="12.75">
      <c r="A375">
        <v>1489.5833333562503</v>
      </c>
      <c r="B375">
        <v>1358.33333335</v>
      </c>
      <c r="C375">
        <v>0</v>
      </c>
    </row>
    <row r="376" spans="1:3" ht="12.75">
      <c r="A376">
        <v>3735.4166667125</v>
      </c>
      <c r="B376">
        <v>3577.7777778778473</v>
      </c>
      <c r="C376">
        <v>0</v>
      </c>
    </row>
    <row r="377" spans="1:3" ht="12.75">
      <c r="A377">
        <v>3622.222222277986</v>
      </c>
      <c r="B377">
        <v>3465.972222330695</v>
      </c>
      <c r="C377">
        <v>0</v>
      </c>
    </row>
    <row r="378" spans="1:3" ht="12.75">
      <c r="A378">
        <v>3509.0277778434724</v>
      </c>
      <c r="B378">
        <v>3354.16666675</v>
      </c>
      <c r="C378">
        <v>0</v>
      </c>
    </row>
    <row r="379" spans="1:3" ht="12.75">
      <c r="A379">
        <v>3395.8333333749997</v>
      </c>
      <c r="B379">
        <v>3242.361111202847</v>
      </c>
      <c r="C379">
        <v>0</v>
      </c>
    </row>
    <row r="380" spans="1:3" ht="12.75">
      <c r="A380">
        <v>3282.638888940486</v>
      </c>
      <c r="B380">
        <v>3130.5555556556947</v>
      </c>
      <c r="C380">
        <v>0</v>
      </c>
    </row>
    <row r="381" spans="1:3" ht="12.75">
      <c r="A381">
        <v>3169.4444445059726</v>
      </c>
      <c r="B381">
        <v>3018.750000075</v>
      </c>
      <c r="C381">
        <v>0</v>
      </c>
    </row>
    <row r="382" spans="1:3" ht="12.75">
      <c r="A382">
        <v>3056.2500000375</v>
      </c>
      <c r="B382">
        <v>2906.9444445278473</v>
      </c>
      <c r="C382">
        <v>0</v>
      </c>
    </row>
    <row r="383" spans="1:3" ht="12.75">
      <c r="A383">
        <v>2943.055555602986</v>
      </c>
      <c r="B383">
        <v>2795.138888980695</v>
      </c>
      <c r="C383">
        <v>0</v>
      </c>
    </row>
    <row r="384" spans="1:3" ht="12.75">
      <c r="A384">
        <v>2829.8611111684722</v>
      </c>
      <c r="B384">
        <v>2683.3333334</v>
      </c>
      <c r="C384">
        <v>0</v>
      </c>
    </row>
    <row r="385" spans="1:3" ht="12.75">
      <c r="A385">
        <v>2716.6666667</v>
      </c>
      <c r="B385">
        <v>2571.527777852847</v>
      </c>
      <c r="C385">
        <v>0</v>
      </c>
    </row>
    <row r="386" spans="1:3" ht="12.75">
      <c r="A386">
        <v>2603.472222265486</v>
      </c>
      <c r="B386">
        <v>2459.7222223056947</v>
      </c>
      <c r="C386">
        <v>0</v>
      </c>
    </row>
    <row r="387" spans="1:3" ht="12.75">
      <c r="A387">
        <v>2490.2777778309724</v>
      </c>
      <c r="B387">
        <v>2347.916666725</v>
      </c>
      <c r="C387">
        <v>0</v>
      </c>
    </row>
    <row r="388" spans="1:3" ht="12.75">
      <c r="A388">
        <v>2377.0833333625</v>
      </c>
      <c r="B388">
        <v>2236.1111111778473</v>
      </c>
      <c r="C388">
        <v>0</v>
      </c>
    </row>
    <row r="389" spans="1:3" ht="12.75">
      <c r="A389">
        <v>2263.888888927986</v>
      </c>
      <c r="B389">
        <v>2124.305555630695</v>
      </c>
      <c r="C389">
        <v>0</v>
      </c>
    </row>
    <row r="390" spans="1:3" ht="12.75">
      <c r="A390">
        <v>2150.6944444934725</v>
      </c>
      <c r="B390">
        <v>2012.5000000500002</v>
      </c>
      <c r="C390">
        <v>0</v>
      </c>
    </row>
    <row r="391" spans="1:3" ht="12.75">
      <c r="A391">
        <v>2037.500000025</v>
      </c>
      <c r="B391">
        <v>1900.6944445028473</v>
      </c>
      <c r="C391">
        <v>0</v>
      </c>
    </row>
    <row r="392" spans="1:3" ht="12.75">
      <c r="A392">
        <v>1924.3055555904862</v>
      </c>
      <c r="B392">
        <v>1788.8888889556947</v>
      </c>
      <c r="C392">
        <v>0</v>
      </c>
    </row>
    <row r="393" spans="1:3" ht="12.75">
      <c r="A393">
        <v>1811.1111111559724</v>
      </c>
      <c r="B393">
        <v>1677.083333375</v>
      </c>
      <c r="C393">
        <v>0</v>
      </c>
    </row>
    <row r="394" spans="1:3" ht="12.75">
      <c r="A394">
        <v>1697.9166666874999</v>
      </c>
      <c r="B394">
        <v>1565.2777778278473</v>
      </c>
      <c r="C394">
        <v>0</v>
      </c>
    </row>
    <row r="395" spans="1:3" ht="12.75">
      <c r="A395">
        <v>1584.7222222529863</v>
      </c>
      <c r="B395">
        <v>1453.4722222806947</v>
      </c>
      <c r="C395">
        <v>0</v>
      </c>
    </row>
    <row r="396" spans="1:3" ht="12.75">
      <c r="A396">
        <v>1471.5277778184725</v>
      </c>
      <c r="B396">
        <v>1341.6666667</v>
      </c>
      <c r="C396">
        <v>0</v>
      </c>
    </row>
    <row r="397" spans="1:3" ht="12.75">
      <c r="A397">
        <v>3689.583333425</v>
      </c>
      <c r="B397">
        <v>3533.333333344375</v>
      </c>
      <c r="C397">
        <v>0</v>
      </c>
    </row>
    <row r="398" spans="1:3" ht="12.75">
      <c r="A398">
        <v>3577.7777778778473</v>
      </c>
      <c r="B398">
        <v>3422.9166666887504</v>
      </c>
      <c r="C398">
        <v>0</v>
      </c>
    </row>
    <row r="399" spans="1:3" ht="12.75">
      <c r="A399">
        <v>3465.972222330695</v>
      </c>
      <c r="B399">
        <v>3312.5</v>
      </c>
      <c r="C399">
        <v>0</v>
      </c>
    </row>
    <row r="400" spans="1:3" ht="12.75">
      <c r="A400">
        <v>3354.16666675</v>
      </c>
      <c r="B400">
        <v>3202.083333344375</v>
      </c>
      <c r="C400">
        <v>0</v>
      </c>
    </row>
    <row r="401" spans="1:3" ht="12.75">
      <c r="A401">
        <v>3242.361111202847</v>
      </c>
      <c r="B401">
        <v>3091.6666666887504</v>
      </c>
      <c r="C401">
        <v>0</v>
      </c>
    </row>
    <row r="402" spans="1:3" ht="12.75">
      <c r="A402">
        <v>3130.5555556556947</v>
      </c>
      <c r="B402">
        <v>2981.25</v>
      </c>
      <c r="C402">
        <v>0</v>
      </c>
    </row>
    <row r="403" spans="1:3" ht="12.75">
      <c r="A403">
        <v>3018.750000075</v>
      </c>
      <c r="B403">
        <v>2870.833333344375</v>
      </c>
      <c r="C403">
        <v>0</v>
      </c>
    </row>
    <row r="404" spans="1:3" ht="12.75">
      <c r="A404">
        <v>2906.9444445278473</v>
      </c>
      <c r="B404">
        <v>2760.4166666887504</v>
      </c>
      <c r="C404">
        <v>0</v>
      </c>
    </row>
    <row r="405" spans="1:3" ht="12.75">
      <c r="A405">
        <v>2795.138888980695</v>
      </c>
      <c r="B405">
        <v>2650</v>
      </c>
      <c r="C405">
        <v>0</v>
      </c>
    </row>
    <row r="406" spans="1:3" ht="12.75">
      <c r="A406">
        <v>2683.3333334</v>
      </c>
      <c r="B406">
        <v>2539.583333344375</v>
      </c>
      <c r="C406">
        <v>0</v>
      </c>
    </row>
    <row r="407" spans="1:3" ht="12.75">
      <c r="A407">
        <v>2571.527777852847</v>
      </c>
      <c r="B407">
        <v>2429.1666666887504</v>
      </c>
      <c r="C407">
        <v>0</v>
      </c>
    </row>
    <row r="408" spans="1:3" ht="12.75">
      <c r="A408">
        <v>2459.7222223056947</v>
      </c>
      <c r="B408">
        <v>2318.75</v>
      </c>
      <c r="C408">
        <v>0</v>
      </c>
    </row>
    <row r="409" spans="1:3" ht="12.75">
      <c r="A409">
        <v>2347.916666725</v>
      </c>
      <c r="B409">
        <v>2208.333333344375</v>
      </c>
      <c r="C409">
        <v>0</v>
      </c>
    </row>
    <row r="410" spans="1:3" ht="12.75">
      <c r="A410">
        <v>2236.1111111778473</v>
      </c>
      <c r="B410">
        <v>2097.9166666887504</v>
      </c>
      <c r="C410">
        <v>0</v>
      </c>
    </row>
    <row r="411" spans="1:3" ht="12.75">
      <c r="A411">
        <v>2124.305555630695</v>
      </c>
      <c r="B411">
        <v>1987.5</v>
      </c>
      <c r="C411">
        <v>0</v>
      </c>
    </row>
    <row r="412" spans="1:3" ht="12.75">
      <c r="A412">
        <v>2012.5000000500002</v>
      </c>
      <c r="B412">
        <v>1877.0833333443752</v>
      </c>
      <c r="C412">
        <v>0</v>
      </c>
    </row>
    <row r="413" spans="1:3" ht="12.75">
      <c r="A413">
        <v>1900.6944445028473</v>
      </c>
      <c r="B413">
        <v>1766.6666666887504</v>
      </c>
      <c r="C413">
        <v>0</v>
      </c>
    </row>
    <row r="414" spans="1:3" ht="12.75">
      <c r="A414">
        <v>1788.8888889556947</v>
      </c>
      <c r="B414">
        <v>1656.25</v>
      </c>
      <c r="C414">
        <v>0</v>
      </c>
    </row>
    <row r="415" spans="1:3" ht="12.75">
      <c r="A415">
        <v>1677.083333375</v>
      </c>
      <c r="B415">
        <v>1545.8333333443752</v>
      </c>
      <c r="C415">
        <v>0</v>
      </c>
    </row>
    <row r="416" spans="1:3" ht="12.75">
      <c r="A416">
        <v>1565.2777778278473</v>
      </c>
      <c r="B416">
        <v>1435.4166666887504</v>
      </c>
      <c r="C416">
        <v>0</v>
      </c>
    </row>
    <row r="417" spans="1:3" ht="12.75">
      <c r="A417">
        <v>1453.4722222806947</v>
      </c>
      <c r="B417">
        <v>1325</v>
      </c>
      <c r="C417">
        <v>0</v>
      </c>
    </row>
    <row r="418" spans="1:3" ht="12.75">
      <c r="A418">
        <v>3643.75</v>
      </c>
      <c r="B418">
        <v>3488.8888889442355</v>
      </c>
      <c r="C418">
        <v>0</v>
      </c>
    </row>
    <row r="419" spans="1:3" ht="12.75">
      <c r="A419">
        <v>3533.333333344375</v>
      </c>
      <c r="B419">
        <v>3379.8611111759724</v>
      </c>
      <c r="C419">
        <v>0</v>
      </c>
    </row>
    <row r="420" spans="1:3" ht="12.75">
      <c r="A420">
        <v>3422.9166666887504</v>
      </c>
      <c r="B420">
        <v>3270.8333333749997</v>
      </c>
      <c r="C420">
        <v>0</v>
      </c>
    </row>
    <row r="421" spans="1:3" ht="12.75">
      <c r="A421">
        <v>3312.5</v>
      </c>
      <c r="B421">
        <v>3161.8055556067357</v>
      </c>
      <c r="C421">
        <v>0</v>
      </c>
    </row>
    <row r="422" spans="1:3" ht="12.75">
      <c r="A422">
        <v>3202.083333344375</v>
      </c>
      <c r="B422">
        <v>3052.777777838472</v>
      </c>
      <c r="C422">
        <v>0</v>
      </c>
    </row>
    <row r="423" spans="1:3" ht="12.75">
      <c r="A423">
        <v>3091.6666666887504</v>
      </c>
      <c r="B423">
        <v>2943.7500000375</v>
      </c>
      <c r="C423">
        <v>0</v>
      </c>
    </row>
    <row r="424" spans="1:3" ht="12.75">
      <c r="A424">
        <v>2981.25</v>
      </c>
      <c r="B424">
        <v>2834.7222222692358</v>
      </c>
      <c r="C424">
        <v>0</v>
      </c>
    </row>
    <row r="425" spans="1:3" ht="12.75">
      <c r="A425">
        <v>2870.833333344375</v>
      </c>
      <c r="B425">
        <v>2725.694444500972</v>
      </c>
      <c r="C425">
        <v>0</v>
      </c>
    </row>
    <row r="426" spans="1:3" ht="12.75">
      <c r="A426">
        <v>2760.4166666887504</v>
      </c>
      <c r="B426">
        <v>2616.6666667</v>
      </c>
      <c r="C426">
        <v>0</v>
      </c>
    </row>
    <row r="427" spans="1:3" ht="12.75">
      <c r="A427">
        <v>2650</v>
      </c>
      <c r="B427">
        <v>2507.638888931736</v>
      </c>
      <c r="C427">
        <v>0</v>
      </c>
    </row>
    <row r="428" spans="1:3" ht="12.75">
      <c r="A428">
        <v>2539.583333344375</v>
      </c>
      <c r="B428">
        <v>2398.6111111634723</v>
      </c>
      <c r="C428">
        <v>0</v>
      </c>
    </row>
    <row r="429" spans="1:3" ht="12.75">
      <c r="A429">
        <v>2429.1666666887504</v>
      </c>
      <c r="B429">
        <v>2289.5833333624996</v>
      </c>
      <c r="C429">
        <v>0</v>
      </c>
    </row>
    <row r="430" spans="1:3" ht="12.75">
      <c r="A430">
        <v>2318.75</v>
      </c>
      <c r="B430">
        <v>2180.555555594236</v>
      </c>
      <c r="C430">
        <v>0</v>
      </c>
    </row>
    <row r="431" spans="1:3" ht="12.75">
      <c r="A431">
        <v>2208.333333344375</v>
      </c>
      <c r="B431">
        <v>2071.5277778259724</v>
      </c>
      <c r="C431">
        <v>0</v>
      </c>
    </row>
    <row r="432" spans="1:3" ht="12.75">
      <c r="A432">
        <v>2097.9166666887504</v>
      </c>
      <c r="B432">
        <v>1962.5000000249997</v>
      </c>
      <c r="C432">
        <v>0</v>
      </c>
    </row>
    <row r="433" spans="1:3" ht="12.75">
      <c r="A433">
        <v>1987.5</v>
      </c>
      <c r="B433">
        <v>1853.4722222567361</v>
      </c>
      <c r="C433">
        <v>0</v>
      </c>
    </row>
    <row r="434" spans="1:3" ht="12.75">
      <c r="A434">
        <v>1877.0833333443752</v>
      </c>
      <c r="B434">
        <v>1744.4444444884723</v>
      </c>
      <c r="C434">
        <v>0</v>
      </c>
    </row>
    <row r="435" spans="1:3" ht="12.75">
      <c r="A435">
        <v>1766.6666666887504</v>
      </c>
      <c r="B435">
        <v>1635.4166666874999</v>
      </c>
      <c r="C435">
        <v>0</v>
      </c>
    </row>
    <row r="436" spans="1:3" ht="12.75">
      <c r="A436">
        <v>1656.25</v>
      </c>
      <c r="B436">
        <v>1526.388888919236</v>
      </c>
      <c r="C436">
        <v>0</v>
      </c>
    </row>
    <row r="437" spans="1:3" ht="12.75">
      <c r="A437">
        <v>1545.8333333443752</v>
      </c>
      <c r="B437">
        <v>1417.3611111509724</v>
      </c>
      <c r="C437">
        <v>0</v>
      </c>
    </row>
    <row r="438" spans="1:3" ht="12.75">
      <c r="A438">
        <v>1435.4166666887504</v>
      </c>
      <c r="B438">
        <v>1308.33333335</v>
      </c>
      <c r="C438">
        <v>0</v>
      </c>
    </row>
    <row r="439" spans="1:3" ht="12.75">
      <c r="A439">
        <v>3597.9166667124996</v>
      </c>
      <c r="B439">
        <v>3444.4444445440968</v>
      </c>
      <c r="C439">
        <v>0</v>
      </c>
    </row>
    <row r="440" spans="1:3" ht="12.75">
      <c r="A440">
        <v>3488.8888889442355</v>
      </c>
      <c r="B440">
        <v>3336.8055556631944</v>
      </c>
      <c r="C440">
        <v>0</v>
      </c>
    </row>
    <row r="441" spans="1:3" ht="12.75">
      <c r="A441">
        <v>3379.8611111759724</v>
      </c>
      <c r="B441">
        <v>3229.16666675</v>
      </c>
      <c r="C441">
        <v>0</v>
      </c>
    </row>
    <row r="442" spans="1:3" ht="12.75">
      <c r="A442">
        <v>3270.8333333749997</v>
      </c>
      <c r="B442">
        <v>3121.527777869097</v>
      </c>
      <c r="C442">
        <v>0</v>
      </c>
    </row>
    <row r="443" spans="1:3" ht="12.75">
      <c r="A443">
        <v>3161.8055556067357</v>
      </c>
      <c r="B443">
        <v>3013.8888889881946</v>
      </c>
      <c r="C443">
        <v>0</v>
      </c>
    </row>
    <row r="444" spans="1:3" ht="12.75">
      <c r="A444">
        <v>3052.777777838472</v>
      </c>
      <c r="B444">
        <v>2906.2500000749997</v>
      </c>
      <c r="C444">
        <v>0</v>
      </c>
    </row>
    <row r="445" spans="1:3" ht="12.75">
      <c r="A445">
        <v>2943.7500000375</v>
      </c>
      <c r="B445">
        <v>2798.611111194097</v>
      </c>
      <c r="C445">
        <v>0</v>
      </c>
    </row>
    <row r="446" spans="1:3" ht="12.75">
      <c r="A446">
        <v>2834.7222222692358</v>
      </c>
      <c r="B446">
        <v>2690.9722223131944</v>
      </c>
      <c r="C446">
        <v>0</v>
      </c>
    </row>
    <row r="447" spans="1:3" ht="12.75">
      <c r="A447">
        <v>2725.694444500972</v>
      </c>
      <c r="B447">
        <v>2583.3333334</v>
      </c>
      <c r="C447">
        <v>0</v>
      </c>
    </row>
    <row r="448" spans="1:3" ht="12.75">
      <c r="A448">
        <v>2616.6666667</v>
      </c>
      <c r="B448">
        <v>2475.694444519097</v>
      </c>
      <c r="C448">
        <v>0</v>
      </c>
    </row>
    <row r="449" spans="1:3" ht="12.75">
      <c r="A449">
        <v>2507.638888931736</v>
      </c>
      <c r="B449">
        <v>2368.0555556381946</v>
      </c>
      <c r="C449">
        <v>0</v>
      </c>
    </row>
    <row r="450" spans="1:3" ht="12.75">
      <c r="A450">
        <v>2398.6111111634723</v>
      </c>
      <c r="B450">
        <v>2260.4166667249997</v>
      </c>
      <c r="C450">
        <v>0</v>
      </c>
    </row>
    <row r="451" spans="1:3" ht="12.75">
      <c r="A451">
        <v>2289.5833333624996</v>
      </c>
      <c r="B451">
        <v>2152.7777778440973</v>
      </c>
      <c r="C451">
        <v>0</v>
      </c>
    </row>
    <row r="452" spans="1:3" ht="12.75">
      <c r="A452">
        <v>2180.555555594236</v>
      </c>
      <c r="B452">
        <v>2045.1388889631946</v>
      </c>
      <c r="C452">
        <v>0</v>
      </c>
    </row>
    <row r="453" spans="1:3" ht="12.75">
      <c r="A453">
        <v>2071.5277778259724</v>
      </c>
      <c r="B453">
        <v>1937.50000005</v>
      </c>
      <c r="C453">
        <v>0</v>
      </c>
    </row>
    <row r="454" spans="1:3" ht="12.75">
      <c r="A454">
        <v>1962.5000000249997</v>
      </c>
      <c r="B454">
        <v>1829.8611111690973</v>
      </c>
      <c r="C454">
        <v>0</v>
      </c>
    </row>
    <row r="455" spans="1:3" ht="12.75">
      <c r="A455">
        <v>1853.4722222567361</v>
      </c>
      <c r="B455">
        <v>1722.2222222881946</v>
      </c>
      <c r="C455">
        <v>0</v>
      </c>
    </row>
    <row r="456" spans="1:3" ht="12.75">
      <c r="A456">
        <v>1744.4444444884723</v>
      </c>
      <c r="B456">
        <v>1614.583333375</v>
      </c>
      <c r="C456">
        <v>0</v>
      </c>
    </row>
    <row r="457" spans="1:3" ht="12.75">
      <c r="A457">
        <v>1635.4166666874999</v>
      </c>
      <c r="B457">
        <v>1506.9444444940973</v>
      </c>
      <c r="C457">
        <v>0</v>
      </c>
    </row>
    <row r="458" spans="1:3" ht="12.75">
      <c r="A458">
        <v>1526.388888919236</v>
      </c>
      <c r="B458">
        <v>1399.3055556131947</v>
      </c>
      <c r="C458">
        <v>0</v>
      </c>
    </row>
    <row r="459" spans="1:3" ht="12.75">
      <c r="A459">
        <v>1417.3611111509724</v>
      </c>
      <c r="B459">
        <v>1291.6666667</v>
      </c>
      <c r="C459">
        <v>0</v>
      </c>
    </row>
    <row r="460" spans="1:3" ht="12.75">
      <c r="A460">
        <v>3552.0833334249996</v>
      </c>
      <c r="B460">
        <v>3400.0000000106247</v>
      </c>
      <c r="C460">
        <v>0</v>
      </c>
    </row>
    <row r="461" spans="1:3" ht="12.75">
      <c r="A461">
        <v>3444.4444445440968</v>
      </c>
      <c r="B461">
        <v>3293.7500000212503</v>
      </c>
      <c r="C461">
        <v>0</v>
      </c>
    </row>
    <row r="462" spans="1:3" ht="12.75">
      <c r="A462">
        <v>3336.8055556631944</v>
      </c>
      <c r="B462">
        <v>3187.5</v>
      </c>
      <c r="C462">
        <v>0</v>
      </c>
    </row>
    <row r="463" spans="1:3" ht="12.75">
      <c r="A463">
        <v>3229.16666675</v>
      </c>
      <c r="B463">
        <v>3081.2500000106247</v>
      </c>
      <c r="C463">
        <v>0</v>
      </c>
    </row>
    <row r="464" spans="1:3" ht="12.75">
      <c r="A464">
        <v>3121.527777869097</v>
      </c>
      <c r="B464">
        <v>2975.0000000212503</v>
      </c>
      <c r="C464">
        <v>0</v>
      </c>
    </row>
    <row r="465" spans="1:3" ht="12.75">
      <c r="A465">
        <v>3013.8888889881946</v>
      </c>
      <c r="B465">
        <v>2868.75</v>
      </c>
      <c r="C465">
        <v>0</v>
      </c>
    </row>
    <row r="466" spans="1:3" ht="12.75">
      <c r="A466">
        <v>2906.2500000749997</v>
      </c>
      <c r="B466">
        <v>2762.5000000106247</v>
      </c>
      <c r="C466">
        <v>0</v>
      </c>
    </row>
    <row r="467" spans="1:3" ht="12.75">
      <c r="A467">
        <v>2798.611111194097</v>
      </c>
      <c r="B467">
        <v>2656.2500000212503</v>
      </c>
      <c r="C467">
        <v>0</v>
      </c>
    </row>
    <row r="468" spans="1:3" ht="12.75">
      <c r="A468">
        <v>2690.9722223131944</v>
      </c>
      <c r="B468">
        <v>2550</v>
      </c>
      <c r="C468">
        <v>0</v>
      </c>
    </row>
    <row r="469" spans="1:3" ht="12.75">
      <c r="A469">
        <v>2583.3333334</v>
      </c>
      <c r="B469">
        <v>2443.7500000106247</v>
      </c>
      <c r="C469">
        <v>0</v>
      </c>
    </row>
    <row r="470" spans="1:3" ht="12.75">
      <c r="A470">
        <v>2475.694444519097</v>
      </c>
      <c r="B470">
        <v>2337.5000000212503</v>
      </c>
      <c r="C470">
        <v>0</v>
      </c>
    </row>
    <row r="471" spans="1:3" ht="12.75">
      <c r="A471">
        <v>2368.0555556381946</v>
      </c>
      <c r="B471">
        <v>2231.25</v>
      </c>
      <c r="C471">
        <v>0</v>
      </c>
    </row>
    <row r="472" spans="1:3" ht="12.75">
      <c r="A472">
        <v>2260.4166667249997</v>
      </c>
      <c r="B472">
        <v>2125.000000010625</v>
      </c>
      <c r="C472">
        <v>0</v>
      </c>
    </row>
    <row r="473" spans="1:3" ht="12.75">
      <c r="A473">
        <v>2152.7777778440973</v>
      </c>
      <c r="B473">
        <v>2018.7500000212503</v>
      </c>
      <c r="C473">
        <v>0</v>
      </c>
    </row>
    <row r="474" spans="1:3" ht="12.75">
      <c r="A474">
        <v>2045.1388889631946</v>
      </c>
      <c r="B474">
        <v>1912.5</v>
      </c>
      <c r="C474">
        <v>0</v>
      </c>
    </row>
    <row r="475" spans="1:3" ht="12.75">
      <c r="A475">
        <v>1937.50000005</v>
      </c>
      <c r="B475">
        <v>1806.2500000106252</v>
      </c>
      <c r="C475">
        <v>0</v>
      </c>
    </row>
    <row r="476" spans="1:3" ht="12.75">
      <c r="A476">
        <v>1829.8611111690973</v>
      </c>
      <c r="B476">
        <v>1700.0000000212503</v>
      </c>
      <c r="C476">
        <v>0</v>
      </c>
    </row>
    <row r="477" spans="1:3" ht="12.75">
      <c r="A477">
        <v>1722.2222222881946</v>
      </c>
      <c r="B477">
        <v>1593.75</v>
      </c>
      <c r="C477">
        <v>0</v>
      </c>
    </row>
    <row r="478" spans="1:3" ht="12.75">
      <c r="A478">
        <v>1614.583333375</v>
      </c>
      <c r="B478">
        <v>1487.5000000106252</v>
      </c>
      <c r="C478">
        <v>0</v>
      </c>
    </row>
    <row r="479" spans="1:3" ht="12.75">
      <c r="A479">
        <v>1506.9444444940973</v>
      </c>
      <c r="B479">
        <v>1381.2500000212503</v>
      </c>
      <c r="C479">
        <v>0</v>
      </c>
    </row>
    <row r="480" spans="1:3" ht="12.75">
      <c r="A480">
        <v>1399.3055556131947</v>
      </c>
      <c r="B480">
        <v>1275</v>
      </c>
      <c r="C480">
        <v>0</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3">
    <pageSetUpPr fitToPage="1"/>
  </sheetPr>
  <dimension ref="A1:W357"/>
  <sheetViews>
    <sheetView showGridLines="0" workbookViewId="0" topLeftCell="A1">
      <selection activeCell="A1" sqref="A1"/>
    </sheetView>
  </sheetViews>
  <sheetFormatPr defaultColWidth="9.140625" defaultRowHeight="12.75"/>
  <cols>
    <col min="1" max="16384" width="11.421875" style="0" customWidth="1"/>
  </cols>
  <sheetData>
    <row r="1" ht="12.75">
      <c r="G1" s="104"/>
    </row>
    <row r="8" spans="8:12" ht="12.75">
      <c r="H8" s="153"/>
      <c r="I8" s="154"/>
      <c r="J8" s="154"/>
      <c r="K8" s="154"/>
      <c r="L8" s="155"/>
    </row>
    <row r="9" spans="6:12" ht="12.75">
      <c r="F9" s="100">
        <f>IF(Score!AF65=0,"",Score!AF65)</f>
      </c>
      <c r="H9" s="156"/>
      <c r="I9" s="157"/>
      <c r="J9" s="157"/>
      <c r="K9" s="157"/>
      <c r="L9" s="158"/>
    </row>
    <row r="10" spans="8:12" ht="12.75">
      <c r="H10" s="156"/>
      <c r="I10" s="157"/>
      <c r="J10" s="157"/>
      <c r="K10" s="157"/>
      <c r="L10" s="158"/>
    </row>
    <row r="11" spans="8:12" ht="12.75">
      <c r="H11" s="159"/>
      <c r="I11" s="160"/>
      <c r="J11" s="160"/>
      <c r="K11" s="160"/>
      <c r="L11" s="161"/>
    </row>
    <row r="13" ht="22.5" customHeight="1">
      <c r="F13" s="37"/>
    </row>
    <row r="16" ht="12.75">
      <c r="G16" s="19">
        <f>INDEX(Perc_Table,MATCH(H21,Perc_Table_Col1,0),2,1)</f>
        <v>75</v>
      </c>
    </row>
    <row r="17" spans="7:9" ht="12.75">
      <c r="G17" s="33" t="s">
        <v>215</v>
      </c>
      <c r="H17" s="33"/>
      <c r="I17" s="34"/>
    </row>
    <row r="18" spans="6:9" ht="12.75">
      <c r="F18" s="21" t="s">
        <v>151</v>
      </c>
      <c r="G18" s="70">
        <f>W207</f>
        <v>0.8879631413116807</v>
      </c>
      <c r="H18" s="61"/>
      <c r="I18" s="35"/>
    </row>
    <row r="19" spans="6:9" ht="12.75">
      <c r="F19" s="21" t="s">
        <v>318</v>
      </c>
      <c r="G19" s="126">
        <f>V283</f>
        <v>0.23720812182741122</v>
      </c>
      <c r="H19" s="62"/>
      <c r="I19" s="35"/>
    </row>
    <row r="20" spans="6:9" ht="12.75">
      <c r="F20" s="21" t="s">
        <v>61</v>
      </c>
      <c r="G20" s="71">
        <f>W208</f>
        <v>0.43565095541075566</v>
      </c>
      <c r="H20" s="63"/>
      <c r="I20" s="35"/>
    </row>
    <row r="21" spans="6:9" ht="12.75">
      <c r="F21" s="21" t="s">
        <v>62</v>
      </c>
      <c r="G21" s="72">
        <f>W209</f>
        <v>0.0764230796733007</v>
      </c>
      <c r="H21" s="55">
        <v>4</v>
      </c>
      <c r="I21" s="24"/>
    </row>
    <row r="22" spans="6:7" ht="12.75">
      <c r="F22" s="21"/>
      <c r="G22" s="127"/>
    </row>
    <row r="23" spans="6:7" ht="12.75">
      <c r="F23" s="21" t="s">
        <v>51</v>
      </c>
      <c r="G23" s="73">
        <f>W210</f>
        <v>-9.020562075079397E-17</v>
      </c>
    </row>
    <row r="24" spans="6:7" ht="12.75">
      <c r="F24" s="110" t="s">
        <v>287</v>
      </c>
      <c r="G24" s="73">
        <f>V290</f>
        <v>-0.22500000000000003</v>
      </c>
    </row>
    <row r="36" ht="156" customHeight="1"/>
    <row r="196" ht="12" customHeight="1"/>
    <row r="197" ht="12" customHeight="1"/>
    <row r="198" ht="12" customHeight="1"/>
    <row r="199" ht="12" customHeight="1"/>
    <row r="200" ht="1.5" customHeight="1"/>
    <row r="201" spans="1:21" s="2" customFormat="1" ht="1.5" customHeight="1">
      <c r="A201" s="2">
        <v>0</v>
      </c>
      <c r="B201" s="2">
        <v>0</v>
      </c>
      <c r="C201" s="2">
        <v>0</v>
      </c>
      <c r="D201" s="2">
        <v>0</v>
      </c>
      <c r="E201" s="2">
        <v>0</v>
      </c>
      <c r="F201" s="2">
        <v>0</v>
      </c>
      <c r="G201" s="2">
        <v>0</v>
      </c>
      <c r="H201" s="2">
        <v>0</v>
      </c>
      <c r="I201" s="2">
        <v>0</v>
      </c>
      <c r="J201" s="2">
        <v>0</v>
      </c>
      <c r="K201" s="2">
        <v>0</v>
      </c>
      <c r="L201" s="2">
        <v>0</v>
      </c>
      <c r="M201" s="2">
        <v>0</v>
      </c>
      <c r="N201" s="2">
        <v>0</v>
      </c>
      <c r="O201" s="2">
        <v>0</v>
      </c>
      <c r="P201" s="2">
        <v>0</v>
      </c>
      <c r="Q201" s="2">
        <v>3.742968018400259E-05</v>
      </c>
      <c r="R201" s="2">
        <v>0.058651090462848436</v>
      </c>
      <c r="S201" s="2">
        <v>0.54737651498473</v>
      </c>
      <c r="T201" s="2">
        <v>0.37914397992125837</v>
      </c>
      <c r="U201" s="2">
        <v>0.01479098495097926</v>
      </c>
    </row>
    <row r="202" spans="1:21" s="2" customFormat="1" ht="1.5" customHeight="1">
      <c r="A202" s="57">
        <v>0</v>
      </c>
      <c r="B202" s="57">
        <v>0</v>
      </c>
      <c r="C202" s="2">
        <v>0</v>
      </c>
      <c r="D202" s="2">
        <v>0</v>
      </c>
      <c r="E202" s="2">
        <v>0</v>
      </c>
      <c r="F202" s="2">
        <v>0</v>
      </c>
      <c r="G202" s="2">
        <v>0</v>
      </c>
      <c r="H202" s="2">
        <v>0</v>
      </c>
      <c r="I202" s="2">
        <v>0</v>
      </c>
      <c r="J202" s="2">
        <v>8.803264382709012E-46</v>
      </c>
      <c r="K202" s="2">
        <v>9.236749540007808E-09</v>
      </c>
      <c r="L202" s="2">
        <v>0.00011601058604094512</v>
      </c>
      <c r="M202" s="2">
        <v>0.019857551518512262</v>
      </c>
      <c r="N202" s="2">
        <v>0.2722378648963008</v>
      </c>
      <c r="O202" s="2">
        <v>0.5344815613170726</v>
      </c>
      <c r="P202" s="2">
        <v>0.16765395355224294</v>
      </c>
      <c r="Q202" s="2">
        <v>0.0056453969263731895</v>
      </c>
      <c r="R202" s="2">
        <v>7.651966707273447E-06</v>
      </c>
      <c r="S202" s="2">
        <v>0</v>
      </c>
      <c r="T202" s="2">
        <v>0</v>
      </c>
      <c r="U202" s="2">
        <v>0</v>
      </c>
    </row>
    <row r="203" spans="1:21" s="2" customFormat="1" ht="1.5" customHeight="1">
      <c r="A203" s="57">
        <v>0</v>
      </c>
      <c r="B203" s="57">
        <v>0</v>
      </c>
      <c r="C203" s="2">
        <v>0</v>
      </c>
      <c r="D203" s="2">
        <v>0</v>
      </c>
      <c r="E203" s="2">
        <v>0</v>
      </c>
      <c r="F203" s="2">
        <v>0</v>
      </c>
      <c r="G203" s="2">
        <v>9.700236453478854E-06</v>
      </c>
      <c r="H203" s="2">
        <v>0.0022327081971212173</v>
      </c>
      <c r="I203" s="2">
        <v>0.04233570032337566</v>
      </c>
      <c r="J203" s="2">
        <v>0.2210855930841209</v>
      </c>
      <c r="K203" s="2">
        <v>0.41291673147265945</v>
      </c>
      <c r="L203" s="2">
        <v>0.270292363983732</v>
      </c>
      <c r="M203" s="2">
        <v>0.04949558765862765</v>
      </c>
      <c r="N203" s="2">
        <v>0.0016282435099019999</v>
      </c>
      <c r="O203" s="2">
        <v>3.3715340076348936E-06</v>
      </c>
      <c r="P203" s="2">
        <v>0</v>
      </c>
      <c r="Q203" s="2">
        <v>0</v>
      </c>
      <c r="R203" s="2">
        <v>0</v>
      </c>
      <c r="S203" s="2">
        <v>0</v>
      </c>
      <c r="T203" s="2">
        <v>0</v>
      </c>
      <c r="U203" s="2">
        <v>0</v>
      </c>
    </row>
    <row r="204" spans="1:21" s="2" customFormat="1" ht="1.5" customHeight="1">
      <c r="A204" s="17">
        <v>0</v>
      </c>
      <c r="B204" s="17">
        <v>0</v>
      </c>
      <c r="C204" s="17">
        <v>0</v>
      </c>
      <c r="D204" s="17">
        <v>0</v>
      </c>
      <c r="E204" s="17">
        <v>0</v>
      </c>
      <c r="F204" s="2">
        <v>0</v>
      </c>
      <c r="G204" s="17">
        <v>0.16666666666666669</v>
      </c>
      <c r="H204" s="17">
        <v>0.16666666666666669</v>
      </c>
      <c r="I204" s="17">
        <v>0.16666666666666669</v>
      </c>
      <c r="J204" s="17">
        <v>0.16666666666666669</v>
      </c>
      <c r="K204" s="17">
        <v>0.16666666666666669</v>
      </c>
      <c r="L204" s="17">
        <v>0.16666666666666669</v>
      </c>
      <c r="M204" s="17">
        <v>0</v>
      </c>
      <c r="N204" s="17">
        <v>0</v>
      </c>
      <c r="O204" s="17">
        <v>0</v>
      </c>
      <c r="P204" s="17">
        <v>0</v>
      </c>
      <c r="Q204" s="17">
        <v>0</v>
      </c>
      <c r="R204" s="17">
        <v>0</v>
      </c>
      <c r="S204" s="17">
        <v>0</v>
      </c>
      <c r="T204" s="17">
        <v>0</v>
      </c>
      <c r="U204" s="17">
        <v>0</v>
      </c>
    </row>
    <row r="205" spans="1:23" ht="1.5" customHeight="1">
      <c r="A205" s="68">
        <v>-1</v>
      </c>
      <c r="B205" s="68">
        <v>-0.9</v>
      </c>
      <c r="C205" s="68">
        <v>-0.8</v>
      </c>
      <c r="D205" s="68">
        <v>-0.7</v>
      </c>
      <c r="E205" s="68">
        <v>-0.6</v>
      </c>
      <c r="F205" s="68">
        <v>-0.5</v>
      </c>
      <c r="G205" s="68">
        <v>-0.4</v>
      </c>
      <c r="H205" s="68">
        <v>-0.3</v>
      </c>
      <c r="I205" s="68">
        <v>-0.2</v>
      </c>
      <c r="J205" s="68">
        <v>-0.1</v>
      </c>
      <c r="K205" s="68">
        <v>0</v>
      </c>
      <c r="L205" s="68">
        <v>0.1</v>
      </c>
      <c r="M205" s="68">
        <v>0.2</v>
      </c>
      <c r="N205" s="68">
        <v>0.3</v>
      </c>
      <c r="O205" s="68">
        <v>0.4</v>
      </c>
      <c r="P205" s="68">
        <v>0.5</v>
      </c>
      <c r="Q205" s="68">
        <v>0.6</v>
      </c>
      <c r="R205" s="68">
        <v>0.7</v>
      </c>
      <c r="S205" s="68">
        <v>0.8</v>
      </c>
      <c r="T205" s="68">
        <v>0.9</v>
      </c>
      <c r="U205" s="69">
        <v>1</v>
      </c>
      <c r="W205" s="19">
        <f>G16/100</f>
        <v>0.75</v>
      </c>
    </row>
    <row r="206" spans="1:23" ht="1.5" customHeight="1">
      <c r="A206" s="58" t="s">
        <v>63</v>
      </c>
      <c r="B206" s="24"/>
      <c r="F206" s="93"/>
      <c r="U206" s="22"/>
      <c r="V206" s="48" t="s">
        <v>107</v>
      </c>
      <c r="W206" s="50" t="s">
        <v>215</v>
      </c>
    </row>
    <row r="207" spans="1:23" ht="1.5" customHeight="1">
      <c r="A207" s="24">
        <f>A201*A$205</f>
        <v>0</v>
      </c>
      <c r="B207" s="24">
        <f aca="true" t="shared" si="0" ref="B207:U207">B201*B205</f>
        <v>0</v>
      </c>
      <c r="C207">
        <f t="shared" si="0"/>
        <v>0</v>
      </c>
      <c r="D207">
        <f t="shared" si="0"/>
        <v>0</v>
      </c>
      <c r="E207">
        <f t="shared" si="0"/>
        <v>0</v>
      </c>
      <c r="F207">
        <f t="shared" si="0"/>
        <v>0</v>
      </c>
      <c r="G207">
        <f t="shared" si="0"/>
        <v>0</v>
      </c>
      <c r="H207">
        <f t="shared" si="0"/>
        <v>0</v>
      </c>
      <c r="I207">
        <f t="shared" si="0"/>
        <v>0</v>
      </c>
      <c r="J207">
        <f t="shared" si="0"/>
        <v>0</v>
      </c>
      <c r="K207">
        <f t="shared" si="0"/>
        <v>0</v>
      </c>
      <c r="L207">
        <f t="shared" si="0"/>
        <v>0</v>
      </c>
      <c r="M207">
        <f t="shared" si="0"/>
        <v>0</v>
      </c>
      <c r="N207">
        <f t="shared" si="0"/>
        <v>0</v>
      </c>
      <c r="O207">
        <f t="shared" si="0"/>
        <v>0</v>
      </c>
      <c r="P207">
        <f t="shared" si="0"/>
        <v>0</v>
      </c>
      <c r="Q207">
        <f t="shared" si="0"/>
        <v>2.2457808110401555E-05</v>
      </c>
      <c r="R207">
        <f t="shared" si="0"/>
        <v>0.0410557633239939</v>
      </c>
      <c r="S207">
        <f t="shared" si="0"/>
        <v>0.437901211987784</v>
      </c>
      <c r="T207">
        <f t="shared" si="0"/>
        <v>0.34122958192913255</v>
      </c>
      <c r="U207" s="22">
        <f t="shared" si="0"/>
        <v>0.01479098495097926</v>
      </c>
      <c r="V207" s="49">
        <f>SUM(A207:U207)</f>
        <v>0.8350000000000002</v>
      </c>
      <c r="W207" s="54">
        <f>SUM(A222:U222)</f>
        <v>0.8879631413116807</v>
      </c>
    </row>
    <row r="208" spans="1:23" ht="1.5" customHeight="1">
      <c r="A208" s="24">
        <f>A202*A$205</f>
        <v>0</v>
      </c>
      <c r="B208" s="24">
        <f aca="true" t="shared" si="1" ref="B208:U210">B202*B$205</f>
        <v>0</v>
      </c>
      <c r="C208">
        <f t="shared" si="1"/>
        <v>0</v>
      </c>
      <c r="D208">
        <f t="shared" si="1"/>
        <v>0</v>
      </c>
      <c r="E208">
        <f t="shared" si="1"/>
        <v>0</v>
      </c>
      <c r="F208">
        <f t="shared" si="1"/>
        <v>0</v>
      </c>
      <c r="G208">
        <f t="shared" si="1"/>
        <v>0</v>
      </c>
      <c r="H208">
        <f t="shared" si="1"/>
        <v>0</v>
      </c>
      <c r="I208">
        <f t="shared" si="1"/>
        <v>0</v>
      </c>
      <c r="J208">
        <f t="shared" si="1"/>
        <v>-8.803264382709012E-47</v>
      </c>
      <c r="K208">
        <f t="shared" si="1"/>
        <v>0</v>
      </c>
      <c r="L208">
        <f t="shared" si="1"/>
        <v>1.1601058604094513E-05</v>
      </c>
      <c r="M208">
        <f t="shared" si="1"/>
        <v>0.003971510303702452</v>
      </c>
      <c r="N208">
        <f t="shared" si="1"/>
        <v>0.08167135946889025</v>
      </c>
      <c r="O208">
        <f t="shared" si="1"/>
        <v>0.21379262452682904</v>
      </c>
      <c r="P208">
        <f t="shared" si="1"/>
        <v>0.08382697677612147</v>
      </c>
      <c r="Q208">
        <f t="shared" si="1"/>
        <v>0.0033872381558239135</v>
      </c>
      <c r="R208">
        <f t="shared" si="1"/>
        <v>5.3563766950914126E-06</v>
      </c>
      <c r="S208">
        <f t="shared" si="1"/>
        <v>0</v>
      </c>
      <c r="T208">
        <f t="shared" si="1"/>
        <v>0</v>
      </c>
      <c r="U208" s="22">
        <f t="shared" si="1"/>
        <v>0</v>
      </c>
      <c r="V208" s="49">
        <f>SUM(A208:U208)</f>
        <v>0.3866666666666663</v>
      </c>
      <c r="W208" s="54">
        <f>SUM(A223:U223)</f>
        <v>0.43565095541075566</v>
      </c>
    </row>
    <row r="209" spans="1:23" ht="1.5" customHeight="1">
      <c r="A209" s="24">
        <f>A203*A$205</f>
        <v>0</v>
      </c>
      <c r="B209" s="24">
        <f t="shared" si="1"/>
        <v>0</v>
      </c>
      <c r="C209">
        <f t="shared" si="1"/>
        <v>0</v>
      </c>
      <c r="D209">
        <f t="shared" si="1"/>
        <v>0</v>
      </c>
      <c r="E209">
        <f aca="true" t="shared" si="2" ref="E209:H210">E203*E$205</f>
        <v>0</v>
      </c>
      <c r="F209">
        <f t="shared" si="2"/>
        <v>0</v>
      </c>
      <c r="G209">
        <f t="shared" si="2"/>
        <v>-3.880094581391542E-06</v>
      </c>
      <c r="H209">
        <f t="shared" si="2"/>
        <v>-0.0006698124591363652</v>
      </c>
      <c r="I209">
        <f t="shared" si="1"/>
        <v>-0.008467140064675133</v>
      </c>
      <c r="J209">
        <f t="shared" si="1"/>
        <v>-0.02210855930841209</v>
      </c>
      <c r="K209">
        <f t="shared" si="1"/>
        <v>0</v>
      </c>
      <c r="L209">
        <f t="shared" si="1"/>
        <v>0.027029236398373204</v>
      </c>
      <c r="M209">
        <f t="shared" si="1"/>
        <v>0.00989911753172553</v>
      </c>
      <c r="N209">
        <f t="shared" si="1"/>
        <v>0.0004884730529705999</v>
      </c>
      <c r="O209">
        <f t="shared" si="1"/>
        <v>1.3486136030539575E-06</v>
      </c>
      <c r="P209">
        <f t="shared" si="1"/>
        <v>0</v>
      </c>
      <c r="Q209">
        <f t="shared" si="1"/>
        <v>0</v>
      </c>
      <c r="R209">
        <f t="shared" si="1"/>
        <v>0</v>
      </c>
      <c r="S209">
        <f t="shared" si="1"/>
        <v>0</v>
      </c>
      <c r="T209">
        <f t="shared" si="1"/>
        <v>0</v>
      </c>
      <c r="U209" s="22">
        <f t="shared" si="1"/>
        <v>0</v>
      </c>
      <c r="V209" s="49">
        <f>SUM(A209:U209)</f>
        <v>0.006168783669867407</v>
      </c>
      <c r="W209" s="54">
        <f>SUM(A224:U224)</f>
        <v>0.0764230796733007</v>
      </c>
    </row>
    <row r="210" spans="1:23" ht="1.5" customHeight="1">
      <c r="A210" s="24">
        <f>A204*A$205</f>
        <v>0</v>
      </c>
      <c r="B210" s="24">
        <f t="shared" si="1"/>
        <v>0</v>
      </c>
      <c r="C210" s="24">
        <f t="shared" si="1"/>
        <v>0</v>
      </c>
      <c r="D210" s="24">
        <f t="shared" si="1"/>
        <v>0</v>
      </c>
      <c r="E210">
        <f t="shared" si="2"/>
        <v>0</v>
      </c>
      <c r="F210">
        <f t="shared" si="2"/>
        <v>0</v>
      </c>
      <c r="G210">
        <f t="shared" si="2"/>
        <v>-0.06666666666666668</v>
      </c>
      <c r="H210">
        <f t="shared" si="2"/>
        <v>-0.05</v>
      </c>
      <c r="I210" s="24">
        <f t="shared" si="1"/>
        <v>-0.03333333333333334</v>
      </c>
      <c r="J210" s="24">
        <f t="shared" si="1"/>
        <v>-0.01666666666666667</v>
      </c>
      <c r="K210" s="24">
        <f t="shared" si="1"/>
        <v>0</v>
      </c>
      <c r="L210" s="24">
        <f t="shared" si="1"/>
        <v>0.01666666666666667</v>
      </c>
      <c r="M210" s="24">
        <f t="shared" si="1"/>
        <v>0</v>
      </c>
      <c r="N210" s="24">
        <f t="shared" si="1"/>
        <v>0</v>
      </c>
      <c r="O210" s="24">
        <f t="shared" si="1"/>
        <v>0</v>
      </c>
      <c r="P210" s="24">
        <f t="shared" si="1"/>
        <v>0</v>
      </c>
      <c r="Q210" s="24">
        <f t="shared" si="1"/>
        <v>0</v>
      </c>
      <c r="R210" s="24">
        <f t="shared" si="1"/>
        <v>0</v>
      </c>
      <c r="S210" s="24">
        <f t="shared" si="1"/>
        <v>0</v>
      </c>
      <c r="T210" s="24">
        <f t="shared" si="1"/>
        <v>0</v>
      </c>
      <c r="U210" s="24">
        <f t="shared" si="1"/>
        <v>0</v>
      </c>
      <c r="V210" s="49">
        <f>SUM(A210:U210)</f>
        <v>-0.15000000000000002</v>
      </c>
      <c r="W210" s="54">
        <f>SUM(A225:U225)</f>
        <v>-9.020562075079397E-17</v>
      </c>
    </row>
    <row r="211" spans="1:6" ht="1.5" customHeight="1">
      <c r="A211" s="24" t="s">
        <v>64</v>
      </c>
      <c r="B211" s="24"/>
      <c r="F211" s="24"/>
    </row>
    <row r="212" spans="1:21" ht="1.5" customHeight="1">
      <c r="A212" s="24">
        <f>A201</f>
        <v>0</v>
      </c>
      <c r="B212" s="24">
        <f>A212+B201</f>
        <v>0</v>
      </c>
      <c r="C212" s="24">
        <f aca="true" t="shared" si="3" ref="C212:U215">B212+C201</f>
        <v>0</v>
      </c>
      <c r="D212" s="24">
        <f t="shared" si="3"/>
        <v>0</v>
      </c>
      <c r="E212" s="24">
        <f t="shared" si="3"/>
        <v>0</v>
      </c>
      <c r="F212" s="24">
        <f aca="true" t="shared" si="4" ref="F212:G215">E212+F201</f>
        <v>0</v>
      </c>
      <c r="G212" s="24">
        <f t="shared" si="4"/>
        <v>0</v>
      </c>
      <c r="H212" s="24">
        <f t="shared" si="3"/>
        <v>0</v>
      </c>
      <c r="I212" s="24">
        <f t="shared" si="3"/>
        <v>0</v>
      </c>
      <c r="J212" s="24">
        <f t="shared" si="3"/>
        <v>0</v>
      </c>
      <c r="K212" s="24">
        <f t="shared" si="3"/>
        <v>0</v>
      </c>
      <c r="L212" s="24">
        <f t="shared" si="3"/>
        <v>0</v>
      </c>
      <c r="M212" s="24">
        <f t="shared" si="3"/>
        <v>0</v>
      </c>
      <c r="N212" s="24">
        <f t="shared" si="3"/>
        <v>0</v>
      </c>
      <c r="O212" s="24">
        <f t="shared" si="3"/>
        <v>0</v>
      </c>
      <c r="P212" s="24">
        <f t="shared" si="3"/>
        <v>0</v>
      </c>
      <c r="Q212" s="24">
        <f t="shared" si="3"/>
        <v>3.742968018400259E-05</v>
      </c>
      <c r="R212" s="24">
        <f t="shared" si="3"/>
        <v>0.05868852014303244</v>
      </c>
      <c r="S212" s="24">
        <f t="shared" si="3"/>
        <v>0.6060650351277623</v>
      </c>
      <c r="T212" s="24">
        <f t="shared" si="3"/>
        <v>0.9852090150490207</v>
      </c>
      <c r="U212" s="24">
        <f t="shared" si="3"/>
        <v>1</v>
      </c>
    </row>
    <row r="213" spans="1:21" ht="1.5" customHeight="1">
      <c r="A213" s="24">
        <f>A202</f>
        <v>0</v>
      </c>
      <c r="B213" s="24">
        <f>A213+B202</f>
        <v>0</v>
      </c>
      <c r="C213" s="24">
        <f aca="true" t="shared" si="5" ref="C213:Q213">B213+C202</f>
        <v>0</v>
      </c>
      <c r="D213" s="24">
        <f t="shared" si="5"/>
        <v>0</v>
      </c>
      <c r="E213" s="24">
        <f t="shared" si="5"/>
        <v>0</v>
      </c>
      <c r="F213" s="24">
        <f t="shared" si="4"/>
        <v>0</v>
      </c>
      <c r="G213" s="24">
        <f t="shared" si="4"/>
        <v>0</v>
      </c>
      <c r="H213" s="24">
        <f t="shared" si="5"/>
        <v>0</v>
      </c>
      <c r="I213" s="24">
        <f t="shared" si="5"/>
        <v>0</v>
      </c>
      <c r="J213" s="24">
        <f t="shared" si="5"/>
        <v>8.803264382709012E-46</v>
      </c>
      <c r="K213" s="24">
        <f t="shared" si="5"/>
        <v>9.236749540007808E-09</v>
      </c>
      <c r="L213" s="24">
        <f t="shared" si="5"/>
        <v>0.00011601982279048513</v>
      </c>
      <c r="M213" s="24">
        <f t="shared" si="5"/>
        <v>0.019973571341302745</v>
      </c>
      <c r="N213" s="24">
        <f t="shared" si="5"/>
        <v>0.29221143623760354</v>
      </c>
      <c r="O213" s="24">
        <f t="shared" si="5"/>
        <v>0.8266929975546762</v>
      </c>
      <c r="P213" s="24">
        <f t="shared" si="5"/>
        <v>0.9943469511069192</v>
      </c>
      <c r="Q213" s="24">
        <f t="shared" si="5"/>
        <v>0.9999923480332924</v>
      </c>
      <c r="R213" s="24">
        <f t="shared" si="3"/>
        <v>0.9999999999999997</v>
      </c>
      <c r="S213" s="24">
        <f t="shared" si="3"/>
        <v>0.9999999999999997</v>
      </c>
      <c r="T213" s="24">
        <f t="shared" si="3"/>
        <v>0.9999999999999997</v>
      </c>
      <c r="U213" s="24">
        <f t="shared" si="3"/>
        <v>0.9999999999999997</v>
      </c>
    </row>
    <row r="214" spans="1:21" ht="1.5" customHeight="1">
      <c r="A214" s="24">
        <f>A203</f>
        <v>0</v>
      </c>
      <c r="B214" s="24">
        <f>A214+B203</f>
        <v>0</v>
      </c>
      <c r="C214" s="24">
        <f t="shared" si="3"/>
        <v>0</v>
      </c>
      <c r="D214" s="24">
        <f t="shared" si="3"/>
        <v>0</v>
      </c>
      <c r="E214" s="24">
        <f t="shared" si="3"/>
        <v>0</v>
      </c>
      <c r="F214" s="24">
        <f t="shared" si="4"/>
        <v>0</v>
      </c>
      <c r="G214" s="24">
        <f t="shared" si="4"/>
        <v>9.700236453478854E-06</v>
      </c>
      <c r="H214" s="24">
        <f t="shared" si="3"/>
        <v>0.002242408433574696</v>
      </c>
      <c r="I214" s="24">
        <f t="shared" si="3"/>
        <v>0.04457810875695036</v>
      </c>
      <c r="J214" s="24">
        <f t="shared" si="3"/>
        <v>0.26566370184107124</v>
      </c>
      <c r="K214" s="24">
        <f t="shared" si="3"/>
        <v>0.6785804333137306</v>
      </c>
      <c r="L214" s="24">
        <f t="shared" si="3"/>
        <v>0.9488727972974627</v>
      </c>
      <c r="M214" s="24">
        <f t="shared" si="3"/>
        <v>0.9983683849560903</v>
      </c>
      <c r="N214" s="24">
        <f t="shared" si="3"/>
        <v>0.9999966284659922</v>
      </c>
      <c r="O214" s="24">
        <f t="shared" si="3"/>
        <v>0.9999999999999999</v>
      </c>
      <c r="P214" s="24">
        <f t="shared" si="3"/>
        <v>0.9999999999999999</v>
      </c>
      <c r="Q214" s="24">
        <f t="shared" si="3"/>
        <v>0.9999999999999999</v>
      </c>
      <c r="R214" s="24">
        <f t="shared" si="3"/>
        <v>0.9999999999999999</v>
      </c>
      <c r="S214" s="24">
        <f t="shared" si="3"/>
        <v>0.9999999999999999</v>
      </c>
      <c r="T214" s="24">
        <f t="shared" si="3"/>
        <v>0.9999999999999999</v>
      </c>
      <c r="U214" s="24">
        <f t="shared" si="3"/>
        <v>0.9999999999999999</v>
      </c>
    </row>
    <row r="215" spans="1:21" ht="1.5" customHeight="1">
      <c r="A215" s="24">
        <f>A204</f>
        <v>0</v>
      </c>
      <c r="B215" s="24">
        <f>A215+B204</f>
        <v>0</v>
      </c>
      <c r="C215" s="24">
        <f t="shared" si="3"/>
        <v>0</v>
      </c>
      <c r="D215" s="24">
        <f t="shared" si="3"/>
        <v>0</v>
      </c>
      <c r="E215" s="24">
        <f t="shared" si="3"/>
        <v>0</v>
      </c>
      <c r="F215" s="24">
        <f t="shared" si="4"/>
        <v>0</v>
      </c>
      <c r="G215" s="24">
        <f t="shared" si="4"/>
        <v>0.16666666666666669</v>
      </c>
      <c r="H215" s="24">
        <f t="shared" si="3"/>
        <v>0.33333333333333337</v>
      </c>
      <c r="I215" s="24">
        <f t="shared" si="3"/>
        <v>0.5</v>
      </c>
      <c r="J215" s="24">
        <f t="shared" si="3"/>
        <v>0.6666666666666667</v>
      </c>
      <c r="K215" s="24">
        <f t="shared" si="3"/>
        <v>0.8333333333333335</v>
      </c>
      <c r="L215" s="24">
        <f t="shared" si="3"/>
        <v>1.0000000000000002</v>
      </c>
      <c r="M215" s="24">
        <f t="shared" si="3"/>
        <v>1.0000000000000002</v>
      </c>
      <c r="N215" s="24">
        <f t="shared" si="3"/>
        <v>1.0000000000000002</v>
      </c>
      <c r="O215" s="24">
        <f t="shared" si="3"/>
        <v>1.0000000000000002</v>
      </c>
      <c r="P215" s="24">
        <f t="shared" si="3"/>
        <v>1.0000000000000002</v>
      </c>
      <c r="Q215" s="24">
        <f t="shared" si="3"/>
        <v>1.0000000000000002</v>
      </c>
      <c r="R215" s="24">
        <f t="shared" si="3"/>
        <v>1.0000000000000002</v>
      </c>
      <c r="S215" s="24">
        <f t="shared" si="3"/>
        <v>1.0000000000000002</v>
      </c>
      <c r="T215" s="24">
        <f t="shared" si="3"/>
        <v>1.0000000000000002</v>
      </c>
      <c r="U215" s="24">
        <f t="shared" si="3"/>
        <v>1.0000000000000002</v>
      </c>
    </row>
    <row r="216" spans="1:2" ht="1.5" customHeight="1">
      <c r="A216" s="24" t="s">
        <v>65</v>
      </c>
      <c r="B216" s="24"/>
    </row>
    <row r="217" spans="1:21" ht="1.5" customHeight="1">
      <c r="A217" s="24">
        <f>IF((A212&gt;=$W$205),1,0)</f>
        <v>0</v>
      </c>
      <c r="B217" s="24">
        <f>IF(AND(B212&gt;=$W$205,A212&lt;$W$205),1,0)</f>
        <v>0</v>
      </c>
      <c r="C217" s="24">
        <f aca="true" t="shared" si="6" ref="C217:U220">IF(AND(C212&gt;=$W$205,B212&lt;$W$205),1,0)</f>
        <v>0</v>
      </c>
      <c r="D217" s="24">
        <f t="shared" si="6"/>
        <v>0</v>
      </c>
      <c r="E217" s="24">
        <f t="shared" si="6"/>
        <v>0</v>
      </c>
      <c r="F217" s="24">
        <f aca="true" t="shared" si="7" ref="F217:G220">IF(AND(F212&gt;=$W$205,E212&lt;$W$205),1,0)</f>
        <v>0</v>
      </c>
      <c r="G217" s="24">
        <f t="shared" si="7"/>
        <v>0</v>
      </c>
      <c r="H217" s="24">
        <f t="shared" si="6"/>
        <v>0</v>
      </c>
      <c r="I217" s="24">
        <f t="shared" si="6"/>
        <v>0</v>
      </c>
      <c r="J217" s="24">
        <f t="shared" si="6"/>
        <v>0</v>
      </c>
      <c r="K217" s="24">
        <f t="shared" si="6"/>
        <v>0</v>
      </c>
      <c r="L217" s="24">
        <f t="shared" si="6"/>
        <v>0</v>
      </c>
      <c r="M217" s="24">
        <f t="shared" si="6"/>
        <v>0</v>
      </c>
      <c r="N217" s="24">
        <f t="shared" si="6"/>
        <v>0</v>
      </c>
      <c r="O217" s="24">
        <f t="shared" si="6"/>
        <v>0</v>
      </c>
      <c r="P217" s="24">
        <f t="shared" si="6"/>
        <v>0</v>
      </c>
      <c r="Q217" s="24">
        <f t="shared" si="6"/>
        <v>0</v>
      </c>
      <c r="R217" s="24">
        <f t="shared" si="6"/>
        <v>0</v>
      </c>
      <c r="S217" s="24">
        <f t="shared" si="6"/>
        <v>0</v>
      </c>
      <c r="T217" s="24">
        <f t="shared" si="6"/>
        <v>1</v>
      </c>
      <c r="U217" s="24">
        <f t="shared" si="6"/>
        <v>0</v>
      </c>
    </row>
    <row r="218" spans="1:21" ht="1.5" customHeight="1">
      <c r="A218" s="24">
        <f>IF((A213&gt;=$W$205),1,0)</f>
        <v>0</v>
      </c>
      <c r="B218" s="24">
        <f>IF(AND(B213&gt;=$W$205,A213&lt;$W$205),1,0)</f>
        <v>0</v>
      </c>
      <c r="C218" s="24">
        <f aca="true" t="shared" si="8" ref="C218:Q218">IF(AND(C213&gt;=$W$205,B213&lt;$W$205),1,0)</f>
        <v>0</v>
      </c>
      <c r="D218" s="24">
        <f t="shared" si="8"/>
        <v>0</v>
      </c>
      <c r="E218" s="24">
        <f t="shared" si="8"/>
        <v>0</v>
      </c>
      <c r="F218" s="24">
        <f t="shared" si="7"/>
        <v>0</v>
      </c>
      <c r="G218" s="24">
        <f t="shared" si="7"/>
        <v>0</v>
      </c>
      <c r="H218" s="24">
        <f t="shared" si="8"/>
        <v>0</v>
      </c>
      <c r="I218" s="24">
        <f t="shared" si="8"/>
        <v>0</v>
      </c>
      <c r="J218" s="24">
        <f t="shared" si="8"/>
        <v>0</v>
      </c>
      <c r="K218" s="24">
        <f t="shared" si="8"/>
        <v>0</v>
      </c>
      <c r="L218" s="24">
        <f t="shared" si="8"/>
        <v>0</v>
      </c>
      <c r="M218" s="24">
        <f t="shared" si="8"/>
        <v>0</v>
      </c>
      <c r="N218" s="24">
        <f t="shared" si="8"/>
        <v>0</v>
      </c>
      <c r="O218" s="24">
        <f t="shared" si="8"/>
        <v>1</v>
      </c>
      <c r="P218" s="24">
        <f t="shared" si="8"/>
        <v>0</v>
      </c>
      <c r="Q218" s="24">
        <f t="shared" si="8"/>
        <v>0</v>
      </c>
      <c r="R218" s="24">
        <f t="shared" si="6"/>
        <v>0</v>
      </c>
      <c r="S218" s="24">
        <f t="shared" si="6"/>
        <v>0</v>
      </c>
      <c r="T218" s="24">
        <f t="shared" si="6"/>
        <v>0</v>
      </c>
      <c r="U218" s="24">
        <f t="shared" si="6"/>
        <v>0</v>
      </c>
    </row>
    <row r="219" spans="1:21" ht="1.5" customHeight="1">
      <c r="A219" s="24">
        <f>IF((A214&gt;=$W$205),1,0)</f>
        <v>0</v>
      </c>
      <c r="B219" s="24">
        <f>IF(AND(B214&gt;=$W$205,A214&lt;$W$205),1,0)</f>
        <v>0</v>
      </c>
      <c r="C219" s="24">
        <f t="shared" si="6"/>
        <v>0</v>
      </c>
      <c r="D219" s="24">
        <f t="shared" si="6"/>
        <v>0</v>
      </c>
      <c r="E219" s="24">
        <f t="shared" si="6"/>
        <v>0</v>
      </c>
      <c r="F219" s="24">
        <f t="shared" si="7"/>
        <v>0</v>
      </c>
      <c r="G219" s="24">
        <f t="shared" si="7"/>
        <v>0</v>
      </c>
      <c r="H219" s="24">
        <f t="shared" si="6"/>
        <v>0</v>
      </c>
      <c r="I219" s="24">
        <f t="shared" si="6"/>
        <v>0</v>
      </c>
      <c r="J219" s="24">
        <f t="shared" si="6"/>
        <v>0</v>
      </c>
      <c r="K219" s="24">
        <f t="shared" si="6"/>
        <v>0</v>
      </c>
      <c r="L219" s="24">
        <f t="shared" si="6"/>
        <v>1</v>
      </c>
      <c r="M219" s="24">
        <f t="shared" si="6"/>
        <v>0</v>
      </c>
      <c r="N219" s="24">
        <f t="shared" si="6"/>
        <v>0</v>
      </c>
      <c r="O219" s="24">
        <f t="shared" si="6"/>
        <v>0</v>
      </c>
      <c r="P219" s="24">
        <f t="shared" si="6"/>
        <v>0</v>
      </c>
      <c r="Q219" s="24">
        <f t="shared" si="6"/>
        <v>0</v>
      </c>
      <c r="R219" s="24">
        <f t="shared" si="6"/>
        <v>0</v>
      </c>
      <c r="S219" s="24">
        <f t="shared" si="6"/>
        <v>0</v>
      </c>
      <c r="T219" s="24">
        <f t="shared" si="6"/>
        <v>0</v>
      </c>
      <c r="U219" s="24">
        <f t="shared" si="6"/>
        <v>0</v>
      </c>
    </row>
    <row r="220" spans="1:21" ht="1.5" customHeight="1">
      <c r="A220" s="24">
        <f>IF((A215&gt;=$W$205),1,0)</f>
        <v>0</v>
      </c>
      <c r="B220" s="24">
        <f>IF(AND(B215&gt;=$W$205,A215&lt;$W$205),1,0)</f>
        <v>0</v>
      </c>
      <c r="C220" s="24">
        <f t="shared" si="6"/>
        <v>0</v>
      </c>
      <c r="D220" s="24">
        <f t="shared" si="6"/>
        <v>0</v>
      </c>
      <c r="E220" s="24">
        <f t="shared" si="6"/>
        <v>0</v>
      </c>
      <c r="F220" s="24">
        <f t="shared" si="7"/>
        <v>0</v>
      </c>
      <c r="G220" s="24">
        <f t="shared" si="7"/>
        <v>0</v>
      </c>
      <c r="H220" s="24">
        <f t="shared" si="6"/>
        <v>0</v>
      </c>
      <c r="I220" s="24">
        <f t="shared" si="6"/>
        <v>0</v>
      </c>
      <c r="J220" s="24">
        <f t="shared" si="6"/>
        <v>0</v>
      </c>
      <c r="K220" s="24">
        <f t="shared" si="6"/>
        <v>1</v>
      </c>
      <c r="L220" s="24">
        <f t="shared" si="6"/>
        <v>0</v>
      </c>
      <c r="M220" s="24">
        <f t="shared" si="6"/>
        <v>0</v>
      </c>
      <c r="N220" s="24">
        <f t="shared" si="6"/>
        <v>0</v>
      </c>
      <c r="O220" s="24">
        <f t="shared" si="6"/>
        <v>0</v>
      </c>
      <c r="P220" s="24">
        <f t="shared" si="6"/>
        <v>0</v>
      </c>
      <c r="Q220" s="24">
        <f t="shared" si="6"/>
        <v>0</v>
      </c>
      <c r="R220" s="24">
        <f t="shared" si="6"/>
        <v>0</v>
      </c>
      <c r="S220" s="24">
        <f t="shared" si="6"/>
        <v>0</v>
      </c>
      <c r="T220" s="24">
        <f t="shared" si="6"/>
        <v>0</v>
      </c>
      <c r="U220" s="24">
        <f t="shared" si="6"/>
        <v>0</v>
      </c>
    </row>
    <row r="221" spans="1:21" ht="1.5" customHeight="1">
      <c r="A221" s="24" t="s">
        <v>215</v>
      </c>
      <c r="B221" s="24"/>
      <c r="C221" s="24"/>
      <c r="D221" s="24"/>
      <c r="E221" s="24"/>
      <c r="F221" s="24"/>
      <c r="G221" s="24"/>
      <c r="H221" s="24"/>
      <c r="I221" s="24"/>
      <c r="J221" s="24"/>
      <c r="K221" s="24"/>
      <c r="L221" s="24"/>
      <c r="M221" s="24"/>
      <c r="N221" s="24"/>
      <c r="O221" s="24"/>
      <c r="P221" s="24"/>
      <c r="Q221" s="24"/>
      <c r="R221" s="24"/>
      <c r="S221" s="24"/>
      <c r="T221" s="24"/>
      <c r="U221" s="24"/>
    </row>
    <row r="222" spans="1:21" ht="1.5" customHeight="1">
      <c r="A222" s="24">
        <f aca="true" t="shared" si="9" ref="A222:U222">IF(A217=1,(A$205+0.05)-((A212-$W$205)/A201)*0.1,"")</f>
      </c>
      <c r="B222" s="24">
        <f t="shared" si="9"/>
      </c>
      <c r="C222" s="24">
        <f t="shared" si="9"/>
      </c>
      <c r="D222" s="24">
        <f t="shared" si="9"/>
      </c>
      <c r="E222" s="24">
        <f t="shared" si="9"/>
      </c>
      <c r="F222" s="24">
        <f>IF(F217=1,(F$205+0.05)-((F212-$W$205)/F201)*0.1,"")</f>
      </c>
      <c r="G222" s="24">
        <f t="shared" si="9"/>
      </c>
      <c r="H222" s="24">
        <f t="shared" si="9"/>
      </c>
      <c r="I222" s="24">
        <f t="shared" si="9"/>
      </c>
      <c r="J222" s="24">
        <f t="shared" si="9"/>
      </c>
      <c r="K222" s="24">
        <f t="shared" si="9"/>
      </c>
      <c r="L222" s="24">
        <f t="shared" si="9"/>
      </c>
      <c r="M222" s="24">
        <f t="shared" si="9"/>
      </c>
      <c r="N222" s="24">
        <f t="shared" si="9"/>
      </c>
      <c r="O222" s="24">
        <f t="shared" si="9"/>
      </c>
      <c r="P222" s="24">
        <f t="shared" si="9"/>
      </c>
      <c r="Q222" s="24">
        <f t="shared" si="9"/>
      </c>
      <c r="R222" s="24">
        <f t="shared" si="9"/>
      </c>
      <c r="S222" s="24">
        <f t="shared" si="9"/>
      </c>
      <c r="T222" s="24">
        <f t="shared" si="9"/>
        <v>0.8879631413116807</v>
      </c>
      <c r="U222" s="24">
        <f t="shared" si="9"/>
      </c>
    </row>
    <row r="223" spans="1:21" ht="1.5" customHeight="1">
      <c r="A223" s="24">
        <f>IF(A218=1,(A$205+0.05)-((A213-$W$205)/A202)*0.1,"")</f>
      </c>
      <c r="B223" s="24">
        <f aca="true" t="shared" si="10" ref="B223:U223">IF(B218=1,(B$205+0.05)-((B213-$W$205)/B202)*0.1,"")</f>
      </c>
      <c r="C223" s="24">
        <f t="shared" si="10"/>
      </c>
      <c r="D223" s="24">
        <f t="shared" si="10"/>
      </c>
      <c r="E223" s="24">
        <f t="shared" si="10"/>
      </c>
      <c r="F223" s="24">
        <f t="shared" si="10"/>
      </c>
      <c r="G223" s="24">
        <f t="shared" si="10"/>
      </c>
      <c r="H223" s="24">
        <f t="shared" si="10"/>
      </c>
      <c r="I223" s="24">
        <f t="shared" si="10"/>
      </c>
      <c r="J223" s="24">
        <f t="shared" si="10"/>
      </c>
      <c r="K223" s="24">
        <f t="shared" si="10"/>
      </c>
      <c r="L223" s="24">
        <f t="shared" si="10"/>
      </c>
      <c r="M223" s="24">
        <f t="shared" si="10"/>
      </c>
      <c r="N223" s="24">
        <f t="shared" si="10"/>
      </c>
      <c r="O223" s="24">
        <f t="shared" si="10"/>
        <v>0.43565095541075566</v>
      </c>
      <c r="P223" s="24">
        <f t="shared" si="10"/>
      </c>
      <c r="Q223" s="24">
        <f t="shared" si="10"/>
      </c>
      <c r="R223" s="24">
        <f t="shared" si="10"/>
      </c>
      <c r="S223" s="24">
        <f t="shared" si="10"/>
      </c>
      <c r="T223" s="24">
        <f t="shared" si="10"/>
      </c>
      <c r="U223" s="24">
        <f t="shared" si="10"/>
      </c>
    </row>
    <row r="224" spans="1:21" ht="1.5" customHeight="1">
      <c r="A224" s="24">
        <f>IF(A219=1,(A$205+0.05)-((A214-$W$205)/A203)*0.1,"")</f>
      </c>
      <c r="B224" s="24">
        <f aca="true" t="shared" si="11" ref="B224:U224">IF(B219=1,(B$205+0.05)-((B214-$W$205)/B203)*0.1,"")</f>
      </c>
      <c r="C224" s="24">
        <f t="shared" si="11"/>
      </c>
      <c r="D224" s="24">
        <f t="shared" si="11"/>
      </c>
      <c r="E224" s="24">
        <f t="shared" si="11"/>
      </c>
      <c r="F224" s="24">
        <f t="shared" si="11"/>
      </c>
      <c r="G224" s="24">
        <f t="shared" si="11"/>
      </c>
      <c r="H224" s="24">
        <f t="shared" si="11"/>
      </c>
      <c r="I224" s="24">
        <f t="shared" si="11"/>
      </c>
      <c r="J224" s="24">
        <f t="shared" si="11"/>
      </c>
      <c r="K224" s="24">
        <f t="shared" si="11"/>
      </c>
      <c r="L224" s="24">
        <f t="shared" si="11"/>
        <v>0.0764230796733007</v>
      </c>
      <c r="M224" s="24">
        <f t="shared" si="11"/>
      </c>
      <c r="N224" s="24">
        <f t="shared" si="11"/>
      </c>
      <c r="O224" s="24">
        <f t="shared" si="11"/>
      </c>
      <c r="P224" s="24">
        <f t="shared" si="11"/>
      </c>
      <c r="Q224" s="24">
        <f t="shared" si="11"/>
      </c>
      <c r="R224" s="24">
        <f t="shared" si="11"/>
      </c>
      <c r="S224" s="24">
        <f t="shared" si="11"/>
      </c>
      <c r="T224" s="24">
        <f t="shared" si="11"/>
      </c>
      <c r="U224" s="24">
        <f t="shared" si="11"/>
      </c>
    </row>
    <row r="225" spans="1:21" ht="1.5" customHeight="1">
      <c r="A225" s="24">
        <f>IF(A220=1,(A$205+0.05)-((A215-$W$205)/A204)*0.1,"")</f>
      </c>
      <c r="B225" s="24">
        <f aca="true" t="shared" si="12" ref="B225:U225">IF(B220=1,(B$205+0.05)-((B215-$W$205)/B204)*0.1,"")</f>
      </c>
      <c r="C225" s="24">
        <f t="shared" si="12"/>
      </c>
      <c r="D225" s="24">
        <f t="shared" si="12"/>
      </c>
      <c r="E225" s="24">
        <f t="shared" si="12"/>
      </c>
      <c r="F225" s="24">
        <f t="shared" si="12"/>
      </c>
      <c r="G225" s="24">
        <f t="shared" si="12"/>
      </c>
      <c r="H225" s="24">
        <f t="shared" si="12"/>
      </c>
      <c r="I225" s="24">
        <f t="shared" si="12"/>
      </c>
      <c r="J225" s="24">
        <f t="shared" si="12"/>
      </c>
      <c r="K225" s="24">
        <f t="shared" si="12"/>
        <v>-9.020562075079397E-17</v>
      </c>
      <c r="L225" s="24">
        <f t="shared" si="12"/>
      </c>
      <c r="M225" s="24">
        <f t="shared" si="12"/>
      </c>
      <c r="N225" s="24">
        <f t="shared" si="12"/>
      </c>
      <c r="O225" s="24">
        <f t="shared" si="12"/>
      </c>
      <c r="P225" s="24">
        <f t="shared" si="12"/>
      </c>
      <c r="Q225" s="24">
        <f t="shared" si="12"/>
      </c>
      <c r="R225" s="24">
        <f t="shared" si="12"/>
      </c>
      <c r="S225" s="24">
        <f t="shared" si="12"/>
      </c>
      <c r="T225" s="24">
        <f t="shared" si="12"/>
      </c>
      <c r="U225" s="24">
        <f t="shared" si="12"/>
      </c>
    </row>
    <row r="226" spans="1:2" ht="1.5" customHeight="1">
      <c r="A226" s="24"/>
      <c r="B226" s="24"/>
    </row>
    <row r="227" spans="1:2" ht="1.5" customHeight="1">
      <c r="A227" s="24"/>
      <c r="B227" s="24"/>
    </row>
    <row r="228" spans="1:2" ht="1.5" customHeight="1">
      <c r="A228" s="24"/>
      <c r="B228" s="24"/>
    </row>
    <row r="229" spans="1:2" ht="1.5" customHeight="1">
      <c r="A229" s="24"/>
      <c r="B229" s="24"/>
    </row>
    <row r="230" spans="1:2" ht="1.5" customHeight="1">
      <c r="A230" s="24"/>
      <c r="B230" s="24"/>
    </row>
    <row r="231" spans="1:2" ht="1.5" customHeight="1">
      <c r="A231" s="24"/>
      <c r="B231" s="24"/>
    </row>
    <row r="232" spans="1:2" ht="1.5" customHeight="1">
      <c r="A232" s="24"/>
      <c r="B232" s="24"/>
    </row>
    <row r="233" spans="1:2" ht="1.5" customHeight="1">
      <c r="A233" s="24"/>
      <c r="B233" s="24"/>
    </row>
    <row r="234" spans="1:2" ht="1.5" customHeight="1">
      <c r="A234" s="24"/>
      <c r="B234" s="24"/>
    </row>
    <row r="235" spans="1:2" ht="1.5" customHeight="1">
      <c r="A235" s="24"/>
      <c r="B235" s="24"/>
    </row>
    <row r="236" spans="1:2" ht="1.5" customHeight="1">
      <c r="A236" s="24"/>
      <c r="B236" s="24"/>
    </row>
    <row r="237" spans="1:2" ht="1.5" customHeight="1">
      <c r="A237" s="24"/>
      <c r="B237" s="24"/>
    </row>
    <row r="238" spans="1:2" ht="1.5" customHeight="1">
      <c r="A238" s="24"/>
      <c r="B238" s="24"/>
    </row>
    <row r="239" spans="1:2" ht="1.5" customHeight="1">
      <c r="A239" s="24"/>
      <c r="B239" s="24"/>
    </row>
    <row r="240" spans="1:2" ht="1.5" customHeight="1">
      <c r="A240" s="24"/>
      <c r="B240" s="24"/>
    </row>
    <row r="241" spans="1:2" ht="1.5" customHeight="1">
      <c r="A241" s="24"/>
      <c r="B241" s="24"/>
    </row>
    <row r="242" spans="1:2" ht="1.5" customHeight="1">
      <c r="A242" s="24"/>
      <c r="B242" s="24"/>
    </row>
    <row r="243" spans="1:2" ht="1.5" customHeight="1">
      <c r="A243" s="24"/>
      <c r="B243" s="24"/>
    </row>
    <row r="244" spans="1:2" ht="1.5" customHeight="1">
      <c r="A244" s="24"/>
      <c r="B244" s="24"/>
    </row>
    <row r="245" spans="1:2" ht="1.5" customHeight="1">
      <c r="A245" s="24"/>
      <c r="B245" s="24"/>
    </row>
    <row r="246" spans="1:2" ht="1.5" customHeight="1">
      <c r="A246" s="24"/>
      <c r="B246" s="24"/>
    </row>
    <row r="247" spans="1:2" ht="1.5" customHeight="1">
      <c r="A247" s="24"/>
      <c r="B247" s="24"/>
    </row>
    <row r="248" spans="1:2" ht="1.5" customHeight="1">
      <c r="A248" s="24"/>
      <c r="B248" s="24"/>
    </row>
    <row r="249" spans="1:2" ht="1.5" customHeight="1">
      <c r="A249" s="24" t="s">
        <v>66</v>
      </c>
      <c r="B249" s="24"/>
    </row>
    <row r="250" spans="1:6" ht="1.5" customHeight="1">
      <c r="A250" s="24"/>
      <c r="B250" s="24"/>
      <c r="F250" s="92"/>
    </row>
    <row r="251" spans="1:21" s="2" customFormat="1" ht="1.5" customHeight="1">
      <c r="A251" s="57">
        <v>0</v>
      </c>
      <c r="B251" s="57">
        <v>0</v>
      </c>
      <c r="C251" s="2">
        <v>0</v>
      </c>
      <c r="D251" s="2">
        <v>0</v>
      </c>
      <c r="E251" s="2">
        <v>0</v>
      </c>
      <c r="F251" s="2">
        <v>0</v>
      </c>
      <c r="G251" s="2">
        <v>0</v>
      </c>
      <c r="H251" s="2">
        <v>0</v>
      </c>
      <c r="I251" s="2">
        <v>0</v>
      </c>
      <c r="J251" s="2">
        <v>0</v>
      </c>
      <c r="K251" s="2">
        <v>0</v>
      </c>
      <c r="L251" s="2">
        <v>0</v>
      </c>
      <c r="M251" s="2">
        <v>0</v>
      </c>
      <c r="N251" s="2">
        <v>0</v>
      </c>
      <c r="O251" s="2">
        <v>0</v>
      </c>
      <c r="P251" s="2">
        <v>0</v>
      </c>
      <c r="Q251" s="2">
        <v>0</v>
      </c>
      <c r="R251" s="2">
        <v>0</v>
      </c>
      <c r="S251" s="2">
        <v>0.22222222222222213</v>
      </c>
      <c r="T251" s="2">
        <v>0.5555555555555551</v>
      </c>
      <c r="U251" s="2">
        <v>0.2222222222222228</v>
      </c>
    </row>
    <row r="252" spans="1:21" s="2" customFormat="1" ht="1.5" customHeight="1">
      <c r="A252" s="57">
        <v>0</v>
      </c>
      <c r="B252" s="57">
        <v>0</v>
      </c>
      <c r="C252" s="2">
        <v>0</v>
      </c>
      <c r="D252" s="2">
        <v>0</v>
      </c>
      <c r="E252" s="2">
        <v>0</v>
      </c>
      <c r="F252" s="2">
        <v>0</v>
      </c>
      <c r="G252" s="2">
        <v>0</v>
      </c>
      <c r="H252" s="2">
        <v>0</v>
      </c>
      <c r="I252" s="2">
        <v>0</v>
      </c>
      <c r="J252" s="2">
        <v>0</v>
      </c>
      <c r="K252" s="2">
        <v>0</v>
      </c>
      <c r="L252" s="2">
        <v>0</v>
      </c>
      <c r="M252" s="2">
        <v>0</v>
      </c>
      <c r="N252" s="2">
        <v>0</v>
      </c>
      <c r="O252" s="2">
        <v>0</v>
      </c>
      <c r="P252" s="2">
        <v>0.000336867121656024</v>
      </c>
      <c r="Q252" s="2">
        <v>0.04073805935183767</v>
      </c>
      <c r="R252" s="2">
        <v>0.3421804772307742</v>
      </c>
      <c r="S252" s="2">
        <v>0.4954580659000718</v>
      </c>
      <c r="T252" s="2">
        <v>0.1179058634919026</v>
      </c>
      <c r="U252" s="2">
        <v>0.0033806669037579184</v>
      </c>
    </row>
    <row r="253" spans="1:21" s="2" customFormat="1" ht="1.5" customHeight="1">
      <c r="A253" s="57">
        <v>0</v>
      </c>
      <c r="B253" s="57">
        <v>0</v>
      </c>
      <c r="C253" s="2">
        <v>0</v>
      </c>
      <c r="D253" s="2">
        <v>0</v>
      </c>
      <c r="E253" s="2">
        <v>0</v>
      </c>
      <c r="F253" s="2">
        <v>0</v>
      </c>
      <c r="G253" s="2">
        <v>0</v>
      </c>
      <c r="H253" s="2">
        <v>0</v>
      </c>
      <c r="I253" s="2">
        <v>0</v>
      </c>
      <c r="J253" s="2">
        <v>0</v>
      </c>
      <c r="K253" s="2">
        <v>0.006172839506172945</v>
      </c>
      <c r="L253" s="2">
        <v>0.2135802469135803</v>
      </c>
      <c r="M253" s="2">
        <v>0.6080246913580242</v>
      </c>
      <c r="N253" s="2">
        <v>0.1685185185185186</v>
      </c>
      <c r="O253" s="2">
        <v>0.003703703703703713</v>
      </c>
      <c r="P253" s="2">
        <v>0</v>
      </c>
      <c r="Q253" s="2">
        <v>0</v>
      </c>
      <c r="R253" s="2">
        <v>0</v>
      </c>
      <c r="S253" s="2">
        <v>0</v>
      </c>
      <c r="T253" s="2">
        <v>0</v>
      </c>
      <c r="U253" s="2">
        <v>0</v>
      </c>
    </row>
    <row r="254" spans="1:21" s="2" customFormat="1" ht="1.5" customHeight="1">
      <c r="A254" s="57">
        <v>0</v>
      </c>
      <c r="B254" s="57">
        <v>0</v>
      </c>
      <c r="C254" s="2">
        <v>0</v>
      </c>
      <c r="D254" s="2">
        <v>0</v>
      </c>
      <c r="E254" s="2">
        <v>0</v>
      </c>
      <c r="F254" s="2">
        <v>0</v>
      </c>
      <c r="G254" s="2">
        <v>9.483649172720976E-06</v>
      </c>
      <c r="H254" s="2">
        <v>0.0014401598672289116</v>
      </c>
      <c r="I254" s="2">
        <v>0.02258327829429796</v>
      </c>
      <c r="J254" s="2">
        <v>0.10426764212772476</v>
      </c>
      <c r="K254" s="2">
        <v>0.22641670477061462</v>
      </c>
      <c r="L254" s="2">
        <v>0.2892140425748102</v>
      </c>
      <c r="M254" s="2">
        <v>0.22694033768565075</v>
      </c>
      <c r="N254" s="2">
        <v>0.10674016494775533</v>
      </c>
      <c r="O254" s="2">
        <v>0.021463530288404545</v>
      </c>
      <c r="P254" s="2">
        <v>0.0009246557943402882</v>
      </c>
      <c r="Q254" s="2">
        <v>0</v>
      </c>
      <c r="R254" s="2">
        <v>0</v>
      </c>
      <c r="S254" s="2">
        <v>0</v>
      </c>
      <c r="T254" s="2">
        <v>0</v>
      </c>
      <c r="U254" s="2">
        <v>0</v>
      </c>
    </row>
    <row r="255" spans="1:21" s="2" customFormat="1" ht="1.5" customHeight="1">
      <c r="A255" s="57">
        <v>0</v>
      </c>
      <c r="B255" s="57">
        <v>0</v>
      </c>
      <c r="C255" s="2">
        <v>0</v>
      </c>
      <c r="D255" s="2">
        <v>0</v>
      </c>
      <c r="E255" s="2">
        <v>0</v>
      </c>
      <c r="F255" s="2">
        <v>0</v>
      </c>
      <c r="G255" s="2">
        <v>0</v>
      </c>
      <c r="H255" s="2">
        <v>0</v>
      </c>
      <c r="I255" s="2">
        <v>0</v>
      </c>
      <c r="J255" s="2">
        <v>0</v>
      </c>
      <c r="K255" s="2">
        <v>1.1071993631551671E-128</v>
      </c>
      <c r="L255" s="2">
        <v>1.315503639750358E-36</v>
      </c>
      <c r="M255" s="2">
        <v>0.0013596052995534826</v>
      </c>
      <c r="N255" s="2">
        <v>0.06370566064718405</v>
      </c>
      <c r="O255" s="2">
        <v>0.377938378860495</v>
      </c>
      <c r="P255" s="2">
        <v>0.45070868638287154</v>
      </c>
      <c r="Q255" s="2">
        <v>0.10314682156626945</v>
      </c>
      <c r="R255" s="2">
        <v>0.003140847243626271</v>
      </c>
      <c r="S255" s="2">
        <v>0</v>
      </c>
      <c r="T255" s="2">
        <v>0</v>
      </c>
      <c r="U255" s="2">
        <v>0</v>
      </c>
    </row>
    <row r="256" spans="1:21" s="2" customFormat="1" ht="1.5" customHeight="1">
      <c r="A256" s="57">
        <v>0</v>
      </c>
      <c r="B256" s="57">
        <v>0</v>
      </c>
      <c r="C256" s="2">
        <v>0</v>
      </c>
      <c r="D256" s="2">
        <v>0</v>
      </c>
      <c r="E256" s="2">
        <v>0</v>
      </c>
      <c r="F256" s="2">
        <v>0</v>
      </c>
      <c r="G256" s="2">
        <v>0</v>
      </c>
      <c r="H256" s="2">
        <v>0</v>
      </c>
      <c r="I256" s="2">
        <v>0</v>
      </c>
      <c r="J256" s="2">
        <v>0</v>
      </c>
      <c r="K256" s="2">
        <v>0</v>
      </c>
      <c r="L256" s="2">
        <v>0</v>
      </c>
      <c r="M256" s="2">
        <v>5.435965453513868E-37</v>
      </c>
      <c r="N256" s="2">
        <v>0.0004233771952107594</v>
      </c>
      <c r="O256" s="2">
        <v>0.020567664143338646</v>
      </c>
      <c r="P256" s="2">
        <v>0.22991075208724965</v>
      </c>
      <c r="Q256" s="2">
        <v>0.49082964995173456</v>
      </c>
      <c r="R256" s="2">
        <v>0.24422090128537305</v>
      </c>
      <c r="S256" s="2">
        <v>0.014047655337092981</v>
      </c>
      <c r="T256" s="2">
        <v>0</v>
      </c>
      <c r="U256" s="2">
        <v>0</v>
      </c>
    </row>
    <row r="257" spans="1:21" s="2" customFormat="1" ht="1.5" customHeight="1">
      <c r="A257" s="57">
        <v>0</v>
      </c>
      <c r="B257" s="57">
        <v>0</v>
      </c>
      <c r="C257" s="2">
        <v>0</v>
      </c>
      <c r="D257" s="2">
        <v>0</v>
      </c>
      <c r="E257" s="2">
        <v>0</v>
      </c>
      <c r="F257" s="2">
        <v>0</v>
      </c>
      <c r="G257" s="2">
        <v>0.0034435926152725574</v>
      </c>
      <c r="H257" s="2">
        <v>0.02795165831244372</v>
      </c>
      <c r="I257" s="2">
        <v>0.09552516733771739</v>
      </c>
      <c r="J257" s="2">
        <v>0.19483010365082004</v>
      </c>
      <c r="K257" s="2">
        <v>0.2702647070102665</v>
      </c>
      <c r="L257" s="2">
        <v>0.24287793659062312</v>
      </c>
      <c r="M257" s="2">
        <v>0.12667496663489705</v>
      </c>
      <c r="N257" s="2">
        <v>0.034381089036792746</v>
      </c>
      <c r="O257" s="2">
        <v>0.003907291341869248</v>
      </c>
      <c r="P257" s="2">
        <v>0.00014348746929758734</v>
      </c>
      <c r="Q257" s="2">
        <v>0</v>
      </c>
      <c r="R257" s="2">
        <v>0</v>
      </c>
      <c r="S257" s="2">
        <v>0</v>
      </c>
      <c r="T257" s="2">
        <v>0</v>
      </c>
      <c r="U257" s="2">
        <v>0</v>
      </c>
    </row>
    <row r="258" spans="1:21" s="2" customFormat="1" ht="1.5" customHeight="1">
      <c r="A258" s="57">
        <v>0</v>
      </c>
      <c r="B258" s="57">
        <v>0</v>
      </c>
      <c r="C258" s="2">
        <v>0</v>
      </c>
      <c r="D258" s="2">
        <v>0</v>
      </c>
      <c r="E258" s="2">
        <v>0</v>
      </c>
      <c r="F258" s="2">
        <v>0</v>
      </c>
      <c r="G258" s="2">
        <v>0</v>
      </c>
      <c r="H258" s="2">
        <v>0.005633788625552091</v>
      </c>
      <c r="I258" s="2">
        <v>0.08228188007761787</v>
      </c>
      <c r="J258" s="2">
        <v>0.2109117963414417</v>
      </c>
      <c r="K258" s="2">
        <v>0.36462201977657105</v>
      </c>
      <c r="L258" s="2">
        <v>0.2895563905470354</v>
      </c>
      <c r="M258" s="2">
        <v>0.04699412463178183</v>
      </c>
      <c r="N258" s="2">
        <v>0</v>
      </c>
      <c r="O258" s="2">
        <v>0</v>
      </c>
      <c r="P258" s="2">
        <v>0</v>
      </c>
      <c r="Q258" s="2">
        <v>0</v>
      </c>
      <c r="R258" s="2">
        <v>0</v>
      </c>
      <c r="S258" s="2">
        <v>0</v>
      </c>
      <c r="T258" s="2">
        <v>0</v>
      </c>
      <c r="U258" s="2">
        <v>0</v>
      </c>
    </row>
    <row r="259" spans="1:21" s="2" customFormat="1" ht="1.5" customHeight="1">
      <c r="A259" s="57">
        <v>0</v>
      </c>
      <c r="B259" s="57">
        <v>0</v>
      </c>
      <c r="C259" s="2">
        <v>0</v>
      </c>
      <c r="D259" s="2">
        <v>0</v>
      </c>
      <c r="E259" s="2">
        <v>0</v>
      </c>
      <c r="F259" s="2">
        <v>0</v>
      </c>
      <c r="G259" s="2">
        <v>0.16666666666666669</v>
      </c>
      <c r="H259" s="2">
        <v>0.16666666666666669</v>
      </c>
      <c r="I259" s="2">
        <v>0.16666666666666669</v>
      </c>
      <c r="J259" s="2">
        <v>0.16666666666666669</v>
      </c>
      <c r="K259" s="2">
        <v>0.16666666666666669</v>
      </c>
      <c r="L259" s="2">
        <v>0.16666666666666669</v>
      </c>
      <c r="M259" s="2">
        <v>0</v>
      </c>
      <c r="N259" s="2">
        <v>0</v>
      </c>
      <c r="O259" s="2">
        <v>0</v>
      </c>
      <c r="P259" s="2">
        <v>0</v>
      </c>
      <c r="Q259" s="2">
        <v>0</v>
      </c>
      <c r="R259" s="2">
        <v>0</v>
      </c>
      <c r="S259" s="2">
        <v>0</v>
      </c>
      <c r="T259" s="2">
        <v>0</v>
      </c>
      <c r="U259" s="2">
        <v>0</v>
      </c>
    </row>
    <row r="260" spans="1:21" s="2" customFormat="1" ht="1.5" customHeight="1">
      <c r="A260" s="17">
        <v>0</v>
      </c>
      <c r="B260" s="17">
        <v>0</v>
      </c>
      <c r="C260" s="17">
        <v>0</v>
      </c>
      <c r="D260" s="17">
        <v>0</v>
      </c>
      <c r="E260" s="17">
        <v>0</v>
      </c>
      <c r="F260" s="17">
        <v>0</v>
      </c>
      <c r="G260" s="17">
        <v>0.3333333333333333</v>
      </c>
      <c r="H260" s="17">
        <v>0.3333333333333333</v>
      </c>
      <c r="I260" s="17">
        <v>0.3333333333333333</v>
      </c>
      <c r="J260" s="17">
        <v>0</v>
      </c>
      <c r="K260" s="17">
        <v>0</v>
      </c>
      <c r="L260" s="17">
        <v>0</v>
      </c>
      <c r="M260" s="17">
        <v>0</v>
      </c>
      <c r="N260" s="17">
        <v>0</v>
      </c>
      <c r="O260" s="17">
        <v>0</v>
      </c>
      <c r="P260" s="17">
        <v>0</v>
      </c>
      <c r="Q260" s="17">
        <v>0</v>
      </c>
      <c r="R260" s="17">
        <v>0</v>
      </c>
      <c r="S260" s="17">
        <v>0</v>
      </c>
      <c r="T260" s="17">
        <v>0</v>
      </c>
      <c r="U260" s="17">
        <v>0</v>
      </c>
    </row>
    <row r="261" spans="1:21" ht="1.5" customHeight="1">
      <c r="A261" s="24">
        <f aca="true" t="shared" si="13" ref="A261:A270">A251</f>
        <v>0</v>
      </c>
      <c r="B261" s="24">
        <f>A261+B251</f>
        <v>0</v>
      </c>
      <c r="C261">
        <f aca="true" t="shared" si="14" ref="C261:U261">B261+C251</f>
        <v>0</v>
      </c>
      <c r="D261">
        <f t="shared" si="14"/>
        <v>0</v>
      </c>
      <c r="E261">
        <f t="shared" si="14"/>
        <v>0</v>
      </c>
      <c r="F261">
        <f aca="true" t="shared" si="15" ref="F261:G270">E261+F251</f>
        <v>0</v>
      </c>
      <c r="G261">
        <f t="shared" si="15"/>
        <v>0</v>
      </c>
      <c r="H261">
        <f t="shared" si="14"/>
        <v>0</v>
      </c>
      <c r="I261">
        <f t="shared" si="14"/>
        <v>0</v>
      </c>
      <c r="J261">
        <f t="shared" si="14"/>
        <v>0</v>
      </c>
      <c r="K261">
        <f t="shared" si="14"/>
        <v>0</v>
      </c>
      <c r="L261">
        <f t="shared" si="14"/>
        <v>0</v>
      </c>
      <c r="M261">
        <f t="shared" si="14"/>
        <v>0</v>
      </c>
      <c r="N261">
        <f t="shared" si="14"/>
        <v>0</v>
      </c>
      <c r="O261">
        <f t="shared" si="14"/>
        <v>0</v>
      </c>
      <c r="P261">
        <f t="shared" si="14"/>
        <v>0</v>
      </c>
      <c r="Q261">
        <f t="shared" si="14"/>
        <v>0</v>
      </c>
      <c r="R261">
        <f t="shared" si="14"/>
        <v>0</v>
      </c>
      <c r="S261">
        <f t="shared" si="14"/>
        <v>0.22222222222222213</v>
      </c>
      <c r="T261">
        <f t="shared" si="14"/>
        <v>0.7777777777777772</v>
      </c>
      <c r="U261">
        <f t="shared" si="14"/>
        <v>1</v>
      </c>
    </row>
    <row r="262" spans="1:21" ht="1.5" customHeight="1">
      <c r="A262" s="24">
        <f t="shared" si="13"/>
        <v>0</v>
      </c>
      <c r="B262" s="24">
        <f aca="true" t="shared" si="16" ref="B262:U266">A262+B252</f>
        <v>0</v>
      </c>
      <c r="C262">
        <f t="shared" si="16"/>
        <v>0</v>
      </c>
      <c r="D262">
        <f t="shared" si="16"/>
        <v>0</v>
      </c>
      <c r="E262">
        <f t="shared" si="16"/>
        <v>0</v>
      </c>
      <c r="F262">
        <f t="shared" si="15"/>
        <v>0</v>
      </c>
      <c r="G262">
        <f t="shared" si="15"/>
        <v>0</v>
      </c>
      <c r="H262">
        <f t="shared" si="16"/>
        <v>0</v>
      </c>
      <c r="I262">
        <f t="shared" si="16"/>
        <v>0</v>
      </c>
      <c r="J262">
        <f t="shared" si="16"/>
        <v>0</v>
      </c>
      <c r="K262">
        <f t="shared" si="16"/>
        <v>0</v>
      </c>
      <c r="L262">
        <f t="shared" si="16"/>
        <v>0</v>
      </c>
      <c r="M262">
        <f t="shared" si="16"/>
        <v>0</v>
      </c>
      <c r="N262">
        <f t="shared" si="16"/>
        <v>0</v>
      </c>
      <c r="O262">
        <f t="shared" si="16"/>
        <v>0</v>
      </c>
      <c r="P262">
        <f t="shared" si="16"/>
        <v>0.000336867121656024</v>
      </c>
      <c r="Q262">
        <f t="shared" si="16"/>
        <v>0.04107492647349369</v>
      </c>
      <c r="R262">
        <f t="shared" si="16"/>
        <v>0.3832554037042679</v>
      </c>
      <c r="S262">
        <f t="shared" si="16"/>
        <v>0.8787134696043397</v>
      </c>
      <c r="T262">
        <f t="shared" si="16"/>
        <v>0.9966193330962423</v>
      </c>
      <c r="U262">
        <f t="shared" si="16"/>
        <v>1.0000000000000002</v>
      </c>
    </row>
    <row r="263" spans="1:21" ht="1.5" customHeight="1">
      <c r="A263" s="24">
        <f t="shared" si="13"/>
        <v>0</v>
      </c>
      <c r="B263" s="24">
        <f aca="true" t="shared" si="17" ref="B263:Q263">A263+B253</f>
        <v>0</v>
      </c>
      <c r="C263">
        <f t="shared" si="17"/>
        <v>0</v>
      </c>
      <c r="D263">
        <f t="shared" si="17"/>
        <v>0</v>
      </c>
      <c r="E263">
        <f t="shared" si="17"/>
        <v>0</v>
      </c>
      <c r="F263">
        <f t="shared" si="15"/>
        <v>0</v>
      </c>
      <c r="G263">
        <f t="shared" si="15"/>
        <v>0</v>
      </c>
      <c r="H263">
        <f t="shared" si="17"/>
        <v>0</v>
      </c>
      <c r="I263">
        <f t="shared" si="17"/>
        <v>0</v>
      </c>
      <c r="J263">
        <f t="shared" si="17"/>
        <v>0</v>
      </c>
      <c r="K263">
        <f t="shared" si="17"/>
        <v>0.006172839506172945</v>
      </c>
      <c r="L263">
        <f t="shared" si="17"/>
        <v>0.21975308641975325</v>
      </c>
      <c r="M263">
        <f t="shared" si="17"/>
        <v>0.8277777777777774</v>
      </c>
      <c r="N263">
        <f t="shared" si="17"/>
        <v>0.996296296296296</v>
      </c>
      <c r="O263">
        <f t="shared" si="17"/>
        <v>0.9999999999999998</v>
      </c>
      <c r="P263">
        <f t="shared" si="17"/>
        <v>0.9999999999999998</v>
      </c>
      <c r="Q263">
        <f t="shared" si="17"/>
        <v>0.9999999999999998</v>
      </c>
      <c r="R263">
        <f t="shared" si="16"/>
        <v>0.9999999999999998</v>
      </c>
      <c r="S263">
        <f t="shared" si="16"/>
        <v>0.9999999999999998</v>
      </c>
      <c r="T263">
        <f t="shared" si="16"/>
        <v>0.9999999999999998</v>
      </c>
      <c r="U263">
        <f t="shared" si="16"/>
        <v>0.9999999999999998</v>
      </c>
    </row>
    <row r="264" spans="1:21" ht="1.5" customHeight="1">
      <c r="A264" s="24">
        <f t="shared" si="13"/>
        <v>0</v>
      </c>
      <c r="B264" s="24">
        <f aca="true" t="shared" si="18" ref="B264:B270">A264+B254</f>
        <v>0</v>
      </c>
      <c r="C264">
        <f t="shared" si="16"/>
        <v>0</v>
      </c>
      <c r="D264">
        <f t="shared" si="16"/>
        <v>0</v>
      </c>
      <c r="E264">
        <f t="shared" si="16"/>
        <v>0</v>
      </c>
      <c r="F264">
        <f t="shared" si="15"/>
        <v>0</v>
      </c>
      <c r="G264">
        <f t="shared" si="15"/>
        <v>9.483649172720976E-06</v>
      </c>
      <c r="H264">
        <f t="shared" si="16"/>
        <v>0.0014496435164016326</v>
      </c>
      <c r="I264">
        <f t="shared" si="16"/>
        <v>0.024032921810699593</v>
      </c>
      <c r="J264">
        <f t="shared" si="16"/>
        <v>0.12830056393842434</v>
      </c>
      <c r="K264">
        <f t="shared" si="16"/>
        <v>0.35471726870903897</v>
      </c>
      <c r="L264">
        <f t="shared" si="16"/>
        <v>0.6439313112838492</v>
      </c>
      <c r="M264">
        <f t="shared" si="16"/>
        <v>0.8708716489694999</v>
      </c>
      <c r="N264">
        <f t="shared" si="16"/>
        <v>0.9776118139172552</v>
      </c>
      <c r="O264">
        <f t="shared" si="16"/>
        <v>0.9990753442056597</v>
      </c>
      <c r="P264">
        <f t="shared" si="16"/>
        <v>1</v>
      </c>
      <c r="Q264">
        <f t="shared" si="16"/>
        <v>1</v>
      </c>
      <c r="R264">
        <f t="shared" si="16"/>
        <v>1</v>
      </c>
      <c r="S264">
        <f t="shared" si="16"/>
        <v>1</v>
      </c>
      <c r="T264">
        <f t="shared" si="16"/>
        <v>1</v>
      </c>
      <c r="U264">
        <f t="shared" si="16"/>
        <v>1</v>
      </c>
    </row>
    <row r="265" spans="1:21" ht="1.5" customHeight="1">
      <c r="A265" s="24">
        <f t="shared" si="13"/>
        <v>0</v>
      </c>
      <c r="B265" s="24">
        <f t="shared" si="18"/>
        <v>0</v>
      </c>
      <c r="C265">
        <f t="shared" si="16"/>
        <v>0</v>
      </c>
      <c r="D265">
        <f t="shared" si="16"/>
        <v>0</v>
      </c>
      <c r="E265">
        <f t="shared" si="16"/>
        <v>0</v>
      </c>
      <c r="F265">
        <f t="shared" si="15"/>
        <v>0</v>
      </c>
      <c r="G265">
        <f t="shared" si="15"/>
        <v>0</v>
      </c>
      <c r="H265">
        <f t="shared" si="16"/>
        <v>0</v>
      </c>
      <c r="I265">
        <f t="shared" si="16"/>
        <v>0</v>
      </c>
      <c r="J265">
        <f t="shared" si="16"/>
        <v>0</v>
      </c>
      <c r="K265">
        <f t="shared" si="16"/>
        <v>1.1071993631551671E-128</v>
      </c>
      <c r="L265">
        <f t="shared" si="16"/>
        <v>1.315503639750358E-36</v>
      </c>
      <c r="M265">
        <f t="shared" si="16"/>
        <v>0.0013596052995534826</v>
      </c>
      <c r="N265">
        <f t="shared" si="16"/>
        <v>0.06506526594673753</v>
      </c>
      <c r="O265">
        <f t="shared" si="16"/>
        <v>0.44300364480723253</v>
      </c>
      <c r="P265">
        <f t="shared" si="16"/>
        <v>0.8937123311901041</v>
      </c>
      <c r="Q265">
        <f t="shared" si="16"/>
        <v>0.9968591527563735</v>
      </c>
      <c r="R265">
        <f t="shared" si="16"/>
        <v>0.9999999999999998</v>
      </c>
      <c r="S265">
        <f t="shared" si="16"/>
        <v>0.9999999999999998</v>
      </c>
      <c r="T265">
        <f t="shared" si="16"/>
        <v>0.9999999999999998</v>
      </c>
      <c r="U265">
        <f t="shared" si="16"/>
        <v>0.9999999999999998</v>
      </c>
    </row>
    <row r="266" spans="1:21" ht="1.5" customHeight="1">
      <c r="A266" s="24">
        <f t="shared" si="13"/>
        <v>0</v>
      </c>
      <c r="B266" s="24">
        <f t="shared" si="18"/>
        <v>0</v>
      </c>
      <c r="C266">
        <f t="shared" si="16"/>
        <v>0</v>
      </c>
      <c r="D266">
        <f t="shared" si="16"/>
        <v>0</v>
      </c>
      <c r="E266">
        <f t="shared" si="16"/>
        <v>0</v>
      </c>
      <c r="F266">
        <f t="shared" si="15"/>
        <v>0</v>
      </c>
      <c r="G266">
        <f t="shared" si="15"/>
        <v>0</v>
      </c>
      <c r="H266">
        <f t="shared" si="16"/>
        <v>0</v>
      </c>
      <c r="I266">
        <f t="shared" si="16"/>
        <v>0</v>
      </c>
      <c r="J266">
        <f t="shared" si="16"/>
        <v>0</v>
      </c>
      <c r="K266">
        <f t="shared" si="16"/>
        <v>0</v>
      </c>
      <c r="L266">
        <f t="shared" si="16"/>
        <v>0</v>
      </c>
      <c r="M266">
        <f t="shared" si="16"/>
        <v>5.435965453513868E-37</v>
      </c>
      <c r="N266">
        <f t="shared" si="16"/>
        <v>0.0004233771952107594</v>
      </c>
      <c r="O266">
        <f t="shared" si="16"/>
        <v>0.020991041338549406</v>
      </c>
      <c r="P266">
        <f t="shared" si="16"/>
        <v>0.25090179342579905</v>
      </c>
      <c r="Q266">
        <f t="shared" si="16"/>
        <v>0.7417314433775336</v>
      </c>
      <c r="R266">
        <f t="shared" si="16"/>
        <v>0.9859523446629066</v>
      </c>
      <c r="S266">
        <f t="shared" si="16"/>
        <v>0.9999999999999996</v>
      </c>
      <c r="T266">
        <f t="shared" si="16"/>
        <v>0.9999999999999996</v>
      </c>
      <c r="U266">
        <f t="shared" si="16"/>
        <v>0.9999999999999996</v>
      </c>
    </row>
    <row r="267" spans="1:21" ht="1.5" customHeight="1">
      <c r="A267" s="24">
        <f t="shared" si="13"/>
        <v>0</v>
      </c>
      <c r="B267" s="24">
        <f t="shared" si="18"/>
        <v>0</v>
      </c>
      <c r="C267" s="24">
        <f aca="true" t="shared" si="19" ref="C267:U270">B267+C257</f>
        <v>0</v>
      </c>
      <c r="D267" s="24">
        <f t="shared" si="19"/>
        <v>0</v>
      </c>
      <c r="E267" s="24">
        <f t="shared" si="19"/>
        <v>0</v>
      </c>
      <c r="F267" s="24">
        <f t="shared" si="15"/>
        <v>0</v>
      </c>
      <c r="G267" s="24">
        <f t="shared" si="15"/>
        <v>0.0034435926152725574</v>
      </c>
      <c r="H267" s="24">
        <f t="shared" si="19"/>
        <v>0.03139525092771628</v>
      </c>
      <c r="I267" s="24">
        <f t="shared" si="19"/>
        <v>0.12692041826543365</v>
      </c>
      <c r="J267" s="24">
        <f t="shared" si="19"/>
        <v>0.3217505219162537</v>
      </c>
      <c r="K267" s="24">
        <f t="shared" si="19"/>
        <v>0.5920152289265201</v>
      </c>
      <c r="L267" s="24">
        <f t="shared" si="19"/>
        <v>0.8348931655171432</v>
      </c>
      <c r="M267" s="24">
        <f t="shared" si="19"/>
        <v>0.9615681321520403</v>
      </c>
      <c r="N267" s="24">
        <f t="shared" si="19"/>
        <v>0.995949221188833</v>
      </c>
      <c r="O267" s="24">
        <f t="shared" si="19"/>
        <v>0.9998565125307023</v>
      </c>
      <c r="P267" s="24">
        <f t="shared" si="19"/>
        <v>0.9999999999999999</v>
      </c>
      <c r="Q267" s="24">
        <f t="shared" si="19"/>
        <v>0.9999999999999999</v>
      </c>
      <c r="R267" s="24">
        <f t="shared" si="19"/>
        <v>0.9999999999999999</v>
      </c>
      <c r="S267" s="24">
        <f t="shared" si="19"/>
        <v>0.9999999999999999</v>
      </c>
      <c r="T267" s="24">
        <f t="shared" si="19"/>
        <v>0.9999999999999999</v>
      </c>
      <c r="U267" s="24">
        <f t="shared" si="19"/>
        <v>0.9999999999999999</v>
      </c>
    </row>
    <row r="268" spans="1:21" ht="1.5" customHeight="1">
      <c r="A268" s="24">
        <f t="shared" si="13"/>
        <v>0</v>
      </c>
      <c r="B268" s="24">
        <f t="shared" si="18"/>
        <v>0</v>
      </c>
      <c r="C268" s="24">
        <f>B268+C258</f>
        <v>0</v>
      </c>
      <c r="D268" s="24">
        <f>C268+D258</f>
        <v>0</v>
      </c>
      <c r="E268" s="24">
        <f>D268+E258</f>
        <v>0</v>
      </c>
      <c r="F268" s="24">
        <f t="shared" si="15"/>
        <v>0</v>
      </c>
      <c r="G268" s="24">
        <f t="shared" si="15"/>
        <v>0</v>
      </c>
      <c r="H268" s="24">
        <f aca="true" t="shared" si="20" ref="H268:Q268">G268+H258</f>
        <v>0.005633788625552091</v>
      </c>
      <c r="I268" s="24">
        <f t="shared" si="20"/>
        <v>0.08791566870316997</v>
      </c>
      <c r="J268" s="24">
        <f t="shared" si="20"/>
        <v>0.29882746504461166</v>
      </c>
      <c r="K268" s="24">
        <f t="shared" si="20"/>
        <v>0.6634494848211827</v>
      </c>
      <c r="L268" s="24">
        <f t="shared" si="20"/>
        <v>0.9530058753682181</v>
      </c>
      <c r="M268" s="24">
        <f t="shared" si="20"/>
        <v>1</v>
      </c>
      <c r="N268" s="24">
        <f t="shared" si="20"/>
        <v>1</v>
      </c>
      <c r="O268" s="24">
        <f t="shared" si="20"/>
        <v>1</v>
      </c>
      <c r="P268" s="24">
        <f t="shared" si="20"/>
        <v>1</v>
      </c>
      <c r="Q268" s="24">
        <f t="shared" si="20"/>
        <v>1</v>
      </c>
      <c r="R268" s="24">
        <f t="shared" si="19"/>
        <v>1</v>
      </c>
      <c r="S268" s="24">
        <f t="shared" si="19"/>
        <v>1</v>
      </c>
      <c r="T268" s="24">
        <f t="shared" si="19"/>
        <v>1</v>
      </c>
      <c r="U268" s="24">
        <f t="shared" si="19"/>
        <v>1</v>
      </c>
    </row>
    <row r="269" spans="1:21" ht="1.5" customHeight="1">
      <c r="A269" s="24">
        <f t="shared" si="13"/>
        <v>0</v>
      </c>
      <c r="B269" s="24">
        <f t="shared" si="18"/>
        <v>0</v>
      </c>
      <c r="C269" s="24">
        <f t="shared" si="19"/>
        <v>0</v>
      </c>
      <c r="D269" s="24">
        <f t="shared" si="19"/>
        <v>0</v>
      </c>
      <c r="E269" s="24">
        <f t="shared" si="19"/>
        <v>0</v>
      </c>
      <c r="F269" s="24">
        <f t="shared" si="15"/>
        <v>0</v>
      </c>
      <c r="G269" s="24">
        <f t="shared" si="15"/>
        <v>0.16666666666666669</v>
      </c>
      <c r="H269" s="24">
        <f t="shared" si="19"/>
        <v>0.33333333333333337</v>
      </c>
      <c r="I269" s="24">
        <f t="shared" si="19"/>
        <v>0.5</v>
      </c>
      <c r="J269" s="24">
        <f t="shared" si="19"/>
        <v>0.6666666666666667</v>
      </c>
      <c r="K269" s="24">
        <f t="shared" si="19"/>
        <v>0.8333333333333335</v>
      </c>
      <c r="L269" s="24">
        <f t="shared" si="19"/>
        <v>1.0000000000000002</v>
      </c>
      <c r="M269" s="24">
        <f t="shared" si="19"/>
        <v>1.0000000000000002</v>
      </c>
      <c r="N269" s="24">
        <f t="shared" si="19"/>
        <v>1.0000000000000002</v>
      </c>
      <c r="O269" s="24">
        <f t="shared" si="19"/>
        <v>1.0000000000000002</v>
      </c>
      <c r="P269" s="24">
        <f t="shared" si="19"/>
        <v>1.0000000000000002</v>
      </c>
      <c r="Q269" s="24">
        <f t="shared" si="19"/>
        <v>1.0000000000000002</v>
      </c>
      <c r="R269" s="24">
        <f t="shared" si="19"/>
        <v>1.0000000000000002</v>
      </c>
      <c r="S269" s="24">
        <f t="shared" si="19"/>
        <v>1.0000000000000002</v>
      </c>
      <c r="T269" s="24">
        <f t="shared" si="19"/>
        <v>1.0000000000000002</v>
      </c>
      <c r="U269" s="24">
        <f t="shared" si="19"/>
        <v>1.0000000000000002</v>
      </c>
    </row>
    <row r="270" spans="1:21" s="2" customFormat="1" ht="1.5" customHeight="1">
      <c r="A270" s="17">
        <f t="shared" si="13"/>
        <v>0</v>
      </c>
      <c r="B270" s="17">
        <f t="shared" si="18"/>
        <v>0</v>
      </c>
      <c r="C270" s="17">
        <f t="shared" si="19"/>
        <v>0</v>
      </c>
      <c r="D270" s="17">
        <f t="shared" si="19"/>
        <v>0</v>
      </c>
      <c r="E270" s="17">
        <f t="shared" si="19"/>
        <v>0</v>
      </c>
      <c r="F270" s="17">
        <f t="shared" si="15"/>
        <v>0</v>
      </c>
      <c r="G270" s="17">
        <f t="shared" si="15"/>
        <v>0.3333333333333333</v>
      </c>
      <c r="H270" s="17">
        <f t="shared" si="19"/>
        <v>0.6666666666666666</v>
      </c>
      <c r="I270" s="17">
        <f t="shared" si="19"/>
        <v>1</v>
      </c>
      <c r="J270" s="17">
        <f t="shared" si="19"/>
        <v>1</v>
      </c>
      <c r="K270" s="17">
        <f t="shared" si="19"/>
        <v>1</v>
      </c>
      <c r="L270" s="17">
        <f t="shared" si="19"/>
        <v>1</v>
      </c>
      <c r="M270" s="17">
        <f t="shared" si="19"/>
        <v>1</v>
      </c>
      <c r="N270" s="17">
        <f t="shared" si="19"/>
        <v>1</v>
      </c>
      <c r="O270" s="17">
        <f t="shared" si="19"/>
        <v>1</v>
      </c>
      <c r="P270" s="17">
        <f t="shared" si="19"/>
        <v>1</v>
      </c>
      <c r="Q270" s="17">
        <f t="shared" si="19"/>
        <v>1</v>
      </c>
      <c r="R270" s="17">
        <f t="shared" si="19"/>
        <v>1</v>
      </c>
      <c r="S270" s="17">
        <f t="shared" si="19"/>
        <v>1</v>
      </c>
      <c r="T270" s="17">
        <f t="shared" si="19"/>
        <v>1</v>
      </c>
      <c r="U270" s="17">
        <f t="shared" si="19"/>
        <v>1</v>
      </c>
    </row>
    <row r="271" spans="1:21" ht="1.5" customHeight="1">
      <c r="A271" s="24">
        <f>IF((A261&gt;=$W$205),1,0)</f>
        <v>0</v>
      </c>
      <c r="B271" s="24">
        <f aca="true" t="shared" si="21" ref="B271:B279">IF(AND(B261&gt;=$W$205,A261&lt;$W$205),1,0)</f>
        <v>0</v>
      </c>
      <c r="C271" s="24">
        <f aca="true" t="shared" si="22" ref="C271:U279">IF(AND(C261&gt;=$W$205,B261&lt;$W$205),1,0)</f>
        <v>0</v>
      </c>
      <c r="D271" s="24">
        <f t="shared" si="22"/>
        <v>0</v>
      </c>
      <c r="E271" s="24">
        <f t="shared" si="22"/>
        <v>0</v>
      </c>
      <c r="F271" s="24">
        <f aca="true" t="shared" si="23" ref="F271:G279">IF(AND(F261&gt;=$W$205,E261&lt;$W$205),1,0)</f>
        <v>0</v>
      </c>
      <c r="G271" s="24">
        <f t="shared" si="23"/>
        <v>0</v>
      </c>
      <c r="H271" s="24">
        <f t="shared" si="22"/>
        <v>0</v>
      </c>
      <c r="I271" s="24">
        <f t="shared" si="22"/>
        <v>0</v>
      </c>
      <c r="J271" s="24">
        <f t="shared" si="22"/>
        <v>0</v>
      </c>
      <c r="K271" s="24">
        <f t="shared" si="22"/>
        <v>0</v>
      </c>
      <c r="L271" s="24">
        <f t="shared" si="22"/>
        <v>0</v>
      </c>
      <c r="M271" s="24">
        <f t="shared" si="22"/>
        <v>0</v>
      </c>
      <c r="N271" s="24">
        <f t="shared" si="22"/>
        <v>0</v>
      </c>
      <c r="O271" s="24">
        <f t="shared" si="22"/>
        <v>0</v>
      </c>
      <c r="P271" s="24">
        <f t="shared" si="22"/>
        <v>0</v>
      </c>
      <c r="Q271" s="24">
        <f t="shared" si="22"/>
        <v>0</v>
      </c>
      <c r="R271" s="24">
        <f t="shared" si="22"/>
        <v>0</v>
      </c>
      <c r="S271" s="24">
        <f t="shared" si="22"/>
        <v>0</v>
      </c>
      <c r="T271" s="24">
        <f t="shared" si="22"/>
        <v>1</v>
      </c>
      <c r="U271" s="24">
        <f t="shared" si="22"/>
        <v>0</v>
      </c>
    </row>
    <row r="272" spans="1:21" ht="1.5" customHeight="1">
      <c r="A272" s="24">
        <f aca="true" t="shared" si="24" ref="A272:A280">IF((A262&gt;=$W$205),1,0)</f>
        <v>0</v>
      </c>
      <c r="B272" s="24">
        <f t="shared" si="21"/>
        <v>0</v>
      </c>
      <c r="C272" s="24">
        <f aca="true" t="shared" si="25" ref="C272:Q272">IF(AND(C262&gt;=$W$205,B262&lt;$W$205),1,0)</f>
        <v>0</v>
      </c>
      <c r="D272" s="24">
        <f t="shared" si="25"/>
        <v>0</v>
      </c>
      <c r="E272" s="24">
        <f t="shared" si="25"/>
        <v>0</v>
      </c>
      <c r="F272" s="24">
        <f t="shared" si="23"/>
        <v>0</v>
      </c>
      <c r="G272" s="24">
        <f t="shared" si="23"/>
        <v>0</v>
      </c>
      <c r="H272" s="24">
        <f t="shared" si="25"/>
        <v>0</v>
      </c>
      <c r="I272" s="24">
        <f t="shared" si="25"/>
        <v>0</v>
      </c>
      <c r="J272" s="24">
        <f t="shared" si="25"/>
        <v>0</v>
      </c>
      <c r="K272" s="24">
        <f t="shared" si="25"/>
        <v>0</v>
      </c>
      <c r="L272" s="24">
        <f t="shared" si="25"/>
        <v>0</v>
      </c>
      <c r="M272" s="24">
        <f t="shared" si="25"/>
        <v>0</v>
      </c>
      <c r="N272" s="24">
        <f t="shared" si="25"/>
        <v>0</v>
      </c>
      <c r="O272" s="24">
        <f t="shared" si="25"/>
        <v>0</v>
      </c>
      <c r="P272" s="24">
        <f t="shared" si="25"/>
        <v>0</v>
      </c>
      <c r="Q272" s="24">
        <f t="shared" si="25"/>
        <v>0</v>
      </c>
      <c r="R272" s="24">
        <f t="shared" si="22"/>
        <v>0</v>
      </c>
      <c r="S272" s="24">
        <f t="shared" si="22"/>
        <v>1</v>
      </c>
      <c r="T272" s="24">
        <f t="shared" si="22"/>
        <v>0</v>
      </c>
      <c r="U272" s="24">
        <f t="shared" si="22"/>
        <v>0</v>
      </c>
    </row>
    <row r="273" spans="1:21" ht="1.5" customHeight="1">
      <c r="A273" s="24">
        <f t="shared" si="24"/>
        <v>0</v>
      </c>
      <c r="B273" s="24">
        <f t="shared" si="21"/>
        <v>0</v>
      </c>
      <c r="C273" s="24">
        <f t="shared" si="22"/>
        <v>0</v>
      </c>
      <c r="D273" s="24">
        <f t="shared" si="22"/>
        <v>0</v>
      </c>
      <c r="E273" s="24">
        <f t="shared" si="22"/>
        <v>0</v>
      </c>
      <c r="F273" s="24">
        <f t="shared" si="23"/>
        <v>0</v>
      </c>
      <c r="G273" s="24">
        <f t="shared" si="23"/>
        <v>0</v>
      </c>
      <c r="H273" s="24">
        <f t="shared" si="22"/>
        <v>0</v>
      </c>
      <c r="I273" s="24">
        <f t="shared" si="22"/>
        <v>0</v>
      </c>
      <c r="J273" s="24">
        <f t="shared" si="22"/>
        <v>0</v>
      </c>
      <c r="K273" s="24">
        <f t="shared" si="22"/>
        <v>0</v>
      </c>
      <c r="L273" s="24">
        <f t="shared" si="22"/>
        <v>0</v>
      </c>
      <c r="M273" s="24">
        <f t="shared" si="22"/>
        <v>1</v>
      </c>
      <c r="N273" s="24">
        <f t="shared" si="22"/>
        <v>0</v>
      </c>
      <c r="O273" s="24">
        <f t="shared" si="22"/>
        <v>0</v>
      </c>
      <c r="P273" s="24">
        <f t="shared" si="22"/>
        <v>0</v>
      </c>
      <c r="Q273" s="24">
        <f t="shared" si="22"/>
        <v>0</v>
      </c>
      <c r="R273" s="24">
        <f t="shared" si="22"/>
        <v>0</v>
      </c>
      <c r="S273" s="24">
        <f t="shared" si="22"/>
        <v>0</v>
      </c>
      <c r="T273" s="24">
        <f t="shared" si="22"/>
        <v>0</v>
      </c>
      <c r="U273" s="24">
        <f t="shared" si="22"/>
        <v>0</v>
      </c>
    </row>
    <row r="274" spans="1:21" ht="1.5" customHeight="1">
      <c r="A274" s="24">
        <f t="shared" si="24"/>
        <v>0</v>
      </c>
      <c r="B274" s="24">
        <f t="shared" si="21"/>
        <v>0</v>
      </c>
      <c r="C274" s="24">
        <f t="shared" si="22"/>
        <v>0</v>
      </c>
      <c r="D274" s="24">
        <f t="shared" si="22"/>
        <v>0</v>
      </c>
      <c r="E274" s="24">
        <f t="shared" si="22"/>
        <v>0</v>
      </c>
      <c r="F274" s="24">
        <f t="shared" si="23"/>
        <v>0</v>
      </c>
      <c r="G274" s="24">
        <f t="shared" si="23"/>
        <v>0</v>
      </c>
      <c r="H274" s="24">
        <f t="shared" si="22"/>
        <v>0</v>
      </c>
      <c r="I274" s="24">
        <f t="shared" si="22"/>
        <v>0</v>
      </c>
      <c r="J274" s="24">
        <f t="shared" si="22"/>
        <v>0</v>
      </c>
      <c r="K274" s="24">
        <f t="shared" si="22"/>
        <v>0</v>
      </c>
      <c r="L274" s="24">
        <f t="shared" si="22"/>
        <v>0</v>
      </c>
      <c r="M274" s="24">
        <f t="shared" si="22"/>
        <v>1</v>
      </c>
      <c r="N274" s="24">
        <f t="shared" si="22"/>
        <v>0</v>
      </c>
      <c r="O274" s="24">
        <f t="shared" si="22"/>
        <v>0</v>
      </c>
      <c r="P274" s="24">
        <f t="shared" si="22"/>
        <v>0</v>
      </c>
      <c r="Q274" s="24">
        <f t="shared" si="22"/>
        <v>0</v>
      </c>
      <c r="R274" s="24">
        <f t="shared" si="22"/>
        <v>0</v>
      </c>
      <c r="S274" s="24">
        <f t="shared" si="22"/>
        <v>0</v>
      </c>
      <c r="T274" s="24">
        <f t="shared" si="22"/>
        <v>0</v>
      </c>
      <c r="U274" s="24">
        <f t="shared" si="22"/>
        <v>0</v>
      </c>
    </row>
    <row r="275" spans="1:21" ht="1.5" customHeight="1">
      <c r="A275" s="24">
        <f t="shared" si="24"/>
        <v>0</v>
      </c>
      <c r="B275" s="24">
        <f t="shared" si="21"/>
        <v>0</v>
      </c>
      <c r="C275" s="24">
        <f t="shared" si="22"/>
        <v>0</v>
      </c>
      <c r="D275" s="24">
        <f t="shared" si="22"/>
        <v>0</v>
      </c>
      <c r="E275" s="24">
        <f t="shared" si="22"/>
        <v>0</v>
      </c>
      <c r="F275" s="24">
        <f t="shared" si="23"/>
        <v>0</v>
      </c>
      <c r="G275" s="24">
        <f t="shared" si="23"/>
        <v>0</v>
      </c>
      <c r="H275" s="24">
        <f t="shared" si="22"/>
        <v>0</v>
      </c>
      <c r="I275" s="24">
        <f t="shared" si="22"/>
        <v>0</v>
      </c>
      <c r="J275" s="24">
        <f t="shared" si="22"/>
        <v>0</v>
      </c>
      <c r="K275" s="24">
        <f t="shared" si="22"/>
        <v>0</v>
      </c>
      <c r="L275" s="24">
        <f t="shared" si="22"/>
        <v>0</v>
      </c>
      <c r="M275" s="24">
        <f t="shared" si="22"/>
        <v>0</v>
      </c>
      <c r="N275" s="24">
        <f t="shared" si="22"/>
        <v>0</v>
      </c>
      <c r="O275" s="24">
        <f t="shared" si="22"/>
        <v>0</v>
      </c>
      <c r="P275" s="24">
        <f t="shared" si="22"/>
        <v>1</v>
      </c>
      <c r="Q275" s="24">
        <f t="shared" si="22"/>
        <v>0</v>
      </c>
      <c r="R275" s="24">
        <f t="shared" si="22"/>
        <v>0</v>
      </c>
      <c r="S275" s="24">
        <f t="shared" si="22"/>
        <v>0</v>
      </c>
      <c r="T275" s="24">
        <f t="shared" si="22"/>
        <v>0</v>
      </c>
      <c r="U275" s="24">
        <f t="shared" si="22"/>
        <v>0</v>
      </c>
    </row>
    <row r="276" spans="1:21" ht="1.5" customHeight="1">
      <c r="A276" s="24">
        <f t="shared" si="24"/>
        <v>0</v>
      </c>
      <c r="B276" s="24">
        <f t="shared" si="21"/>
        <v>0</v>
      </c>
      <c r="C276" s="24">
        <f t="shared" si="22"/>
        <v>0</v>
      </c>
      <c r="D276" s="24">
        <f t="shared" si="22"/>
        <v>0</v>
      </c>
      <c r="E276" s="24">
        <f t="shared" si="22"/>
        <v>0</v>
      </c>
      <c r="F276" s="24">
        <f t="shared" si="23"/>
        <v>0</v>
      </c>
      <c r="G276" s="24">
        <f t="shared" si="23"/>
        <v>0</v>
      </c>
      <c r="H276" s="24">
        <f t="shared" si="22"/>
        <v>0</v>
      </c>
      <c r="I276" s="24">
        <f t="shared" si="22"/>
        <v>0</v>
      </c>
      <c r="J276" s="24">
        <f t="shared" si="22"/>
        <v>0</v>
      </c>
      <c r="K276" s="24">
        <f t="shared" si="22"/>
        <v>0</v>
      </c>
      <c r="L276" s="24">
        <f t="shared" si="22"/>
        <v>0</v>
      </c>
      <c r="M276" s="24">
        <f t="shared" si="22"/>
        <v>0</v>
      </c>
      <c r="N276" s="24">
        <f t="shared" si="22"/>
        <v>0</v>
      </c>
      <c r="O276" s="24">
        <f t="shared" si="22"/>
        <v>0</v>
      </c>
      <c r="P276" s="24">
        <f t="shared" si="22"/>
        <v>0</v>
      </c>
      <c r="Q276" s="24">
        <f t="shared" si="22"/>
        <v>0</v>
      </c>
      <c r="R276" s="24">
        <f t="shared" si="22"/>
        <v>1</v>
      </c>
      <c r="S276" s="24">
        <f t="shared" si="22"/>
        <v>0</v>
      </c>
      <c r="T276" s="24">
        <f t="shared" si="22"/>
        <v>0</v>
      </c>
      <c r="U276" s="24">
        <f t="shared" si="22"/>
        <v>0</v>
      </c>
    </row>
    <row r="277" spans="1:22" ht="1.5" customHeight="1">
      <c r="A277" s="24">
        <f t="shared" si="24"/>
        <v>0</v>
      </c>
      <c r="B277" s="24">
        <f t="shared" si="21"/>
        <v>0</v>
      </c>
      <c r="C277" s="24">
        <f t="shared" si="22"/>
        <v>0</v>
      </c>
      <c r="D277" s="24">
        <f t="shared" si="22"/>
        <v>0</v>
      </c>
      <c r="E277" s="24">
        <f t="shared" si="22"/>
        <v>0</v>
      </c>
      <c r="F277" s="24">
        <f t="shared" si="23"/>
        <v>0</v>
      </c>
      <c r="G277" s="24">
        <f t="shared" si="23"/>
        <v>0</v>
      </c>
      <c r="H277" s="24">
        <f t="shared" si="22"/>
        <v>0</v>
      </c>
      <c r="I277" s="24">
        <f t="shared" si="22"/>
        <v>0</v>
      </c>
      <c r="J277" s="24">
        <f t="shared" si="22"/>
        <v>0</v>
      </c>
      <c r="K277" s="24">
        <f t="shared" si="22"/>
        <v>0</v>
      </c>
      <c r="L277" s="24">
        <f t="shared" si="22"/>
        <v>1</v>
      </c>
      <c r="M277" s="24">
        <f t="shared" si="22"/>
        <v>0</v>
      </c>
      <c r="N277" s="24">
        <f t="shared" si="22"/>
        <v>0</v>
      </c>
      <c r="O277" s="24">
        <f t="shared" si="22"/>
        <v>0</v>
      </c>
      <c r="P277" s="24">
        <f t="shared" si="22"/>
        <v>0</v>
      </c>
      <c r="Q277" s="24">
        <f t="shared" si="22"/>
        <v>0</v>
      </c>
      <c r="R277" s="24">
        <f t="shared" si="22"/>
        <v>0</v>
      </c>
      <c r="S277" s="24">
        <f t="shared" si="22"/>
        <v>0</v>
      </c>
      <c r="T277" s="24">
        <f t="shared" si="22"/>
        <v>0</v>
      </c>
      <c r="U277" s="24">
        <f t="shared" si="22"/>
        <v>0</v>
      </c>
      <c r="V277" s="56"/>
    </row>
    <row r="278" spans="1:22" ht="1.5" customHeight="1">
      <c r="A278" s="24">
        <f t="shared" si="24"/>
        <v>0</v>
      </c>
      <c r="B278" s="24">
        <f t="shared" si="21"/>
        <v>0</v>
      </c>
      <c r="C278" s="24">
        <f t="shared" si="22"/>
        <v>0</v>
      </c>
      <c r="D278" s="24">
        <f t="shared" si="22"/>
        <v>0</v>
      </c>
      <c r="E278" s="24">
        <f t="shared" si="22"/>
        <v>0</v>
      </c>
      <c r="F278" s="24">
        <f t="shared" si="23"/>
        <v>0</v>
      </c>
      <c r="G278" s="24">
        <f t="shared" si="23"/>
        <v>0</v>
      </c>
      <c r="H278" s="24">
        <f t="shared" si="22"/>
        <v>0</v>
      </c>
      <c r="I278" s="24">
        <f t="shared" si="22"/>
        <v>0</v>
      </c>
      <c r="J278" s="24">
        <f t="shared" si="22"/>
        <v>0</v>
      </c>
      <c r="K278" s="24">
        <f t="shared" si="22"/>
        <v>0</v>
      </c>
      <c r="L278" s="24">
        <f t="shared" si="22"/>
        <v>1</v>
      </c>
      <c r="M278" s="24">
        <f t="shared" si="22"/>
        <v>0</v>
      </c>
      <c r="N278" s="24">
        <f t="shared" si="22"/>
        <v>0</v>
      </c>
      <c r="O278" s="24">
        <f t="shared" si="22"/>
        <v>0</v>
      </c>
      <c r="P278" s="24">
        <f t="shared" si="22"/>
        <v>0</v>
      </c>
      <c r="Q278" s="24">
        <f t="shared" si="22"/>
        <v>0</v>
      </c>
      <c r="R278" s="24">
        <f t="shared" si="22"/>
        <v>0</v>
      </c>
      <c r="S278" s="24">
        <f t="shared" si="22"/>
        <v>0</v>
      </c>
      <c r="T278" s="24">
        <f t="shared" si="22"/>
        <v>0</v>
      </c>
      <c r="U278" s="24">
        <f t="shared" si="22"/>
        <v>0</v>
      </c>
      <c r="V278" s="56"/>
    </row>
    <row r="279" spans="1:22" ht="1.5" customHeight="1">
      <c r="A279" s="24">
        <f t="shared" si="24"/>
        <v>0</v>
      </c>
      <c r="B279" s="24">
        <f t="shared" si="21"/>
        <v>0</v>
      </c>
      <c r="C279" s="24">
        <f t="shared" si="22"/>
        <v>0</v>
      </c>
      <c r="D279" s="24">
        <f t="shared" si="22"/>
        <v>0</v>
      </c>
      <c r="E279" s="24">
        <f t="shared" si="22"/>
        <v>0</v>
      </c>
      <c r="F279" s="24">
        <f t="shared" si="23"/>
        <v>0</v>
      </c>
      <c r="G279" s="24">
        <f t="shared" si="23"/>
        <v>0</v>
      </c>
      <c r="H279" s="24">
        <f t="shared" si="22"/>
        <v>0</v>
      </c>
      <c r="I279" s="24">
        <f t="shared" si="22"/>
        <v>0</v>
      </c>
      <c r="J279" s="24">
        <f t="shared" si="22"/>
        <v>0</v>
      </c>
      <c r="K279" s="24">
        <f t="shared" si="22"/>
        <v>1</v>
      </c>
      <c r="L279" s="24">
        <f t="shared" si="22"/>
        <v>0</v>
      </c>
      <c r="M279" s="24">
        <f t="shared" si="22"/>
        <v>0</v>
      </c>
      <c r="N279" s="24">
        <f t="shared" si="22"/>
        <v>0</v>
      </c>
      <c r="O279" s="24">
        <f t="shared" si="22"/>
        <v>0</v>
      </c>
      <c r="P279" s="24">
        <f t="shared" si="22"/>
        <v>0</v>
      </c>
      <c r="Q279" s="24">
        <f t="shared" si="22"/>
        <v>0</v>
      </c>
      <c r="R279" s="24">
        <f t="shared" si="22"/>
        <v>0</v>
      </c>
      <c r="S279" s="24">
        <f t="shared" si="22"/>
        <v>0</v>
      </c>
      <c r="T279" s="24">
        <f t="shared" si="22"/>
        <v>0</v>
      </c>
      <c r="U279" s="24">
        <f t="shared" si="22"/>
        <v>0</v>
      </c>
      <c r="V279" s="56"/>
    </row>
    <row r="280" spans="1:22" ht="1.5" customHeight="1">
      <c r="A280" s="20">
        <f t="shared" si="24"/>
        <v>0</v>
      </c>
      <c r="B280" s="20">
        <f aca="true" t="shared" si="26" ref="B280:U280">IF(AND(B270&gt;=$W$205,A270&lt;$W$205),1,0)</f>
        <v>0</v>
      </c>
      <c r="C280" s="20">
        <f t="shared" si="26"/>
        <v>0</v>
      </c>
      <c r="D280" s="20">
        <f t="shared" si="26"/>
        <v>0</v>
      </c>
      <c r="E280" s="20">
        <f t="shared" si="26"/>
        <v>0</v>
      </c>
      <c r="F280" s="20">
        <f t="shared" si="26"/>
        <v>0</v>
      </c>
      <c r="G280" s="20">
        <f t="shared" si="26"/>
        <v>0</v>
      </c>
      <c r="H280" s="20">
        <f t="shared" si="26"/>
        <v>0</v>
      </c>
      <c r="I280" s="20">
        <f t="shared" si="26"/>
        <v>1</v>
      </c>
      <c r="J280" s="20">
        <f t="shared" si="26"/>
        <v>0</v>
      </c>
      <c r="K280" s="20">
        <f t="shared" si="26"/>
        <v>0</v>
      </c>
      <c r="L280" s="20">
        <f t="shared" si="26"/>
        <v>0</v>
      </c>
      <c r="M280" s="20">
        <f t="shared" si="26"/>
        <v>0</v>
      </c>
      <c r="N280" s="20">
        <f t="shared" si="26"/>
        <v>0</v>
      </c>
      <c r="O280" s="20">
        <f t="shared" si="26"/>
        <v>0</v>
      </c>
      <c r="P280" s="20">
        <f t="shared" si="26"/>
        <v>0</v>
      </c>
      <c r="Q280" s="20">
        <f t="shared" si="26"/>
        <v>0</v>
      </c>
      <c r="R280" s="20">
        <f t="shared" si="26"/>
        <v>0</v>
      </c>
      <c r="S280" s="20">
        <f t="shared" si="26"/>
        <v>0</v>
      </c>
      <c r="T280" s="20">
        <f t="shared" si="26"/>
        <v>0</v>
      </c>
      <c r="U280" s="20">
        <f t="shared" si="26"/>
        <v>0</v>
      </c>
      <c r="V280" s="109"/>
    </row>
    <row r="281" spans="1:22" ht="1.5" customHeight="1">
      <c r="A281" s="24">
        <f aca="true" t="shared" si="27" ref="A281:A290">IF(A271=1,(A$205+0.05)-((A261-$W$205)/A251)*0.1,"")</f>
      </c>
      <c r="B281" s="24">
        <f aca="true" t="shared" si="28" ref="B281:U290">IF(B271=1,(B$205+0.05)-((B261-$W$205)/B251)*0.1,"")</f>
      </c>
      <c r="C281" s="24">
        <f t="shared" si="28"/>
      </c>
      <c r="D281" s="24">
        <f t="shared" si="28"/>
      </c>
      <c r="E281" s="24">
        <f t="shared" si="28"/>
      </c>
      <c r="F281" s="24">
        <f aca="true" t="shared" si="29" ref="F281:F290">IF(F271=1,(F$205+0.05)-((F261-$W$205)/F251)*0.1,"")</f>
      </c>
      <c r="G281" s="24">
        <f t="shared" si="28"/>
      </c>
      <c r="H281" s="24">
        <f t="shared" si="28"/>
      </c>
      <c r="I281" s="24">
        <f t="shared" si="28"/>
      </c>
      <c r="J281" s="24">
        <f t="shared" si="28"/>
      </c>
      <c r="K281" s="24">
        <f t="shared" si="28"/>
      </c>
      <c r="L281" s="24">
        <f t="shared" si="28"/>
      </c>
      <c r="M281" s="24">
        <f t="shared" si="28"/>
      </c>
      <c r="N281" s="24">
        <f t="shared" si="28"/>
      </c>
      <c r="O281" s="24">
        <f t="shared" si="28"/>
      </c>
      <c r="P281" s="24">
        <f t="shared" si="28"/>
      </c>
      <c r="Q281" s="24">
        <f t="shared" si="28"/>
      </c>
      <c r="R281" s="24">
        <f t="shared" si="28"/>
      </c>
      <c r="S281" s="24">
        <f t="shared" si="28"/>
      </c>
      <c r="T281" s="24">
        <f t="shared" si="28"/>
        <v>0.9450000000000002</v>
      </c>
      <c r="U281" s="24">
        <f t="shared" si="28"/>
      </c>
      <c r="V281" s="56">
        <f aca="true" t="shared" si="30" ref="V281:V290">SUM(A281:U281)</f>
        <v>0.9450000000000002</v>
      </c>
    </row>
    <row r="282" spans="1:22" ht="1.5" customHeight="1">
      <c r="A282" s="24">
        <f t="shared" si="27"/>
      </c>
      <c r="B282" s="24">
        <f aca="true" t="shared" si="31" ref="B282:P282">IF(B272=1,(B$205+0.05)-((B262-$W$205)/B252)*0.1,"")</f>
      </c>
      <c r="C282" s="24">
        <f t="shared" si="31"/>
      </c>
      <c r="D282" s="24">
        <f t="shared" si="31"/>
      </c>
      <c r="E282" s="24">
        <f t="shared" si="31"/>
      </c>
      <c r="F282" s="24">
        <f t="shared" si="29"/>
      </c>
      <c r="G282" s="24">
        <f t="shared" si="31"/>
      </c>
      <c r="H282" s="24">
        <f t="shared" si="31"/>
      </c>
      <c r="I282" s="24">
        <f t="shared" si="31"/>
      </c>
      <c r="J282" s="24">
        <f t="shared" si="31"/>
      </c>
      <c r="K282" s="24">
        <f t="shared" si="31"/>
      </c>
      <c r="L282" s="24">
        <f t="shared" si="31"/>
      </c>
      <c r="M282" s="24">
        <f t="shared" si="31"/>
      </c>
      <c r="N282" s="24">
        <f t="shared" si="31"/>
      </c>
      <c r="O282" s="24">
        <f t="shared" si="31"/>
      </c>
      <c r="P282" s="24">
        <f t="shared" si="31"/>
      </c>
      <c r="Q282" s="24">
        <f t="shared" si="28"/>
      </c>
      <c r="R282" s="24">
        <f t="shared" si="28"/>
      </c>
      <c r="S282" s="24">
        <f t="shared" si="28"/>
        <v>0.8240213191664338</v>
      </c>
      <c r="T282" s="24">
        <f t="shared" si="28"/>
      </c>
      <c r="U282" s="24">
        <f t="shared" si="28"/>
      </c>
      <c r="V282" s="56">
        <f t="shared" si="30"/>
        <v>0.8240213191664338</v>
      </c>
    </row>
    <row r="283" spans="1:22" ht="1.5" customHeight="1">
      <c r="A283" s="24">
        <f t="shared" si="27"/>
      </c>
      <c r="B283" s="24">
        <f t="shared" si="28"/>
      </c>
      <c r="C283" s="24">
        <f t="shared" si="28"/>
      </c>
      <c r="D283" s="24">
        <f t="shared" si="28"/>
      </c>
      <c r="E283" s="24">
        <f t="shared" si="28"/>
      </c>
      <c r="F283" s="24">
        <f t="shared" si="29"/>
      </c>
      <c r="G283" s="24">
        <f t="shared" si="28"/>
      </c>
      <c r="H283" s="24">
        <f t="shared" si="28"/>
      </c>
      <c r="I283" s="24">
        <f t="shared" si="28"/>
      </c>
      <c r="J283" s="24">
        <f t="shared" si="28"/>
      </c>
      <c r="K283" s="24">
        <f t="shared" si="28"/>
      </c>
      <c r="L283" s="24">
        <f t="shared" si="28"/>
      </c>
      <c r="M283" s="24">
        <f t="shared" si="28"/>
        <v>0.23720812182741122</v>
      </c>
      <c r="N283" s="24">
        <f t="shared" si="28"/>
      </c>
      <c r="O283" s="24">
        <f t="shared" si="28"/>
      </c>
      <c r="P283" s="24">
        <f t="shared" si="28"/>
      </c>
      <c r="Q283" s="24">
        <f t="shared" si="28"/>
      </c>
      <c r="R283" s="24">
        <f t="shared" si="28"/>
      </c>
      <c r="S283" s="24">
        <f t="shared" si="28"/>
      </c>
      <c r="T283" s="24">
        <f t="shared" si="28"/>
      </c>
      <c r="U283" s="24">
        <f t="shared" si="28"/>
      </c>
      <c r="V283" s="56">
        <f t="shared" si="30"/>
        <v>0.23720812182741122</v>
      </c>
    </row>
    <row r="284" spans="1:22" ht="1.5" customHeight="1">
      <c r="A284" s="24">
        <f t="shared" si="27"/>
      </c>
      <c r="B284" s="24">
        <f t="shared" si="28"/>
      </c>
      <c r="C284" s="24">
        <f t="shared" si="28"/>
      </c>
      <c r="D284" s="24">
        <f t="shared" si="28"/>
      </c>
      <c r="E284" s="24">
        <f t="shared" si="28"/>
      </c>
      <c r="F284" s="24">
        <f t="shared" si="29"/>
      </c>
      <c r="G284" s="24">
        <f t="shared" si="28"/>
      </c>
      <c r="H284" s="24">
        <f t="shared" si="28"/>
      </c>
      <c r="I284" s="24">
        <f t="shared" si="28"/>
      </c>
      <c r="J284" s="24">
        <f t="shared" si="28"/>
      </c>
      <c r="K284" s="24">
        <f t="shared" si="28"/>
      </c>
      <c r="L284" s="24">
        <f t="shared" si="28"/>
      </c>
      <c r="M284" s="24">
        <f t="shared" si="28"/>
        <v>0.19673857886960283</v>
      </c>
      <c r="N284" s="24">
        <f t="shared" si="28"/>
      </c>
      <c r="O284" s="24">
        <f t="shared" si="28"/>
      </c>
      <c r="P284" s="24">
        <f t="shared" si="28"/>
      </c>
      <c r="Q284" s="24">
        <f t="shared" si="28"/>
      </c>
      <c r="R284" s="24">
        <f t="shared" si="28"/>
      </c>
      <c r="S284" s="24">
        <f t="shared" si="28"/>
      </c>
      <c r="T284" s="24">
        <f t="shared" si="28"/>
      </c>
      <c r="U284" s="24">
        <f t="shared" si="28"/>
      </c>
      <c r="V284" s="56">
        <f t="shared" si="30"/>
        <v>0.19673857886960283</v>
      </c>
    </row>
    <row r="285" spans="1:22" ht="1.5" customHeight="1">
      <c r="A285" s="24">
        <f t="shared" si="27"/>
      </c>
      <c r="B285" s="24">
        <f t="shared" si="28"/>
      </c>
      <c r="C285" s="24">
        <f t="shared" si="28"/>
      </c>
      <c r="D285" s="24">
        <f t="shared" si="28"/>
      </c>
      <c r="E285" s="24">
        <f t="shared" si="28"/>
      </c>
      <c r="F285" s="24">
        <f t="shared" si="29"/>
      </c>
      <c r="G285" s="24">
        <f t="shared" si="28"/>
      </c>
      <c r="H285" s="24">
        <f t="shared" si="28"/>
      </c>
      <c r="I285" s="24">
        <f t="shared" si="28"/>
      </c>
      <c r="J285" s="24">
        <f t="shared" si="28"/>
      </c>
      <c r="K285" s="24">
        <f t="shared" si="28"/>
      </c>
      <c r="L285" s="24">
        <f t="shared" si="28"/>
      </c>
      <c r="M285" s="24">
        <f t="shared" si="28"/>
      </c>
      <c r="N285" s="24">
        <f t="shared" si="28"/>
      </c>
      <c r="O285" s="24">
        <f t="shared" si="28"/>
      </c>
      <c r="P285" s="24">
        <f t="shared" si="28"/>
        <v>0.5181141421206109</v>
      </c>
      <c r="Q285" s="24">
        <f t="shared" si="28"/>
      </c>
      <c r="R285" s="24">
        <f t="shared" si="28"/>
      </c>
      <c r="S285" s="24">
        <f t="shared" si="28"/>
      </c>
      <c r="T285" s="24">
        <f t="shared" si="28"/>
      </c>
      <c r="U285" s="24">
        <f t="shared" si="28"/>
      </c>
      <c r="V285" s="56">
        <f t="shared" si="30"/>
        <v>0.5181141421206109</v>
      </c>
    </row>
    <row r="286" spans="1:22" ht="1.5" customHeight="1">
      <c r="A286" s="24">
        <f t="shared" si="27"/>
      </c>
      <c r="B286" s="24">
        <f t="shared" si="28"/>
      </c>
      <c r="C286" s="24">
        <f t="shared" si="28"/>
      </c>
      <c r="D286" s="24">
        <f t="shared" si="28"/>
      </c>
      <c r="E286" s="24">
        <f t="shared" si="28"/>
      </c>
      <c r="F286" s="24">
        <f t="shared" si="29"/>
      </c>
      <c r="G286" s="24">
        <f t="shared" si="28"/>
      </c>
      <c r="H286" s="24">
        <f t="shared" si="28"/>
      </c>
      <c r="I286" s="24">
        <f t="shared" si="28"/>
      </c>
      <c r="J286" s="24">
        <f t="shared" si="28"/>
      </c>
      <c r="K286" s="24">
        <f t="shared" si="28"/>
      </c>
      <c r="L286" s="24">
        <f t="shared" si="28"/>
      </c>
      <c r="M286" s="24">
        <f t="shared" si="28"/>
      </c>
      <c r="N286" s="24">
        <f t="shared" si="28"/>
      </c>
      <c r="O286" s="24">
        <f t="shared" si="28"/>
      </c>
      <c r="P286" s="24">
        <f t="shared" si="28"/>
      </c>
      <c r="Q286" s="24">
        <f t="shared" si="28"/>
      </c>
      <c r="R286" s="24">
        <f t="shared" si="28"/>
        <v>0.6533856875390057</v>
      </c>
      <c r="S286" s="24">
        <f t="shared" si="28"/>
      </c>
      <c r="T286" s="24">
        <f t="shared" si="28"/>
      </c>
      <c r="U286" s="24">
        <f t="shared" si="28"/>
      </c>
      <c r="V286" s="56">
        <f t="shared" si="30"/>
        <v>0.6533856875390057</v>
      </c>
    </row>
    <row r="287" spans="1:22" ht="1.5" customHeight="1">
      <c r="A287" s="24">
        <f t="shared" si="27"/>
      </c>
      <c r="B287" s="24">
        <f t="shared" si="28"/>
      </c>
      <c r="C287" s="24">
        <f t="shared" si="28"/>
      </c>
      <c r="D287" s="24">
        <f t="shared" si="28"/>
      </c>
      <c r="E287" s="24">
        <f t="shared" si="28"/>
      </c>
      <c r="F287" s="24">
        <f t="shared" si="29"/>
      </c>
      <c r="G287" s="24">
        <f t="shared" si="28"/>
      </c>
      <c r="H287" s="24">
        <f t="shared" si="28"/>
      </c>
      <c r="I287" s="24">
        <f t="shared" si="28"/>
      </c>
      <c r="J287" s="24">
        <f t="shared" si="28"/>
      </c>
      <c r="K287" s="24">
        <f t="shared" si="28"/>
      </c>
      <c r="L287" s="24">
        <f t="shared" si="28"/>
        <v>0.11504698339057749</v>
      </c>
      <c r="M287" s="24">
        <f t="shared" si="28"/>
      </c>
      <c r="N287" s="24">
        <f t="shared" si="28"/>
      </c>
      <c r="O287" s="24">
        <f t="shared" si="28"/>
      </c>
      <c r="P287" s="24">
        <f t="shared" si="28"/>
      </c>
      <c r="Q287" s="24">
        <f t="shared" si="28"/>
      </c>
      <c r="R287" s="24">
        <f t="shared" si="28"/>
      </c>
      <c r="S287" s="24">
        <f t="shared" si="28"/>
      </c>
      <c r="T287" s="24">
        <f t="shared" si="28"/>
      </c>
      <c r="U287" s="24">
        <f t="shared" si="28"/>
      </c>
      <c r="V287" s="56">
        <f t="shared" si="30"/>
        <v>0.11504698339057749</v>
      </c>
    </row>
    <row r="288" spans="1:22" ht="1.5" customHeight="1">
      <c r="A288" s="24">
        <f t="shared" si="27"/>
      </c>
      <c r="B288" s="24">
        <f t="shared" si="28"/>
      </c>
      <c r="C288" s="24">
        <f t="shared" si="28"/>
      </c>
      <c r="D288" s="24">
        <f t="shared" si="28"/>
      </c>
      <c r="E288" s="24">
        <f t="shared" si="28"/>
      </c>
      <c r="F288" s="24">
        <f t="shared" si="29"/>
      </c>
      <c r="G288" s="24">
        <f t="shared" si="28"/>
      </c>
      <c r="H288" s="24">
        <f t="shared" si="28"/>
      </c>
      <c r="I288" s="24">
        <f t="shared" si="28"/>
      </c>
      <c r="J288" s="24">
        <f t="shared" si="28"/>
      </c>
      <c r="K288" s="24">
        <f t="shared" si="28"/>
      </c>
      <c r="L288" s="24">
        <f t="shared" si="28"/>
        <v>0.07989072871619392</v>
      </c>
      <c r="M288" s="24">
        <f t="shared" si="28"/>
      </c>
      <c r="N288" s="24">
        <f t="shared" si="28"/>
      </c>
      <c r="O288" s="24">
        <f t="shared" si="28"/>
      </c>
      <c r="P288" s="24">
        <f t="shared" si="28"/>
      </c>
      <c r="Q288" s="24">
        <f t="shared" si="28"/>
      </c>
      <c r="R288" s="24">
        <f t="shared" si="28"/>
      </c>
      <c r="S288" s="24">
        <f t="shared" si="28"/>
      </c>
      <c r="T288" s="24">
        <f t="shared" si="28"/>
      </c>
      <c r="U288" s="24">
        <f t="shared" si="28"/>
      </c>
      <c r="V288" s="56">
        <f t="shared" si="30"/>
        <v>0.07989072871619392</v>
      </c>
    </row>
    <row r="289" spans="1:22" ht="1.5" customHeight="1">
      <c r="A289" s="24">
        <f t="shared" si="27"/>
      </c>
      <c r="B289" s="24">
        <f t="shared" si="28"/>
      </c>
      <c r="C289" s="24">
        <f t="shared" si="28"/>
      </c>
      <c r="D289" s="24">
        <f t="shared" si="28"/>
      </c>
      <c r="E289" s="24">
        <f t="shared" si="28"/>
      </c>
      <c r="F289" s="24">
        <f t="shared" si="29"/>
      </c>
      <c r="G289" s="24">
        <f t="shared" si="28"/>
      </c>
      <c r="H289" s="24">
        <f t="shared" si="28"/>
      </c>
      <c r="I289" s="24">
        <f t="shared" si="28"/>
      </c>
      <c r="J289" s="24">
        <f t="shared" si="28"/>
      </c>
      <c r="K289" s="24">
        <f t="shared" si="28"/>
        <v>-9.020562075079397E-17</v>
      </c>
      <c r="L289" s="24">
        <f t="shared" si="28"/>
      </c>
      <c r="M289" s="24">
        <f t="shared" si="28"/>
      </c>
      <c r="N289" s="24">
        <f t="shared" si="28"/>
      </c>
      <c r="O289" s="24">
        <f t="shared" si="28"/>
      </c>
      <c r="P289" s="24">
        <f t="shared" si="28"/>
      </c>
      <c r="Q289" s="24">
        <f t="shared" si="28"/>
      </c>
      <c r="R289" s="24">
        <f t="shared" si="28"/>
      </c>
      <c r="S289" s="24">
        <f t="shared" si="28"/>
      </c>
      <c r="T289" s="24">
        <f t="shared" si="28"/>
      </c>
      <c r="U289" s="24">
        <f t="shared" si="28"/>
      </c>
      <c r="V289" s="56">
        <f t="shared" si="30"/>
        <v>-9.020562075079397E-17</v>
      </c>
    </row>
    <row r="290" spans="1:22" s="2" customFormat="1" ht="1.5" customHeight="1">
      <c r="A290" s="17">
        <f t="shared" si="27"/>
      </c>
      <c r="B290" s="17">
        <f t="shared" si="28"/>
      </c>
      <c r="C290" s="17">
        <f t="shared" si="28"/>
      </c>
      <c r="D290" s="17">
        <f t="shared" si="28"/>
      </c>
      <c r="E290" s="17">
        <f t="shared" si="28"/>
      </c>
      <c r="F290" s="17">
        <f t="shared" si="29"/>
      </c>
      <c r="G290" s="17">
        <f t="shared" si="28"/>
      </c>
      <c r="H290" s="17">
        <f t="shared" si="28"/>
      </c>
      <c r="I290" s="17">
        <f t="shared" si="28"/>
        <v>-0.22500000000000003</v>
      </c>
      <c r="J290" s="17">
        <f t="shared" si="28"/>
      </c>
      <c r="K290" s="17">
        <f t="shared" si="28"/>
      </c>
      <c r="L290" s="17">
        <f t="shared" si="28"/>
      </c>
      <c r="M290" s="17">
        <f t="shared" si="28"/>
      </c>
      <c r="N290" s="17">
        <f t="shared" si="28"/>
      </c>
      <c r="O290" s="17">
        <f t="shared" si="28"/>
      </c>
      <c r="P290" s="17">
        <f t="shared" si="28"/>
      </c>
      <c r="Q290" s="17">
        <f t="shared" si="28"/>
      </c>
      <c r="R290" s="17">
        <f t="shared" si="28"/>
      </c>
      <c r="S290" s="17">
        <f t="shared" si="28"/>
      </c>
      <c r="T290" s="17">
        <f t="shared" si="28"/>
      </c>
      <c r="U290" s="17">
        <f t="shared" si="28"/>
      </c>
      <c r="V290" s="125">
        <f t="shared" si="30"/>
        <v>-0.22500000000000003</v>
      </c>
    </row>
    <row r="291" spans="1:2" ht="1.5" customHeight="1">
      <c r="A291" s="24"/>
      <c r="B291" s="24"/>
    </row>
    <row r="292" spans="1:2" ht="1.5" customHeight="1">
      <c r="A292" s="24"/>
      <c r="B292" s="24"/>
    </row>
    <row r="293" spans="1:2" ht="1.5" customHeight="1">
      <c r="A293" s="24"/>
      <c r="B293" s="24"/>
    </row>
    <row r="294" spans="1:2" ht="1.5" customHeight="1">
      <c r="A294" s="24"/>
      <c r="B294" s="24"/>
    </row>
    <row r="295" spans="1:2" ht="1.5" customHeight="1">
      <c r="A295" s="24"/>
      <c r="B295" s="24"/>
    </row>
    <row r="296" spans="1:2" ht="1.5" customHeight="1">
      <c r="A296" s="24"/>
      <c r="B296" s="24"/>
    </row>
    <row r="297" spans="1:2" ht="1.5" customHeight="1">
      <c r="A297" s="24"/>
      <c r="B297" s="24"/>
    </row>
    <row r="298" spans="1:2" ht="1.5" customHeight="1">
      <c r="A298" s="24"/>
      <c r="B298" s="24"/>
    </row>
    <row r="299" spans="1:2" ht="1.5" customHeight="1">
      <c r="A299" s="24" t="s">
        <v>132</v>
      </c>
      <c r="B299" s="24"/>
    </row>
    <row r="300" spans="1:21" s="2" customFormat="1" ht="1.5" customHeight="1">
      <c r="A300" s="57">
        <v>0</v>
      </c>
      <c r="B300" s="57">
        <v>0</v>
      </c>
      <c r="C300" s="2">
        <v>0</v>
      </c>
      <c r="D300" s="2">
        <v>0</v>
      </c>
      <c r="E300" s="2">
        <v>0</v>
      </c>
      <c r="F300" s="2">
        <v>0</v>
      </c>
      <c r="G300" s="2">
        <v>0</v>
      </c>
      <c r="H300" s="2">
        <v>0</v>
      </c>
      <c r="I300" s="2">
        <v>0</v>
      </c>
      <c r="J300" s="2">
        <v>0</v>
      </c>
      <c r="K300" s="2">
        <v>0</v>
      </c>
      <c r="L300" s="2">
        <v>0</v>
      </c>
      <c r="M300" s="2">
        <v>0</v>
      </c>
      <c r="N300" s="2">
        <v>0</v>
      </c>
      <c r="O300" s="2">
        <v>0</v>
      </c>
      <c r="P300" s="2">
        <v>0</v>
      </c>
      <c r="Q300" s="2">
        <v>0</v>
      </c>
      <c r="R300" s="2">
        <v>0</v>
      </c>
      <c r="S300" s="2">
        <v>0.22222222222222213</v>
      </c>
      <c r="T300" s="2">
        <v>0.5555555555555551</v>
      </c>
      <c r="U300" s="2">
        <v>0.2222222222222228</v>
      </c>
    </row>
    <row r="301" spans="1:21" s="2" customFormat="1" ht="1.5" customHeight="1">
      <c r="A301" s="57">
        <v>0</v>
      </c>
      <c r="B301" s="57">
        <v>0</v>
      </c>
      <c r="C301" s="2">
        <v>0</v>
      </c>
      <c r="D301" s="2">
        <v>0</v>
      </c>
      <c r="E301" s="2">
        <v>0</v>
      </c>
      <c r="F301" s="2">
        <v>0</v>
      </c>
      <c r="G301" s="2">
        <v>0</v>
      </c>
      <c r="H301" s="2">
        <v>0</v>
      </c>
      <c r="I301" s="2">
        <v>0</v>
      </c>
      <c r="J301" s="2">
        <v>0</v>
      </c>
      <c r="K301" s="2">
        <v>0</v>
      </c>
      <c r="L301" s="2">
        <v>0</v>
      </c>
      <c r="M301" s="2">
        <v>0</v>
      </c>
      <c r="N301" s="2">
        <v>0</v>
      </c>
      <c r="O301" s="2">
        <v>0</v>
      </c>
      <c r="P301" s="2">
        <v>0</v>
      </c>
      <c r="Q301" s="2">
        <v>0</v>
      </c>
      <c r="R301" s="2">
        <v>0</v>
      </c>
      <c r="S301" s="2">
        <v>0.22222222222222213</v>
      </c>
      <c r="T301" s="2">
        <v>0.5555555555555551</v>
      </c>
      <c r="U301" s="2">
        <v>0.2222222222222228</v>
      </c>
    </row>
    <row r="302" spans="1:21" s="2" customFormat="1" ht="1.5" customHeight="1">
      <c r="A302" s="57">
        <v>0</v>
      </c>
      <c r="B302" s="57">
        <v>0</v>
      </c>
      <c r="C302" s="2">
        <v>0</v>
      </c>
      <c r="D302" s="2">
        <v>0</v>
      </c>
      <c r="E302" s="2">
        <v>0</v>
      </c>
      <c r="F302" s="2">
        <v>0</v>
      </c>
      <c r="G302" s="2">
        <v>0</v>
      </c>
      <c r="H302" s="2">
        <v>0</v>
      </c>
      <c r="I302" s="2">
        <v>0</v>
      </c>
      <c r="J302" s="2">
        <v>0</v>
      </c>
      <c r="K302" s="2">
        <v>0</v>
      </c>
      <c r="L302" s="2">
        <v>0</v>
      </c>
      <c r="M302" s="2">
        <v>0</v>
      </c>
      <c r="N302" s="2">
        <v>0</v>
      </c>
      <c r="O302" s="2">
        <v>0</v>
      </c>
      <c r="P302" s="2">
        <v>0</v>
      </c>
      <c r="Q302" s="2">
        <v>0</v>
      </c>
      <c r="R302" s="2">
        <v>0</v>
      </c>
      <c r="S302" s="2">
        <v>0.3333333333333333</v>
      </c>
      <c r="T302" s="2">
        <v>0.3333333333333333</v>
      </c>
      <c r="U302" s="2">
        <v>0.3333333333333333</v>
      </c>
    </row>
    <row r="303" spans="1:21" s="2" customFormat="1" ht="1.5" customHeight="1">
      <c r="A303" s="57">
        <v>0</v>
      </c>
      <c r="B303" s="57">
        <v>0</v>
      </c>
      <c r="C303" s="2">
        <v>0</v>
      </c>
      <c r="D303" s="2">
        <v>0</v>
      </c>
      <c r="E303" s="2">
        <v>0</v>
      </c>
      <c r="F303" s="2">
        <v>0</v>
      </c>
      <c r="G303" s="2">
        <v>0</v>
      </c>
      <c r="H303" s="2">
        <v>0</v>
      </c>
      <c r="I303" s="2">
        <v>0</v>
      </c>
      <c r="J303" s="2">
        <v>0</v>
      </c>
      <c r="K303" s="2">
        <v>0</v>
      </c>
      <c r="L303" s="2">
        <v>0</v>
      </c>
      <c r="M303" s="2">
        <v>0</v>
      </c>
      <c r="N303" s="2">
        <v>0</v>
      </c>
      <c r="O303" s="2">
        <v>0</v>
      </c>
      <c r="P303" s="2">
        <v>0</v>
      </c>
      <c r="Q303" s="2">
        <v>0</v>
      </c>
      <c r="R303" s="2">
        <v>0</v>
      </c>
      <c r="S303" s="2">
        <v>0.22222222222222213</v>
      </c>
      <c r="T303" s="2">
        <v>0.5555555555555551</v>
      </c>
      <c r="U303" s="2">
        <v>0.2222222222222228</v>
      </c>
    </row>
    <row r="304" spans="1:21" s="2" customFormat="1" ht="1.5" customHeight="1">
      <c r="A304" s="57">
        <v>0</v>
      </c>
      <c r="B304" s="57">
        <v>0</v>
      </c>
      <c r="C304" s="2">
        <v>0</v>
      </c>
      <c r="D304" s="2">
        <v>0</v>
      </c>
      <c r="E304" s="2">
        <v>0</v>
      </c>
      <c r="F304" s="2">
        <v>0</v>
      </c>
      <c r="G304" s="2">
        <v>0</v>
      </c>
      <c r="H304" s="2">
        <v>0</v>
      </c>
      <c r="I304" s="2">
        <v>0</v>
      </c>
      <c r="J304" s="2">
        <v>0</v>
      </c>
      <c r="K304" s="2">
        <v>0</v>
      </c>
      <c r="L304" s="2">
        <v>0</v>
      </c>
      <c r="M304" s="2">
        <v>0</v>
      </c>
      <c r="N304" s="2">
        <v>0</v>
      </c>
      <c r="O304" s="2">
        <v>0</v>
      </c>
      <c r="P304" s="2">
        <v>0.037037037037037</v>
      </c>
      <c r="Q304" s="2">
        <v>0.11111111111111091</v>
      </c>
      <c r="R304" s="2">
        <v>0.1851851851851848</v>
      </c>
      <c r="S304" s="2">
        <v>0.25925925925925875</v>
      </c>
      <c r="T304" s="2">
        <v>0.296296296296295</v>
      </c>
      <c r="U304" s="2">
        <v>0.11111111111111356</v>
      </c>
    </row>
    <row r="305" spans="1:21" s="2" customFormat="1" ht="1.5" customHeight="1">
      <c r="A305" s="57">
        <v>0</v>
      </c>
      <c r="B305" s="57">
        <v>0</v>
      </c>
      <c r="C305" s="2">
        <v>0</v>
      </c>
      <c r="D305" s="2">
        <v>0</v>
      </c>
      <c r="E305" s="2">
        <v>0</v>
      </c>
      <c r="F305" s="2">
        <v>0</v>
      </c>
      <c r="G305" s="2">
        <v>0</v>
      </c>
      <c r="H305" s="2">
        <v>0</v>
      </c>
      <c r="I305" s="2">
        <v>0</v>
      </c>
      <c r="J305" s="2">
        <v>0</v>
      </c>
      <c r="K305" s="2">
        <v>0</v>
      </c>
      <c r="L305" s="2">
        <v>8.559688641721048E-33</v>
      </c>
      <c r="M305" s="2">
        <v>0.11111111111111108</v>
      </c>
      <c r="N305" s="2">
        <v>0.2962962962962963</v>
      </c>
      <c r="O305" s="2">
        <v>0.2592592592592593</v>
      </c>
      <c r="P305" s="2">
        <v>0.1851851851851856</v>
      </c>
      <c r="Q305" s="2">
        <v>0.11111111111111086</v>
      </c>
      <c r="R305" s="2">
        <v>0.037037037037036875</v>
      </c>
      <c r="S305" s="2">
        <v>0</v>
      </c>
      <c r="T305" s="2">
        <v>0</v>
      </c>
      <c r="U305" s="2">
        <v>0</v>
      </c>
    </row>
    <row r="306" spans="1:21" s="2" customFormat="1" ht="1.5" customHeight="1">
      <c r="A306" s="57">
        <v>0</v>
      </c>
      <c r="B306" s="57">
        <v>0</v>
      </c>
      <c r="C306" s="2">
        <v>0</v>
      </c>
      <c r="D306" s="2">
        <v>0</v>
      </c>
      <c r="E306" s="2">
        <v>0</v>
      </c>
      <c r="F306" s="2">
        <v>0</v>
      </c>
      <c r="G306" s="2">
        <v>0</v>
      </c>
      <c r="H306" s="2">
        <v>0</v>
      </c>
      <c r="I306" s="2">
        <v>0</v>
      </c>
      <c r="J306" s="2">
        <v>0.3333333333333333</v>
      </c>
      <c r="K306" s="2">
        <v>0.3333333333333333</v>
      </c>
      <c r="L306" s="2">
        <v>0.3333333333333333</v>
      </c>
      <c r="M306" s="2">
        <v>0</v>
      </c>
      <c r="N306" s="2">
        <v>0</v>
      </c>
      <c r="O306" s="2">
        <v>0</v>
      </c>
      <c r="P306" s="2">
        <v>0</v>
      </c>
      <c r="Q306" s="2">
        <v>0</v>
      </c>
      <c r="R306" s="2">
        <v>0</v>
      </c>
      <c r="S306" s="2">
        <v>0</v>
      </c>
      <c r="T306" s="2">
        <v>0</v>
      </c>
      <c r="U306" s="2">
        <v>0</v>
      </c>
    </row>
    <row r="307" spans="1:21" s="2" customFormat="1" ht="1.5" customHeight="1">
      <c r="A307" s="57">
        <v>0</v>
      </c>
      <c r="B307" s="57">
        <v>0</v>
      </c>
      <c r="C307" s="2">
        <v>0</v>
      </c>
      <c r="D307" s="2">
        <v>0</v>
      </c>
      <c r="E307" s="2">
        <v>0</v>
      </c>
      <c r="F307" s="2">
        <v>0</v>
      </c>
      <c r="G307" s="2">
        <v>0</v>
      </c>
      <c r="H307" s="2">
        <v>0</v>
      </c>
      <c r="I307" s="2">
        <v>0</v>
      </c>
      <c r="J307" s="2">
        <v>0</v>
      </c>
      <c r="K307" s="2">
        <v>0</v>
      </c>
      <c r="L307" s="2">
        <v>1.7119377283442085E-32</v>
      </c>
      <c r="M307" s="2">
        <v>0.222222222222222</v>
      </c>
      <c r="N307" s="2">
        <v>0.5555555555555554</v>
      </c>
      <c r="O307" s="2">
        <v>0.22222222222222265</v>
      </c>
      <c r="P307" s="2">
        <v>0</v>
      </c>
      <c r="Q307" s="2">
        <v>0</v>
      </c>
      <c r="R307" s="2">
        <v>0</v>
      </c>
      <c r="S307" s="2">
        <v>0</v>
      </c>
      <c r="T307" s="2">
        <v>0</v>
      </c>
      <c r="U307" s="2">
        <v>0</v>
      </c>
    </row>
    <row r="308" spans="1:21" s="2" customFormat="1" ht="1.5" customHeight="1">
      <c r="A308" s="57">
        <v>0</v>
      </c>
      <c r="B308" s="57">
        <v>0</v>
      </c>
      <c r="C308" s="2">
        <v>0</v>
      </c>
      <c r="D308" s="2">
        <v>0</v>
      </c>
      <c r="E308" s="2">
        <v>0</v>
      </c>
      <c r="F308" s="2">
        <v>0</v>
      </c>
      <c r="G308" s="2">
        <v>0</v>
      </c>
      <c r="H308" s="2">
        <v>0</v>
      </c>
      <c r="I308" s="2">
        <v>0</v>
      </c>
      <c r="J308" s="2">
        <v>0</v>
      </c>
      <c r="K308" s="2">
        <v>0</v>
      </c>
      <c r="L308" s="2">
        <v>0</v>
      </c>
      <c r="M308" s="2">
        <v>0.3333333333333333</v>
      </c>
      <c r="N308" s="2">
        <v>0.3333333333333333</v>
      </c>
      <c r="O308" s="2">
        <v>0.3333333333333333</v>
      </c>
      <c r="P308" s="2">
        <v>0</v>
      </c>
      <c r="Q308" s="2">
        <v>0</v>
      </c>
      <c r="R308" s="2">
        <v>0</v>
      </c>
      <c r="S308" s="2">
        <v>0</v>
      </c>
      <c r="T308" s="2">
        <v>0</v>
      </c>
      <c r="U308" s="2">
        <v>0</v>
      </c>
    </row>
    <row r="309" spans="1:21" s="2" customFormat="1" ht="1.5" customHeight="1">
      <c r="A309" s="57">
        <v>0</v>
      </c>
      <c r="B309" s="57">
        <v>0</v>
      </c>
      <c r="C309" s="2">
        <v>0</v>
      </c>
      <c r="D309" s="2">
        <v>0</v>
      </c>
      <c r="E309" s="2">
        <v>0</v>
      </c>
      <c r="F309" s="2">
        <v>0</v>
      </c>
      <c r="G309" s="2">
        <v>0.024691358024691374</v>
      </c>
      <c r="H309" s="2">
        <v>0.07407407407407407</v>
      </c>
      <c r="I309" s="2">
        <v>0.12345679012345682</v>
      </c>
      <c r="J309" s="2">
        <v>0.17283950617283972</v>
      </c>
      <c r="K309" s="2">
        <v>0.2098765432098763</v>
      </c>
      <c r="L309" s="2">
        <v>0.17283950617283939</v>
      </c>
      <c r="M309" s="2">
        <v>0.12345679012345678</v>
      </c>
      <c r="N309" s="2">
        <v>0.07407407407407429</v>
      </c>
      <c r="O309" s="2">
        <v>0.024691358024691246</v>
      </c>
      <c r="P309" s="2">
        <v>0</v>
      </c>
      <c r="Q309" s="2">
        <v>0</v>
      </c>
      <c r="R309" s="2">
        <v>0</v>
      </c>
      <c r="S309" s="2">
        <v>0</v>
      </c>
      <c r="T309" s="2">
        <v>0</v>
      </c>
      <c r="U309" s="2">
        <v>0</v>
      </c>
    </row>
    <row r="310" spans="1:21" s="2" customFormat="1" ht="1.5" customHeight="1">
      <c r="A310" s="57">
        <v>0</v>
      </c>
      <c r="B310" s="57">
        <v>0</v>
      </c>
      <c r="C310" s="2">
        <v>0</v>
      </c>
      <c r="D310" s="2">
        <v>0</v>
      </c>
      <c r="E310" s="2">
        <v>0</v>
      </c>
      <c r="F310" s="2">
        <v>0</v>
      </c>
      <c r="G310" s="2">
        <v>0</v>
      </c>
      <c r="H310" s="2">
        <v>0</v>
      </c>
      <c r="I310" s="2">
        <v>0</v>
      </c>
      <c r="J310" s="2">
        <v>0</v>
      </c>
      <c r="K310" s="2">
        <v>0</v>
      </c>
      <c r="L310" s="2">
        <v>8.559688641721048E-33</v>
      </c>
      <c r="M310" s="2">
        <v>0.11111111111111108</v>
      </c>
      <c r="N310" s="2">
        <v>0.2962962962962963</v>
      </c>
      <c r="O310" s="2">
        <v>0.2592592592592593</v>
      </c>
      <c r="P310" s="2">
        <v>0.1851851851851856</v>
      </c>
      <c r="Q310" s="2">
        <v>0.11111111111111086</v>
      </c>
      <c r="R310" s="2">
        <v>0.037037037037036875</v>
      </c>
      <c r="S310" s="2">
        <v>0</v>
      </c>
      <c r="T310" s="2">
        <v>0</v>
      </c>
      <c r="U310" s="2">
        <v>0</v>
      </c>
    </row>
    <row r="311" spans="1:21" s="2" customFormat="1" ht="1.5" customHeight="1">
      <c r="A311" s="57">
        <v>0</v>
      </c>
      <c r="B311" s="57">
        <v>0</v>
      </c>
      <c r="C311" s="2">
        <v>0</v>
      </c>
      <c r="D311" s="2">
        <v>0</v>
      </c>
      <c r="E311" s="2">
        <v>0</v>
      </c>
      <c r="F311" s="2">
        <v>0</v>
      </c>
      <c r="G311" s="2">
        <v>0.01481481481481482</v>
      </c>
      <c r="H311" s="2">
        <v>0.04444444444444444</v>
      </c>
      <c r="I311" s="2">
        <v>0.07407407407407408</v>
      </c>
      <c r="J311" s="2">
        <v>0.1037037037037038</v>
      </c>
      <c r="K311" s="2">
        <v>0.13333333333333314</v>
      </c>
      <c r="L311" s="2">
        <v>0.16296296296296295</v>
      </c>
      <c r="M311" s="2">
        <v>0.19259259259259237</v>
      </c>
      <c r="N311" s="2">
        <v>0.2</v>
      </c>
      <c r="O311" s="2">
        <v>0.0740740740740745</v>
      </c>
      <c r="P311" s="2">
        <v>0</v>
      </c>
      <c r="Q311" s="2">
        <v>0</v>
      </c>
      <c r="R311" s="2">
        <v>0</v>
      </c>
      <c r="S311" s="2">
        <v>0</v>
      </c>
      <c r="T311" s="2">
        <v>0</v>
      </c>
      <c r="U311" s="2">
        <v>0</v>
      </c>
    </row>
    <row r="312" spans="1:21" s="2" customFormat="1" ht="1.5" customHeight="1">
      <c r="A312" s="57">
        <v>0</v>
      </c>
      <c r="B312" s="57">
        <v>0</v>
      </c>
      <c r="C312" s="2">
        <v>0</v>
      </c>
      <c r="D312" s="2">
        <v>0</v>
      </c>
      <c r="E312" s="2">
        <v>0</v>
      </c>
      <c r="F312" s="2">
        <v>0</v>
      </c>
      <c r="G312" s="2">
        <v>0</v>
      </c>
      <c r="H312" s="2">
        <v>0</v>
      </c>
      <c r="I312" s="2">
        <v>0</v>
      </c>
      <c r="J312" s="2">
        <v>0</v>
      </c>
      <c r="K312" s="2">
        <v>0</v>
      </c>
      <c r="L312" s="2">
        <v>2.853229547240354E-33</v>
      </c>
      <c r="M312" s="2">
        <v>0.03703703703703708</v>
      </c>
      <c r="N312" s="2">
        <v>0.11111111111111122</v>
      </c>
      <c r="O312" s="2">
        <v>0.18518518518518554</v>
      </c>
      <c r="P312" s="2">
        <v>0.2592592592592598</v>
      </c>
      <c r="Q312" s="2">
        <v>0.2962962962962958</v>
      </c>
      <c r="R312" s="2">
        <v>0.11111111111111063</v>
      </c>
      <c r="S312" s="2">
        <v>0</v>
      </c>
      <c r="T312" s="2">
        <v>0</v>
      </c>
      <c r="U312" s="2">
        <v>0</v>
      </c>
    </row>
    <row r="313" spans="1:21" s="2" customFormat="1" ht="1.5" customHeight="1">
      <c r="A313" s="57">
        <v>0</v>
      </c>
      <c r="B313" s="57">
        <v>0</v>
      </c>
      <c r="C313" s="2">
        <v>0</v>
      </c>
      <c r="D313" s="2">
        <v>0</v>
      </c>
      <c r="E313" s="2">
        <v>0</v>
      </c>
      <c r="F313" s="2">
        <v>0</v>
      </c>
      <c r="G313" s="2">
        <v>0</v>
      </c>
      <c r="H313" s="2">
        <v>0</v>
      </c>
      <c r="I313" s="2">
        <v>0</v>
      </c>
      <c r="J313" s="2">
        <v>0</v>
      </c>
      <c r="K313" s="2">
        <v>0</v>
      </c>
      <c r="L313" s="2">
        <v>0</v>
      </c>
      <c r="M313" s="2">
        <v>0.3333333333333333</v>
      </c>
      <c r="N313" s="2">
        <v>0.3333333333333333</v>
      </c>
      <c r="O313" s="2">
        <v>0.3333333333333333</v>
      </c>
      <c r="P313" s="2">
        <v>0</v>
      </c>
      <c r="Q313" s="2">
        <v>0</v>
      </c>
      <c r="R313" s="2">
        <v>0</v>
      </c>
      <c r="S313" s="2">
        <v>0</v>
      </c>
      <c r="T313" s="2">
        <v>0</v>
      </c>
      <c r="U313" s="2">
        <v>0</v>
      </c>
    </row>
    <row r="314" spans="1:21" s="2" customFormat="1" ht="1.5" customHeight="1">
      <c r="A314" s="57">
        <v>0</v>
      </c>
      <c r="B314" s="57">
        <v>0</v>
      </c>
      <c r="C314" s="2">
        <v>0</v>
      </c>
      <c r="D314" s="2">
        <v>0</v>
      </c>
      <c r="E314" s="2">
        <v>0</v>
      </c>
      <c r="F314" s="2">
        <v>0</v>
      </c>
      <c r="G314" s="2">
        <v>0</v>
      </c>
      <c r="H314" s="2">
        <v>0</v>
      </c>
      <c r="I314" s="2">
        <v>0</v>
      </c>
      <c r="J314" s="2">
        <v>0</v>
      </c>
      <c r="K314" s="2">
        <v>0</v>
      </c>
      <c r="L314" s="2">
        <v>2.853229547240354E-33</v>
      </c>
      <c r="M314" s="2">
        <v>0.03703703703703708</v>
      </c>
      <c r="N314" s="2">
        <v>0.11111111111111122</v>
      </c>
      <c r="O314" s="2">
        <v>0.18518518518518554</v>
      </c>
      <c r="P314" s="2">
        <v>0.2592592592592598</v>
      </c>
      <c r="Q314" s="2">
        <v>0.2962962962962958</v>
      </c>
      <c r="R314" s="2">
        <v>0.11111111111111063</v>
      </c>
      <c r="S314" s="2">
        <v>0</v>
      </c>
      <c r="T314" s="2">
        <v>0</v>
      </c>
      <c r="U314" s="2">
        <v>0</v>
      </c>
    </row>
    <row r="315" spans="1:21" s="2" customFormat="1" ht="1.5" customHeight="1">
      <c r="A315" s="57">
        <v>0</v>
      </c>
      <c r="B315" s="57">
        <v>0</v>
      </c>
      <c r="C315" s="2">
        <v>0</v>
      </c>
      <c r="D315" s="2">
        <v>0</v>
      </c>
      <c r="E315" s="2">
        <v>0</v>
      </c>
      <c r="F315" s="2">
        <v>0</v>
      </c>
      <c r="G315" s="2">
        <v>0</v>
      </c>
      <c r="H315" s="2">
        <v>0</v>
      </c>
      <c r="I315" s="2">
        <v>0</v>
      </c>
      <c r="J315" s="2">
        <v>0</v>
      </c>
      <c r="K315" s="2">
        <v>0</v>
      </c>
      <c r="L315" s="2">
        <v>0</v>
      </c>
      <c r="M315" s="2">
        <v>0</v>
      </c>
      <c r="N315" s="2">
        <v>0</v>
      </c>
      <c r="O315" s="2">
        <v>0</v>
      </c>
      <c r="P315" s="2">
        <v>0.3333333333333333</v>
      </c>
      <c r="Q315" s="2">
        <v>0.3333333333333333</v>
      </c>
      <c r="R315" s="2">
        <v>0.3333333333333333</v>
      </c>
      <c r="S315" s="2">
        <v>0</v>
      </c>
      <c r="T315" s="2">
        <v>0</v>
      </c>
      <c r="U315" s="2">
        <v>0</v>
      </c>
    </row>
    <row r="316" spans="1:21" s="2" customFormat="1" ht="1.5" customHeight="1">
      <c r="A316" s="57">
        <v>0</v>
      </c>
      <c r="B316" s="57">
        <v>0</v>
      </c>
      <c r="C316" s="2">
        <v>0</v>
      </c>
      <c r="D316" s="2">
        <v>0</v>
      </c>
      <c r="E316" s="2">
        <v>0</v>
      </c>
      <c r="F316" s="2">
        <v>0</v>
      </c>
      <c r="G316" s="2">
        <v>0</v>
      </c>
      <c r="H316" s="2">
        <v>0</v>
      </c>
      <c r="I316" s="2">
        <v>0</v>
      </c>
      <c r="J316" s="2">
        <v>0</v>
      </c>
      <c r="K316" s="2">
        <v>0</v>
      </c>
      <c r="L316" s="2">
        <v>8.559688641721048E-33</v>
      </c>
      <c r="M316" s="2">
        <v>0.11111111111111108</v>
      </c>
      <c r="N316" s="2">
        <v>0.2962962962962963</v>
      </c>
      <c r="O316" s="2">
        <v>0.2592592592592593</v>
      </c>
      <c r="P316" s="2">
        <v>0.1851851851851856</v>
      </c>
      <c r="Q316" s="2">
        <v>0.11111111111111086</v>
      </c>
      <c r="R316" s="2">
        <v>0.037037037037036875</v>
      </c>
      <c r="S316" s="2">
        <v>0</v>
      </c>
      <c r="T316" s="2">
        <v>0</v>
      </c>
      <c r="U316" s="2">
        <v>0</v>
      </c>
    </row>
    <row r="317" spans="1:21" s="2" customFormat="1" ht="1.5" customHeight="1">
      <c r="A317" s="57">
        <v>0</v>
      </c>
      <c r="B317" s="57">
        <v>0</v>
      </c>
      <c r="C317" s="2">
        <v>0</v>
      </c>
      <c r="D317" s="2">
        <v>0</v>
      </c>
      <c r="E317" s="2">
        <v>0</v>
      </c>
      <c r="F317" s="2">
        <v>0</v>
      </c>
      <c r="G317" s="2">
        <v>0</v>
      </c>
      <c r="H317" s="2">
        <v>0</v>
      </c>
      <c r="I317" s="2">
        <v>0</v>
      </c>
      <c r="J317" s="2">
        <v>0</v>
      </c>
      <c r="K317" s="2">
        <v>0</v>
      </c>
      <c r="L317" s="2">
        <v>2.853229547240354E-33</v>
      </c>
      <c r="M317" s="2">
        <v>0.03703703703703708</v>
      </c>
      <c r="N317" s="2">
        <v>0.11111111111111122</v>
      </c>
      <c r="O317" s="2">
        <v>0.18518518518518554</v>
      </c>
      <c r="P317" s="2">
        <v>0.2592592592592598</v>
      </c>
      <c r="Q317" s="2">
        <v>0.2962962962962958</v>
      </c>
      <c r="R317" s="2">
        <v>0.11111111111111063</v>
      </c>
      <c r="S317" s="2">
        <v>0</v>
      </c>
      <c r="T317" s="2">
        <v>0</v>
      </c>
      <c r="U317" s="2">
        <v>0</v>
      </c>
    </row>
    <row r="318" spans="1:21" s="2" customFormat="1" ht="1.5" customHeight="1">
      <c r="A318" s="57">
        <v>0</v>
      </c>
      <c r="B318" s="57">
        <v>0</v>
      </c>
      <c r="C318" s="2">
        <v>0</v>
      </c>
      <c r="D318" s="2">
        <v>0</v>
      </c>
      <c r="E318" s="2">
        <v>0</v>
      </c>
      <c r="F318" s="2">
        <v>0</v>
      </c>
      <c r="G318" s="2">
        <v>0</v>
      </c>
      <c r="H318" s="2">
        <v>0</v>
      </c>
      <c r="I318" s="2">
        <v>0</v>
      </c>
      <c r="J318" s="2">
        <v>0</v>
      </c>
      <c r="K318" s="2">
        <v>0</v>
      </c>
      <c r="L318" s="2">
        <v>2.853229547240354E-33</v>
      </c>
      <c r="M318" s="2">
        <v>0.03703703703703708</v>
      </c>
      <c r="N318" s="2">
        <v>0.11111111111111122</v>
      </c>
      <c r="O318" s="2">
        <v>0.18518518518518554</v>
      </c>
      <c r="P318" s="2">
        <v>0.2592592592592598</v>
      </c>
      <c r="Q318" s="2">
        <v>0.2962962962962958</v>
      </c>
      <c r="R318" s="2">
        <v>0.11111111111111063</v>
      </c>
      <c r="S318" s="2">
        <v>0</v>
      </c>
      <c r="T318" s="2">
        <v>0</v>
      </c>
      <c r="U318" s="2">
        <v>0</v>
      </c>
    </row>
    <row r="319" spans="1:21" s="2" customFormat="1" ht="1.5" customHeight="1">
      <c r="A319" s="57">
        <v>0</v>
      </c>
      <c r="B319" s="57">
        <v>0</v>
      </c>
      <c r="C319" s="2">
        <v>0</v>
      </c>
      <c r="D319" s="2">
        <v>0</v>
      </c>
      <c r="E319" s="2">
        <v>0</v>
      </c>
      <c r="F319" s="2">
        <v>0</v>
      </c>
      <c r="G319" s="2">
        <v>0</v>
      </c>
      <c r="H319" s="2">
        <v>0</v>
      </c>
      <c r="I319" s="2">
        <v>0</v>
      </c>
      <c r="J319" s="2">
        <v>0</v>
      </c>
      <c r="K319" s="2">
        <v>0</v>
      </c>
      <c r="L319" s="2">
        <v>0</v>
      </c>
      <c r="M319" s="2">
        <v>0</v>
      </c>
      <c r="N319" s="2">
        <v>0</v>
      </c>
      <c r="O319" s="2">
        <v>0</v>
      </c>
      <c r="P319" s="2">
        <v>0.037037037037037</v>
      </c>
      <c r="Q319" s="2">
        <v>0.11111111111111091</v>
      </c>
      <c r="R319" s="2">
        <v>0.1851851851851848</v>
      </c>
      <c r="S319" s="2">
        <v>0.25925925925925875</v>
      </c>
      <c r="T319" s="2">
        <v>0.296296296296295</v>
      </c>
      <c r="U319" s="2">
        <v>0.11111111111111356</v>
      </c>
    </row>
    <row r="320" spans="1:21" s="2" customFormat="1" ht="1.5" customHeight="1">
      <c r="A320" s="57">
        <v>0</v>
      </c>
      <c r="B320" s="57">
        <v>0</v>
      </c>
      <c r="C320" s="2">
        <v>0</v>
      </c>
      <c r="D320" s="2">
        <v>0</v>
      </c>
      <c r="E320" s="2">
        <v>0</v>
      </c>
      <c r="F320" s="2">
        <v>0</v>
      </c>
      <c r="G320" s="2">
        <v>0</v>
      </c>
      <c r="H320" s="2">
        <v>0</v>
      </c>
      <c r="I320" s="2">
        <v>0</v>
      </c>
      <c r="J320" s="2">
        <v>0</v>
      </c>
      <c r="K320" s="2">
        <v>0</v>
      </c>
      <c r="L320" s="2">
        <v>0</v>
      </c>
      <c r="M320" s="2">
        <v>0</v>
      </c>
      <c r="N320" s="2">
        <v>0</v>
      </c>
      <c r="O320" s="2">
        <v>0</v>
      </c>
      <c r="P320" s="2">
        <v>0.3333333333333333</v>
      </c>
      <c r="Q320" s="2">
        <v>0.3333333333333333</v>
      </c>
      <c r="R320" s="2">
        <v>0.3333333333333333</v>
      </c>
      <c r="S320" s="2">
        <v>0</v>
      </c>
      <c r="T320" s="2">
        <v>0</v>
      </c>
      <c r="U320" s="2">
        <v>0</v>
      </c>
    </row>
    <row r="321" spans="1:21" s="2" customFormat="1" ht="1.5" customHeight="1">
      <c r="A321" s="57">
        <v>0</v>
      </c>
      <c r="B321" s="57">
        <v>0</v>
      </c>
      <c r="C321" s="2">
        <v>0</v>
      </c>
      <c r="D321" s="2">
        <v>0</v>
      </c>
      <c r="E321" s="2">
        <v>0</v>
      </c>
      <c r="F321" s="2">
        <v>0</v>
      </c>
      <c r="G321" s="2">
        <v>0</v>
      </c>
      <c r="H321" s="2">
        <v>0</v>
      </c>
      <c r="I321" s="2">
        <v>0</v>
      </c>
      <c r="J321" s="2">
        <v>0</v>
      </c>
      <c r="K321" s="2">
        <v>0</v>
      </c>
      <c r="L321" s="2">
        <v>0</v>
      </c>
      <c r="M321" s="2">
        <v>0</v>
      </c>
      <c r="N321" s="2">
        <v>0</v>
      </c>
      <c r="O321" s="2">
        <v>0</v>
      </c>
      <c r="P321" s="2">
        <v>0.037037037037037</v>
      </c>
      <c r="Q321" s="2">
        <v>0.11111111111111091</v>
      </c>
      <c r="R321" s="2">
        <v>0.1851851851851848</v>
      </c>
      <c r="S321" s="2">
        <v>0.25925925925925875</v>
      </c>
      <c r="T321" s="2">
        <v>0.296296296296295</v>
      </c>
      <c r="U321" s="2">
        <v>0.11111111111111356</v>
      </c>
    </row>
    <row r="322" spans="1:21" s="2" customFormat="1" ht="1.5" customHeight="1">
      <c r="A322" s="57">
        <v>0</v>
      </c>
      <c r="B322" s="57">
        <v>0</v>
      </c>
      <c r="C322" s="2">
        <v>0</v>
      </c>
      <c r="D322" s="2">
        <v>0</v>
      </c>
      <c r="E322" s="2">
        <v>0</v>
      </c>
      <c r="F322" s="2">
        <v>0</v>
      </c>
      <c r="G322" s="2">
        <v>0</v>
      </c>
      <c r="H322" s="2">
        <v>0</v>
      </c>
      <c r="I322" s="2">
        <v>8.559688641721048E-33</v>
      </c>
      <c r="J322" s="2">
        <v>0.11111111111111135</v>
      </c>
      <c r="K322" s="2">
        <v>0.29629629629629606</v>
      </c>
      <c r="L322" s="2">
        <v>0.25925925925925924</v>
      </c>
      <c r="M322" s="2">
        <v>0.18518518518518526</v>
      </c>
      <c r="N322" s="2">
        <v>0.11111111111111097</v>
      </c>
      <c r="O322" s="2">
        <v>0.0370370370370371</v>
      </c>
      <c r="P322" s="2">
        <v>0</v>
      </c>
      <c r="Q322" s="2">
        <v>0</v>
      </c>
      <c r="R322" s="2">
        <v>0</v>
      </c>
      <c r="S322" s="2">
        <v>0</v>
      </c>
      <c r="T322" s="2">
        <v>0</v>
      </c>
      <c r="U322" s="2">
        <v>0</v>
      </c>
    </row>
    <row r="323" spans="1:21" s="2" customFormat="1" ht="1.5" customHeight="1">
      <c r="A323" s="57">
        <v>0</v>
      </c>
      <c r="B323" s="57">
        <v>0</v>
      </c>
      <c r="C323" s="2">
        <v>0</v>
      </c>
      <c r="D323" s="2">
        <v>0</v>
      </c>
      <c r="E323" s="2">
        <v>0</v>
      </c>
      <c r="F323" s="2">
        <v>0</v>
      </c>
      <c r="G323" s="2">
        <v>0</v>
      </c>
      <c r="H323" s="2">
        <v>0</v>
      </c>
      <c r="I323" s="2">
        <v>0</v>
      </c>
      <c r="J323" s="2">
        <v>0.3333333333333333</v>
      </c>
      <c r="K323" s="2">
        <v>0.3333333333333333</v>
      </c>
      <c r="L323" s="2">
        <v>0.3333333333333333</v>
      </c>
      <c r="M323" s="2">
        <v>0</v>
      </c>
      <c r="N323" s="2">
        <v>0</v>
      </c>
      <c r="O323" s="2">
        <v>0</v>
      </c>
      <c r="P323" s="2">
        <v>0</v>
      </c>
      <c r="Q323" s="2">
        <v>0</v>
      </c>
      <c r="R323" s="2">
        <v>0</v>
      </c>
      <c r="S323" s="2">
        <v>0</v>
      </c>
      <c r="T323" s="2">
        <v>0</v>
      </c>
      <c r="U323" s="2">
        <v>0</v>
      </c>
    </row>
    <row r="324" spans="1:21" s="2" customFormat="1" ht="1.5" customHeight="1">
      <c r="A324" s="57">
        <v>0</v>
      </c>
      <c r="B324" s="57">
        <v>0</v>
      </c>
      <c r="C324" s="2">
        <v>0</v>
      </c>
      <c r="D324" s="2">
        <v>0</v>
      </c>
      <c r="E324" s="2">
        <v>0</v>
      </c>
      <c r="F324" s="2">
        <v>0</v>
      </c>
      <c r="G324" s="2">
        <v>0.16666666666666669</v>
      </c>
      <c r="H324" s="2">
        <v>0.16666666666666669</v>
      </c>
      <c r="I324" s="2">
        <v>0.16666666666666669</v>
      </c>
      <c r="J324" s="2">
        <v>0.16666666666666669</v>
      </c>
      <c r="K324" s="2">
        <v>0.16666666666666669</v>
      </c>
      <c r="L324" s="2">
        <v>0.16666666666666669</v>
      </c>
      <c r="M324" s="2">
        <v>0</v>
      </c>
      <c r="N324" s="2">
        <v>0</v>
      </c>
      <c r="O324" s="2">
        <v>0</v>
      </c>
      <c r="P324" s="2">
        <v>0</v>
      </c>
      <c r="Q324" s="2">
        <v>0</v>
      </c>
      <c r="R324" s="2">
        <v>0</v>
      </c>
      <c r="S324" s="2">
        <v>0</v>
      </c>
      <c r="T324" s="2">
        <v>0</v>
      </c>
      <c r="U324" s="2">
        <v>0</v>
      </c>
    </row>
    <row r="325" spans="1:21" s="2" customFormat="1" ht="1.5" customHeight="1">
      <c r="A325" s="57">
        <v>0</v>
      </c>
      <c r="B325" s="57">
        <v>0</v>
      </c>
      <c r="C325" s="2">
        <v>0</v>
      </c>
      <c r="D325" s="2">
        <v>0</v>
      </c>
      <c r="E325" s="2">
        <v>0</v>
      </c>
      <c r="F325" s="2">
        <v>0</v>
      </c>
      <c r="G325" s="2">
        <v>0.3333333333333333</v>
      </c>
      <c r="H325" s="2">
        <v>0.3333333333333333</v>
      </c>
      <c r="I325" s="2">
        <v>0.3333333333333333</v>
      </c>
      <c r="J325" s="2">
        <v>0</v>
      </c>
      <c r="K325" s="2">
        <v>0</v>
      </c>
      <c r="L325" s="2">
        <v>0</v>
      </c>
      <c r="M325" s="2">
        <v>0</v>
      </c>
      <c r="N325" s="2">
        <v>0</v>
      </c>
      <c r="O325" s="2">
        <v>0</v>
      </c>
      <c r="P325" s="2">
        <v>0</v>
      </c>
      <c r="Q325" s="2">
        <v>0</v>
      </c>
      <c r="R325" s="2">
        <v>0</v>
      </c>
      <c r="S325" s="2">
        <v>0</v>
      </c>
      <c r="T325" s="2">
        <v>0</v>
      </c>
      <c r="U325" s="2">
        <v>0</v>
      </c>
    </row>
    <row r="326" spans="1:2" s="2" customFormat="1" ht="1.5" customHeight="1">
      <c r="A326" s="57"/>
      <c r="B326" s="57"/>
    </row>
    <row r="327" spans="1:2" s="2" customFormat="1" ht="1.5" customHeight="1">
      <c r="A327" s="57"/>
      <c r="B327" s="57"/>
    </row>
    <row r="328" spans="1:2" s="2" customFormat="1" ht="1.5" customHeight="1">
      <c r="A328" s="57"/>
      <c r="B328" s="57"/>
    </row>
    <row r="329" spans="1:2" s="2" customFormat="1" ht="1.5" customHeight="1">
      <c r="A329" s="57"/>
      <c r="B329" s="57"/>
    </row>
    <row r="330" spans="1:2" s="2" customFormat="1" ht="1.5" customHeight="1">
      <c r="A330" s="57"/>
      <c r="B330" s="57"/>
    </row>
    <row r="331" spans="1:2" s="2" customFormat="1" ht="1.5" customHeight="1">
      <c r="A331" s="57"/>
      <c r="B331" s="57"/>
    </row>
    <row r="332" spans="1:2" s="2" customFormat="1" ht="1.5" customHeight="1">
      <c r="A332" s="57"/>
      <c r="B332" s="57"/>
    </row>
    <row r="333" spans="1:2" s="2" customFormat="1" ht="1.5" customHeight="1">
      <c r="A333" s="57"/>
      <c r="B333" s="57"/>
    </row>
    <row r="334" spans="1:2" s="2" customFormat="1" ht="1.5" customHeight="1">
      <c r="A334" s="57"/>
      <c r="B334" s="57"/>
    </row>
    <row r="335" spans="1:21" ht="1.5" customHeight="1">
      <c r="A335" s="57"/>
      <c r="B335" s="57"/>
      <c r="C335" s="2"/>
      <c r="D335" s="2"/>
      <c r="E335" s="2"/>
      <c r="F335" s="2"/>
      <c r="G335" s="2"/>
      <c r="H335" s="2"/>
      <c r="I335" s="2"/>
      <c r="J335" s="2"/>
      <c r="K335" s="2"/>
      <c r="L335" s="2"/>
      <c r="M335" s="2"/>
      <c r="N335" s="2"/>
      <c r="O335" s="2"/>
      <c r="P335" s="2"/>
      <c r="Q335" s="2"/>
      <c r="R335" s="2"/>
      <c r="S335" s="2"/>
      <c r="T335" s="2"/>
      <c r="U335" s="2"/>
    </row>
    <row r="336" spans="1:21" ht="1.5" customHeight="1">
      <c r="A336" s="57"/>
      <c r="B336" s="57"/>
      <c r="C336" s="2"/>
      <c r="D336" s="2"/>
      <c r="E336" s="2"/>
      <c r="F336" s="2"/>
      <c r="G336" s="2"/>
      <c r="H336" s="2"/>
      <c r="I336" s="2"/>
      <c r="J336" s="2"/>
      <c r="K336" s="2"/>
      <c r="L336" s="2"/>
      <c r="M336" s="2"/>
      <c r="N336" s="2"/>
      <c r="O336" s="2"/>
      <c r="P336" s="2"/>
      <c r="Q336" s="2"/>
      <c r="R336" s="2"/>
      <c r="S336" s="2"/>
      <c r="T336" s="2"/>
      <c r="U336" s="2"/>
    </row>
    <row r="337" spans="1:21" ht="1.5" customHeight="1">
      <c r="A337" s="57"/>
      <c r="B337" s="57"/>
      <c r="C337" s="2"/>
      <c r="D337" s="2"/>
      <c r="E337" s="2"/>
      <c r="F337" s="2"/>
      <c r="G337" s="2"/>
      <c r="H337" s="2"/>
      <c r="I337" s="2"/>
      <c r="J337" s="2"/>
      <c r="K337" s="2"/>
      <c r="L337" s="2"/>
      <c r="M337" s="2"/>
      <c r="N337" s="2"/>
      <c r="O337" s="2"/>
      <c r="P337" s="2"/>
      <c r="Q337" s="2"/>
      <c r="R337" s="2"/>
      <c r="S337" s="2"/>
      <c r="T337" s="2"/>
      <c r="U337" s="2"/>
    </row>
    <row r="338" spans="1:21" ht="1.5" customHeight="1">
      <c r="A338" s="57"/>
      <c r="B338" s="57"/>
      <c r="C338" s="2"/>
      <c r="D338" s="2"/>
      <c r="E338" s="2"/>
      <c r="F338" s="2"/>
      <c r="G338" s="2"/>
      <c r="H338" s="2"/>
      <c r="I338" s="2"/>
      <c r="J338" s="2"/>
      <c r="K338" s="2"/>
      <c r="L338" s="2"/>
      <c r="M338" s="2"/>
      <c r="N338" s="2"/>
      <c r="O338" s="2"/>
      <c r="P338" s="2"/>
      <c r="Q338" s="2"/>
      <c r="R338" s="2"/>
      <c r="S338" s="2"/>
      <c r="T338" s="2"/>
      <c r="U338" s="2"/>
    </row>
    <row r="339" spans="1:21" ht="1.5" customHeight="1">
      <c r="A339" s="57"/>
      <c r="B339" s="57"/>
      <c r="C339" s="2"/>
      <c r="D339" s="2"/>
      <c r="E339" s="2"/>
      <c r="F339" s="2"/>
      <c r="G339" s="2"/>
      <c r="H339" s="2"/>
      <c r="I339" s="2"/>
      <c r="J339" s="2"/>
      <c r="K339" s="2"/>
      <c r="L339" s="2"/>
      <c r="M339" s="2"/>
      <c r="N339" s="2"/>
      <c r="O339" s="2"/>
      <c r="P339" s="2"/>
      <c r="Q339" s="2"/>
      <c r="R339" s="2"/>
      <c r="S339" s="2"/>
      <c r="T339" s="2"/>
      <c r="U339" s="2"/>
    </row>
    <row r="340" spans="1:21" ht="1.5" customHeight="1">
      <c r="A340" s="57"/>
      <c r="B340" s="57"/>
      <c r="C340" s="2"/>
      <c r="D340" s="2"/>
      <c r="E340" s="2"/>
      <c r="F340" s="2"/>
      <c r="G340" s="2"/>
      <c r="H340" s="2"/>
      <c r="I340" s="2"/>
      <c r="J340" s="2"/>
      <c r="K340" s="2"/>
      <c r="L340" s="2"/>
      <c r="M340" s="2"/>
      <c r="N340" s="2"/>
      <c r="O340" s="2"/>
      <c r="P340" s="2"/>
      <c r="Q340" s="2"/>
      <c r="R340" s="2"/>
      <c r="S340" s="2"/>
      <c r="T340" s="2"/>
      <c r="U340" s="2"/>
    </row>
    <row r="341" spans="1:21" ht="1.5" customHeight="1">
      <c r="A341" s="57"/>
      <c r="B341" s="57"/>
      <c r="C341" s="2"/>
      <c r="D341" s="2"/>
      <c r="E341" s="2"/>
      <c r="F341" s="2"/>
      <c r="G341" s="2"/>
      <c r="H341" s="2"/>
      <c r="I341" s="2"/>
      <c r="J341" s="2"/>
      <c r="K341" s="2"/>
      <c r="L341" s="2"/>
      <c r="M341" s="2"/>
      <c r="N341" s="2"/>
      <c r="O341" s="2"/>
      <c r="P341" s="2"/>
      <c r="Q341" s="2"/>
      <c r="R341" s="2"/>
      <c r="S341" s="2"/>
      <c r="T341" s="2"/>
      <c r="U341" s="2"/>
    </row>
    <row r="342" spans="1:21" ht="1.5" customHeight="1">
      <c r="A342" s="57"/>
      <c r="B342" s="57"/>
      <c r="C342" s="2"/>
      <c r="D342" s="2"/>
      <c r="E342" s="2"/>
      <c r="F342" s="2"/>
      <c r="G342" s="2"/>
      <c r="H342" s="2"/>
      <c r="I342" s="2"/>
      <c r="J342" s="2"/>
      <c r="K342" s="2"/>
      <c r="L342" s="2"/>
      <c r="M342" s="2"/>
      <c r="N342" s="2"/>
      <c r="O342" s="2"/>
      <c r="P342" s="2"/>
      <c r="Q342" s="2"/>
      <c r="R342" s="2"/>
      <c r="S342" s="2"/>
      <c r="T342" s="2"/>
      <c r="U342" s="2"/>
    </row>
    <row r="343" spans="1:21" ht="1.5" customHeight="1">
      <c r="A343" s="57"/>
      <c r="B343" s="57"/>
      <c r="C343" s="2"/>
      <c r="D343" s="2"/>
      <c r="E343" s="2"/>
      <c r="F343" s="2"/>
      <c r="G343" s="2"/>
      <c r="H343" s="2"/>
      <c r="I343" s="2"/>
      <c r="J343" s="2"/>
      <c r="K343" s="2"/>
      <c r="L343" s="2"/>
      <c r="M343" s="2"/>
      <c r="N343" s="2"/>
      <c r="O343" s="2"/>
      <c r="P343" s="2"/>
      <c r="Q343" s="2"/>
      <c r="R343" s="2"/>
      <c r="S343" s="2"/>
      <c r="T343" s="2"/>
      <c r="U343" s="2"/>
    </row>
    <row r="344" spans="1:21" ht="1.5" customHeight="1">
      <c r="A344" s="2"/>
      <c r="B344" s="2"/>
      <c r="C344" s="2"/>
      <c r="D344" s="2"/>
      <c r="E344" s="2"/>
      <c r="F344" s="2"/>
      <c r="G344" s="2"/>
      <c r="H344" s="2"/>
      <c r="I344" s="2"/>
      <c r="J344" s="2"/>
      <c r="K344" s="2"/>
      <c r="L344" s="2"/>
      <c r="M344" s="2"/>
      <c r="N344" s="2"/>
      <c r="O344" s="2"/>
      <c r="P344" s="2"/>
      <c r="Q344" s="2"/>
      <c r="R344" s="2"/>
      <c r="S344" s="2"/>
      <c r="T344" s="2"/>
      <c r="U344" s="2"/>
    </row>
    <row r="345" spans="1:21" ht="1.5" customHeight="1">
      <c r="A345" s="2"/>
      <c r="B345" s="2"/>
      <c r="C345" s="2"/>
      <c r="D345" s="2"/>
      <c r="E345" s="2"/>
      <c r="F345" s="2"/>
      <c r="G345" s="2"/>
      <c r="H345" s="2"/>
      <c r="I345" s="2"/>
      <c r="J345" s="2"/>
      <c r="K345" s="2"/>
      <c r="L345" s="2"/>
      <c r="M345" s="2"/>
      <c r="N345" s="2"/>
      <c r="O345" s="2"/>
      <c r="P345" s="2"/>
      <c r="Q345" s="2"/>
      <c r="R345" s="2"/>
      <c r="S345" s="2"/>
      <c r="T345" s="2"/>
      <c r="U345" s="2"/>
    </row>
    <row r="346" spans="1:21" ht="1.5" customHeight="1">
      <c r="A346" s="2"/>
      <c r="B346" s="2"/>
      <c r="C346" s="2"/>
      <c r="D346" s="2"/>
      <c r="E346" s="2"/>
      <c r="F346" s="2"/>
      <c r="G346" s="2"/>
      <c r="H346" s="2"/>
      <c r="I346" s="2"/>
      <c r="J346" s="2"/>
      <c r="K346" s="2"/>
      <c r="L346" s="2"/>
      <c r="M346" s="2"/>
      <c r="N346" s="2"/>
      <c r="O346" s="2"/>
      <c r="P346" s="2"/>
      <c r="Q346" s="2"/>
      <c r="R346" s="2"/>
      <c r="S346" s="2"/>
      <c r="T346" s="2"/>
      <c r="U346" s="2"/>
    </row>
    <row r="347" spans="1:21" ht="1.5" customHeight="1">
      <c r="A347" s="2"/>
      <c r="B347" s="2"/>
      <c r="C347" s="2"/>
      <c r="D347" s="2"/>
      <c r="E347" s="2"/>
      <c r="F347" s="2"/>
      <c r="G347" s="2"/>
      <c r="H347" s="2"/>
      <c r="I347" s="2"/>
      <c r="J347" s="2"/>
      <c r="K347" s="2"/>
      <c r="L347" s="2"/>
      <c r="M347" s="2"/>
      <c r="N347" s="2"/>
      <c r="O347" s="2"/>
      <c r="P347" s="2"/>
      <c r="Q347" s="2"/>
      <c r="R347" s="2"/>
      <c r="S347" s="2"/>
      <c r="T347" s="2"/>
      <c r="U347" s="2"/>
    </row>
    <row r="348" spans="1:21" ht="1.5" customHeight="1">
      <c r="A348" s="2"/>
      <c r="B348" s="2"/>
      <c r="C348" s="2"/>
      <c r="D348" s="2"/>
      <c r="E348" s="2"/>
      <c r="F348" s="2"/>
      <c r="G348" s="2"/>
      <c r="H348" s="2"/>
      <c r="I348" s="2"/>
      <c r="J348" s="2"/>
      <c r="K348" s="2"/>
      <c r="L348" s="2"/>
      <c r="M348" s="2"/>
      <c r="N348" s="2"/>
      <c r="O348" s="2"/>
      <c r="P348" s="2"/>
      <c r="Q348" s="2"/>
      <c r="R348" s="2"/>
      <c r="S348" s="2"/>
      <c r="T348" s="2"/>
      <c r="U348" s="2"/>
    </row>
    <row r="349" spans="1:21" ht="1.5" customHeight="1">
      <c r="A349" s="2"/>
      <c r="B349" s="2"/>
      <c r="C349" s="2"/>
      <c r="D349" s="2"/>
      <c r="E349" s="2"/>
      <c r="F349" s="2"/>
      <c r="G349" s="2"/>
      <c r="H349" s="2"/>
      <c r="I349" s="2"/>
      <c r="J349" s="2"/>
      <c r="K349" s="2"/>
      <c r="L349" s="2"/>
      <c r="M349" s="2"/>
      <c r="N349" s="2"/>
      <c r="O349" s="2"/>
      <c r="P349" s="2"/>
      <c r="Q349" s="2"/>
      <c r="R349" s="2"/>
      <c r="S349" s="2"/>
      <c r="T349" s="2"/>
      <c r="U349" s="2"/>
    </row>
    <row r="350" spans="1:21" ht="1.5" customHeight="1">
      <c r="A350" s="2"/>
      <c r="B350" s="2"/>
      <c r="C350" s="2"/>
      <c r="D350" s="2"/>
      <c r="E350" s="2"/>
      <c r="F350" s="2"/>
      <c r="G350" s="2"/>
      <c r="H350" s="2"/>
      <c r="I350" s="2"/>
      <c r="J350" s="2"/>
      <c r="K350" s="2"/>
      <c r="L350" s="2"/>
      <c r="M350" s="2"/>
      <c r="N350" s="2"/>
      <c r="O350" s="2"/>
      <c r="P350" s="2"/>
      <c r="Q350" s="2"/>
      <c r="R350" s="2"/>
      <c r="S350" s="2"/>
      <c r="T350" s="2"/>
      <c r="U350" s="2"/>
    </row>
    <row r="351" spans="1:21" ht="1.5" customHeight="1">
      <c r="A351" s="2"/>
      <c r="B351" s="2"/>
      <c r="C351" s="2"/>
      <c r="D351" s="2"/>
      <c r="E351" s="2"/>
      <c r="F351" s="2"/>
      <c r="G351" s="2"/>
      <c r="H351" s="2"/>
      <c r="I351" s="2"/>
      <c r="J351" s="2"/>
      <c r="K351" s="2"/>
      <c r="L351" s="2"/>
      <c r="M351" s="2"/>
      <c r="N351" s="2"/>
      <c r="O351" s="2"/>
      <c r="P351" s="2"/>
      <c r="Q351" s="2"/>
      <c r="R351" s="2"/>
      <c r="S351" s="2"/>
      <c r="T351" s="2"/>
      <c r="U351" s="2"/>
    </row>
    <row r="352" spans="1:21" ht="1.5" customHeight="1">
      <c r="A352" s="2"/>
      <c r="B352" s="2"/>
      <c r="C352" s="2"/>
      <c r="D352" s="2"/>
      <c r="E352" s="2"/>
      <c r="F352" s="2"/>
      <c r="G352" s="2"/>
      <c r="H352" s="2"/>
      <c r="I352" s="2"/>
      <c r="J352" s="2"/>
      <c r="K352" s="2"/>
      <c r="L352" s="2"/>
      <c r="M352" s="2"/>
      <c r="N352" s="2"/>
      <c r="O352" s="2"/>
      <c r="P352" s="2"/>
      <c r="Q352" s="2"/>
      <c r="R352" s="2"/>
      <c r="S352" s="2"/>
      <c r="T352" s="2"/>
      <c r="U352" s="2"/>
    </row>
    <row r="353" spans="1:21" ht="1.5" customHeight="1">
      <c r="A353" s="2"/>
      <c r="B353" s="2"/>
      <c r="C353" s="2"/>
      <c r="D353" s="2"/>
      <c r="E353" s="2"/>
      <c r="F353" s="2"/>
      <c r="G353" s="2"/>
      <c r="H353" s="2"/>
      <c r="I353" s="2"/>
      <c r="J353" s="2"/>
      <c r="K353" s="2"/>
      <c r="L353" s="2"/>
      <c r="M353" s="2"/>
      <c r="N353" s="2"/>
      <c r="O353" s="2"/>
      <c r="P353" s="2"/>
      <c r="Q353" s="2"/>
      <c r="R353" s="2"/>
      <c r="S353" s="2"/>
      <c r="T353" s="2"/>
      <c r="U353" s="2"/>
    </row>
    <row r="354" spans="1:21" ht="1.5" customHeight="1">
      <c r="A354" s="2"/>
      <c r="B354" s="2"/>
      <c r="C354" s="2"/>
      <c r="D354" s="2"/>
      <c r="E354" s="2"/>
      <c r="F354" s="2"/>
      <c r="G354" s="2"/>
      <c r="H354" s="2"/>
      <c r="I354" s="2"/>
      <c r="J354" s="2"/>
      <c r="K354" s="2"/>
      <c r="L354" s="2"/>
      <c r="M354" s="2"/>
      <c r="N354" s="2"/>
      <c r="O354" s="2"/>
      <c r="P354" s="2"/>
      <c r="Q354" s="2"/>
      <c r="R354" s="2"/>
      <c r="S354" s="2"/>
      <c r="T354" s="2"/>
      <c r="U354" s="2"/>
    </row>
    <row r="355" spans="1:21" ht="1.5" customHeight="1">
      <c r="A355" s="2"/>
      <c r="B355" s="2"/>
      <c r="C355" s="2"/>
      <c r="D355" s="2"/>
      <c r="E355" s="2"/>
      <c r="F355" s="2"/>
      <c r="G355" s="2"/>
      <c r="H355" s="2"/>
      <c r="I355" s="2"/>
      <c r="J355" s="2"/>
      <c r="K355" s="2"/>
      <c r="L355" s="2"/>
      <c r="M355" s="2"/>
      <c r="N355" s="2"/>
      <c r="O355" s="2"/>
      <c r="P355" s="2"/>
      <c r="Q355" s="2"/>
      <c r="R355" s="2"/>
      <c r="S355" s="2"/>
      <c r="T355" s="2"/>
      <c r="U355" s="2"/>
    </row>
    <row r="356" spans="1:21" ht="1.5" customHeight="1">
      <c r="A356" s="2"/>
      <c r="B356" s="2"/>
      <c r="C356" s="2"/>
      <c r="D356" s="2"/>
      <c r="E356" s="2"/>
      <c r="F356" s="2"/>
      <c r="G356" s="2"/>
      <c r="H356" s="2"/>
      <c r="I356" s="2"/>
      <c r="J356" s="2"/>
      <c r="K356" s="2"/>
      <c r="L356" s="2"/>
      <c r="M356" s="2"/>
      <c r="N356" s="2"/>
      <c r="O356" s="2"/>
      <c r="P356" s="2"/>
      <c r="Q356" s="2"/>
      <c r="R356" s="2"/>
      <c r="S356" s="2"/>
      <c r="T356" s="2"/>
      <c r="U356" s="2"/>
    </row>
    <row r="357" spans="1:21" ht="1.5" customHeight="1">
      <c r="A357" s="2"/>
      <c r="B357" s="2"/>
      <c r="C357" s="2"/>
      <c r="D357" s="2"/>
      <c r="E357" s="2"/>
      <c r="F357" s="2"/>
      <c r="G357" s="2"/>
      <c r="H357" s="2"/>
      <c r="I357" s="2"/>
      <c r="J357" s="2"/>
      <c r="K357" s="2"/>
      <c r="L357" s="2"/>
      <c r="M357" s="2"/>
      <c r="N357" s="2"/>
      <c r="O357" s="2"/>
      <c r="P357" s="2"/>
      <c r="Q357" s="2"/>
      <c r="R357" s="2"/>
      <c r="S357" s="2"/>
      <c r="T357" s="2"/>
      <c r="U357" s="2"/>
    </row>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sheetData>
  <sheetProtection password="CC7E" sheet="1" objects="1" scenarios="1"/>
  <mergeCells count="1">
    <mergeCell ref="H8:L11"/>
  </mergeCells>
  <printOptions/>
  <pageMargins left="0.55" right="0.55" top="1" bottom="1" header="0.5" footer="0.5"/>
  <pageSetup fitToHeight="1" fitToWidth="1" orientation="landscape" scale="48" r:id="rId3"/>
  <headerFooter alignWithMargins="0">
    <oddFooter>&amp;L&amp;F&amp;C02-Oct-2002</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Layne Pincock</dc:creator>
  <cp:keywords/>
  <dc:description/>
  <cp:lastModifiedBy>Paul D. Bayless</cp:lastModifiedBy>
  <cp:lastPrinted>2002-04-03T23:08:25Z</cp:lastPrinted>
  <dcterms:created xsi:type="dcterms:W3CDTF">2001-08-09T16:51:10Z</dcterms:created>
  <dcterms:modified xsi:type="dcterms:W3CDTF">2002-07-01T18:37:32Z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